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H27" i="5"/>
  <c r="H28" i="5" s="1"/>
  <c r="H26" i="5"/>
  <c r="H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9" i="10"/>
  <c r="H8" i="10"/>
  <c r="H7" i="10"/>
  <c r="H6" i="10"/>
  <c r="H5" i="10"/>
  <c r="H4" i="10"/>
  <c r="H3" i="10"/>
  <c r="H2" i="10"/>
  <c r="H10" i="10" s="1"/>
  <c r="H14" i="10" s="1"/>
  <c r="H16" i="10" s="1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I23" i="1"/>
  <c r="I19" i="1"/>
  <c r="I13" i="1"/>
  <c r="I7" i="1"/>
  <c r="I21" i="1" s="1"/>
  <c r="I28" i="6" l="1"/>
  <c r="K28" i="8"/>
  <c r="K26" i="8"/>
  <c r="K25" i="8"/>
  <c r="K23" i="8"/>
  <c r="K22" i="8"/>
  <c r="K20" i="8"/>
  <c r="K19" i="8"/>
  <c r="K18" i="8"/>
  <c r="K17" i="8"/>
  <c r="K16" i="8"/>
  <c r="K13" i="8"/>
  <c r="K7" i="8"/>
  <c r="K18" i="7"/>
  <c r="K17" i="7"/>
  <c r="K15" i="7"/>
  <c r="K14" i="7"/>
  <c r="K13" i="7"/>
  <c r="K12" i="7"/>
  <c r="H6" i="9"/>
  <c r="H5" i="9"/>
  <c r="H4" i="9"/>
  <c r="H3" i="9"/>
  <c r="H2" i="9"/>
  <c r="H29" i="8"/>
  <c r="H28" i="8"/>
  <c r="H26" i="8"/>
  <c r="H25" i="8"/>
  <c r="H24" i="8"/>
  <c r="H23" i="8"/>
  <c r="H22" i="8"/>
  <c r="H27" i="8" s="1"/>
  <c r="H19" i="8"/>
  <c r="H18" i="8"/>
  <c r="H17" i="8"/>
  <c r="H16" i="8"/>
  <c r="H14" i="8"/>
  <c r="H13" i="8"/>
  <c r="H12" i="8"/>
  <c r="H11" i="8"/>
  <c r="H15" i="8" s="1"/>
  <c r="H9" i="8"/>
  <c r="H8" i="8"/>
  <c r="H7" i="8"/>
  <c r="H6" i="8"/>
  <c r="H5" i="8"/>
  <c r="H4" i="8"/>
  <c r="H3" i="8"/>
  <c r="H2" i="8"/>
  <c r="H19" i="7"/>
  <c r="H18" i="7"/>
  <c r="H17" i="7"/>
  <c r="H14" i="7"/>
  <c r="H13" i="7"/>
  <c r="H12" i="7"/>
  <c r="H10" i="7"/>
  <c r="H9" i="7"/>
  <c r="H8" i="7"/>
  <c r="H7" i="7"/>
  <c r="H6" i="7"/>
  <c r="H4" i="7"/>
  <c r="H3" i="7"/>
  <c r="H2" i="7"/>
  <c r="H5" i="7" s="1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0" i="8" l="1"/>
  <c r="H20" i="8"/>
  <c r="H30" i="8"/>
  <c r="H31" i="8" s="1"/>
  <c r="H21" i="8"/>
  <c r="H15" i="7"/>
  <c r="H11" i="7"/>
  <c r="H20" i="7"/>
  <c r="H21" i="7" s="1"/>
  <c r="H16" i="7"/>
  <c r="T53" i="2" l="1"/>
  <c r="V53" i="2" s="1"/>
  <c r="U52" i="2"/>
  <c r="T52" i="2"/>
  <c r="V52" i="2" s="1"/>
  <c r="V51" i="2"/>
  <c r="U51" i="2"/>
  <c r="T51" i="2"/>
  <c r="U50" i="2"/>
  <c r="T50" i="2"/>
  <c r="V50" i="2" s="1"/>
  <c r="T49" i="2"/>
  <c r="V48" i="2"/>
  <c r="U48" i="2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U32" i="2"/>
  <c r="V32" i="2" s="1"/>
  <c r="V31" i="2"/>
  <c r="V30" i="2"/>
  <c r="V29" i="2"/>
  <c r="V28" i="2"/>
  <c r="V27" i="2"/>
  <c r="V26" i="2"/>
  <c r="V25" i="2"/>
  <c r="V24" i="2"/>
  <c r="V23" i="2"/>
  <c r="V19" i="2"/>
  <c r="V18" i="2"/>
  <c r="V17" i="2"/>
  <c r="U16" i="2"/>
  <c r="T16" i="2"/>
  <c r="V16" i="2" s="1"/>
  <c r="U15" i="2"/>
  <c r="T15" i="2"/>
  <c r="T57" i="2" s="1"/>
  <c r="V14" i="2"/>
  <c r="U14" i="2"/>
  <c r="U56" i="2" s="1"/>
  <c r="T14" i="2"/>
  <c r="T20" i="2" s="1"/>
  <c r="V13" i="2"/>
  <c r="V12" i="2"/>
  <c r="V11" i="2"/>
  <c r="V10" i="2"/>
  <c r="V9" i="2"/>
  <c r="V8" i="2"/>
  <c r="V7" i="2"/>
  <c r="V6" i="2"/>
  <c r="V5" i="2"/>
  <c r="V4" i="2"/>
  <c r="V3" i="2"/>
  <c r="T21" i="2" l="1"/>
  <c r="U57" i="2"/>
  <c r="V49" i="2"/>
  <c r="V15" i="2"/>
  <c r="U20" i="2"/>
  <c r="U21" i="2" s="1"/>
  <c r="U59" i="2" s="1"/>
  <c r="T54" i="2"/>
  <c r="U54" i="2"/>
  <c r="U55" i="2" s="1"/>
  <c r="T58" i="2"/>
  <c r="U49" i="2"/>
  <c r="U61" i="2" s="1"/>
  <c r="U58" i="2"/>
  <c r="T56" i="2"/>
  <c r="U60" i="2"/>
  <c r="E3" i="13"/>
  <c r="G3" i="13"/>
  <c r="G4" i="13"/>
  <c r="V20" i="2" l="1"/>
  <c r="V54" i="2"/>
  <c r="T55" i="2"/>
  <c r="V55" i="2" s="1"/>
  <c r="T59" i="2"/>
  <c r="V21" i="2"/>
  <c r="H29" i="6"/>
  <c r="G9" i="10" s="1"/>
  <c r="F29" i="6"/>
  <c r="E9" i="10" s="1"/>
  <c r="J9" i="12" l="1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0" i="8" l="1"/>
  <c r="G15" i="8"/>
  <c r="G20" i="8"/>
  <c r="G27" i="8"/>
  <c r="G5" i="7"/>
  <c r="G15" i="7"/>
  <c r="G11" i="7"/>
  <c r="G20" i="7" l="1"/>
  <c r="G16" i="7"/>
  <c r="G21" i="7"/>
  <c r="G21" i="8"/>
  <c r="G30" i="8"/>
  <c r="R57" i="2"/>
  <c r="Q53" i="2"/>
  <c r="S53" i="2" s="1"/>
  <c r="R52" i="2"/>
  <c r="Q52" i="2"/>
  <c r="S52" i="2" s="1"/>
  <c r="R51" i="2"/>
  <c r="R54" i="2" s="1"/>
  <c r="R55" i="2" s="1"/>
  <c r="Q51" i="2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R20" i="2" s="1"/>
  <c r="Q14" i="2"/>
  <c r="S13" i="2"/>
  <c r="S12" i="2"/>
  <c r="S11" i="2"/>
  <c r="S10" i="2"/>
  <c r="S9" i="2"/>
  <c r="S8" i="2"/>
  <c r="S7" i="2"/>
  <c r="S6" i="2"/>
  <c r="S5" i="2"/>
  <c r="S4" i="2"/>
  <c r="S3" i="2"/>
  <c r="G27" i="5"/>
  <c r="G25" i="5"/>
  <c r="G26" i="5"/>
  <c r="G13" i="5"/>
  <c r="F15" i="10"/>
  <c r="F13" i="10"/>
  <c r="F12" i="10"/>
  <c r="F11" i="10"/>
  <c r="F8" i="10"/>
  <c r="F7" i="10"/>
  <c r="F6" i="10"/>
  <c r="F4" i="10"/>
  <c r="F3" i="10"/>
  <c r="G15" i="10"/>
  <c r="G13" i="10"/>
  <c r="G12" i="10"/>
  <c r="G11" i="10"/>
  <c r="G8" i="10"/>
  <c r="G7" i="10"/>
  <c r="G6" i="10"/>
  <c r="G5" i="10"/>
  <c r="G4" i="10"/>
  <c r="G3" i="10"/>
  <c r="G2" i="10"/>
  <c r="H14" i="6"/>
  <c r="H13" i="6"/>
  <c r="H21" i="6" s="1"/>
  <c r="H10" i="6"/>
  <c r="H28" i="6" s="1"/>
  <c r="H23" i="1"/>
  <c r="H19" i="1"/>
  <c r="H13" i="1"/>
  <c r="H7" i="1"/>
  <c r="H21" i="1" s="1"/>
  <c r="G10" i="10" l="1"/>
  <c r="R21" i="2"/>
  <c r="Q56" i="2"/>
  <c r="G2" i="9" s="1"/>
  <c r="Q57" i="2"/>
  <c r="G3" i="9" s="1"/>
  <c r="G31" i="8"/>
  <c r="S16" i="2"/>
  <c r="G4" i="9"/>
  <c r="R56" i="2"/>
  <c r="S15" i="2"/>
  <c r="G14" i="10"/>
  <c r="G16" i="10" s="1"/>
  <c r="Q20" i="2"/>
  <c r="Q54" i="2"/>
  <c r="S51" i="2"/>
  <c r="Q58" i="2"/>
  <c r="G5" i="9" s="1"/>
  <c r="R58" i="2"/>
  <c r="S14" i="2"/>
  <c r="R60" i="2"/>
  <c r="G28" i="5"/>
  <c r="G5" i="13"/>
  <c r="R59" i="2" l="1"/>
  <c r="Q55" i="2"/>
  <c r="S55" i="2" s="1"/>
  <c r="S54" i="2"/>
  <c r="Q21" i="2"/>
  <c r="S20" i="2"/>
  <c r="J21" i="6"/>
  <c r="K21" i="6" s="1"/>
  <c r="J10" i="6"/>
  <c r="K10" i="6" s="1"/>
  <c r="J29" i="6" l="1"/>
  <c r="K29" i="6" s="1"/>
  <c r="S21" i="2"/>
  <c r="Q59" i="2"/>
  <c r="G6" i="9" s="1"/>
  <c r="J28" i="6"/>
  <c r="K28" i="6" s="1"/>
  <c r="I9" i="10" l="1"/>
  <c r="G11" i="13"/>
  <c r="G10" i="13"/>
  <c r="G9" i="13"/>
  <c r="G8" i="13"/>
  <c r="G7" i="13"/>
  <c r="G6" i="13"/>
  <c r="I9" i="12" l="1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0" i="8" l="1"/>
  <c r="F15" i="8"/>
  <c r="F27" i="8"/>
  <c r="F5" i="7"/>
  <c r="F20" i="8"/>
  <c r="F21" i="8" s="1"/>
  <c r="F15" i="7"/>
  <c r="F11" i="7"/>
  <c r="F16" i="7" s="1"/>
  <c r="F30" i="8" l="1"/>
  <c r="F31" i="8" s="1"/>
  <c r="F20" i="7"/>
  <c r="F21" i="7" s="1"/>
  <c r="N53" i="2"/>
  <c r="P53" i="2" s="1"/>
  <c r="O52" i="2"/>
  <c r="N52" i="2"/>
  <c r="P52" i="2" s="1"/>
  <c r="O51" i="2"/>
  <c r="O54" i="2" s="1"/>
  <c r="O55" i="2" s="1"/>
  <c r="N51" i="2"/>
  <c r="P51" i="2" s="1"/>
  <c r="O50" i="2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O57" i="2" s="1"/>
  <c r="N15" i="2"/>
  <c r="P15" i="2" s="1"/>
  <c r="O14" i="2"/>
  <c r="N14" i="2"/>
  <c r="P13" i="2"/>
  <c r="P12" i="2"/>
  <c r="P11" i="2"/>
  <c r="P10" i="2"/>
  <c r="P9" i="2"/>
  <c r="P8" i="2"/>
  <c r="P7" i="2"/>
  <c r="P6" i="2"/>
  <c r="P5" i="2"/>
  <c r="P4" i="2"/>
  <c r="P3" i="2"/>
  <c r="F27" i="5"/>
  <c r="F28" i="5" s="1"/>
  <c r="F26" i="5"/>
  <c r="F13" i="5"/>
  <c r="G21" i="6"/>
  <c r="F5" i="10" s="1"/>
  <c r="G10" i="6"/>
  <c r="G23" i="1"/>
  <c r="G19" i="1"/>
  <c r="G13" i="1"/>
  <c r="G21" i="1" s="1"/>
  <c r="G7" i="1"/>
  <c r="G28" i="6" l="1"/>
  <c r="G29" i="6"/>
  <c r="F9" i="10" s="1"/>
  <c r="F2" i="10"/>
  <c r="F10" i="10" s="1"/>
  <c r="F14" i="10" s="1"/>
  <c r="F16" i="10" s="1"/>
  <c r="P16" i="2"/>
  <c r="F4" i="9"/>
  <c r="O56" i="2"/>
  <c r="N57" i="2"/>
  <c r="O20" i="2"/>
  <c r="N56" i="2"/>
  <c r="N20" i="2"/>
  <c r="N54" i="2"/>
  <c r="N58" i="2"/>
  <c r="O58" i="2"/>
  <c r="P14" i="2"/>
  <c r="O60" i="2"/>
  <c r="I27" i="5"/>
  <c r="E27" i="5"/>
  <c r="D27" i="5"/>
  <c r="C27" i="5"/>
  <c r="B27" i="5"/>
  <c r="F3" i="9" l="1"/>
  <c r="F5" i="9"/>
  <c r="F2" i="9"/>
  <c r="O21" i="2"/>
  <c r="O59" i="2" s="1"/>
  <c r="N55" i="2"/>
  <c r="P55" i="2" s="1"/>
  <c r="P54" i="2"/>
  <c r="N21" i="2"/>
  <c r="P20" i="2"/>
  <c r="P21" i="2" l="1"/>
  <c r="N59" i="2"/>
  <c r="F6" i="9" s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10" i="8"/>
  <c r="E15" i="8"/>
  <c r="E20" i="8"/>
  <c r="E27" i="8"/>
  <c r="E15" i="7"/>
  <c r="E11" i="7"/>
  <c r="E16" i="7" l="1"/>
  <c r="E20" i="7"/>
  <c r="E21" i="8"/>
  <c r="K53" i="2"/>
  <c r="L52" i="2"/>
  <c r="K52" i="2"/>
  <c r="M51" i="2"/>
  <c r="K51" i="2"/>
  <c r="L50" i="2"/>
  <c r="K50" i="2"/>
  <c r="M49" i="2"/>
  <c r="L49" i="2"/>
  <c r="K49" i="2"/>
  <c r="L48" i="2"/>
  <c r="M48" i="2" s="1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K56" i="2" s="1"/>
  <c r="E2" i="9" s="1"/>
  <c r="M13" i="2"/>
  <c r="M12" i="2"/>
  <c r="M11" i="2"/>
  <c r="M10" i="2"/>
  <c r="M9" i="2"/>
  <c r="M8" i="2"/>
  <c r="M7" i="2"/>
  <c r="M6" i="2"/>
  <c r="M5" i="2"/>
  <c r="M4" i="2"/>
  <c r="M3" i="2"/>
  <c r="I26" i="5"/>
  <c r="I13" i="5"/>
  <c r="I15" i="10"/>
  <c r="I13" i="10"/>
  <c r="I12" i="10"/>
  <c r="I11" i="10"/>
  <c r="I8" i="10"/>
  <c r="I7" i="10"/>
  <c r="I6" i="10"/>
  <c r="I4" i="10"/>
  <c r="I3" i="10"/>
  <c r="I5" i="10"/>
  <c r="I2" i="10"/>
  <c r="J23" i="1"/>
  <c r="J19" i="1"/>
  <c r="J13" i="1"/>
  <c r="J7" i="1"/>
  <c r="G9" i="12"/>
  <c r="G8" i="12"/>
  <c r="G7" i="12"/>
  <c r="G6" i="12"/>
  <c r="G5" i="12"/>
  <c r="G4" i="12"/>
  <c r="G3" i="12"/>
  <c r="G2" i="12"/>
  <c r="K4" i="9"/>
  <c r="I4" i="9"/>
  <c r="J4" i="9" s="1"/>
  <c r="D28" i="8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X60" i="2"/>
  <c r="X58" i="2"/>
  <c r="AA58" i="2" s="1"/>
  <c r="W58" i="2"/>
  <c r="Z58" i="2" s="1"/>
  <c r="X57" i="2"/>
  <c r="AA57" i="2" s="1"/>
  <c r="W57" i="2"/>
  <c r="Z57" i="2" s="1"/>
  <c r="X56" i="2"/>
  <c r="AA56" i="2" s="1"/>
  <c r="W56" i="2"/>
  <c r="Z56" i="2" s="1"/>
  <c r="H53" i="2"/>
  <c r="J53" i="2" s="1"/>
  <c r="J52" i="2"/>
  <c r="H52" i="2"/>
  <c r="H51" i="2"/>
  <c r="J51" i="2" s="1"/>
  <c r="J50" i="2"/>
  <c r="I50" i="2"/>
  <c r="H50" i="2"/>
  <c r="I49" i="2"/>
  <c r="I54" i="2" s="1"/>
  <c r="I55" i="2" s="1"/>
  <c r="H49" i="2"/>
  <c r="J49" i="2" s="1"/>
  <c r="I48" i="2"/>
  <c r="I61" i="2" s="1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J16" i="2" s="1"/>
  <c r="I15" i="2"/>
  <c r="I57" i="2" s="1"/>
  <c r="H15" i="2"/>
  <c r="H57" i="2" s="1"/>
  <c r="D3" i="9" s="1"/>
  <c r="I14" i="2"/>
  <c r="I56" i="2" s="1"/>
  <c r="H14" i="2"/>
  <c r="J13" i="2"/>
  <c r="J12" i="2"/>
  <c r="J11" i="2"/>
  <c r="J10" i="2"/>
  <c r="J9" i="2"/>
  <c r="J8" i="2"/>
  <c r="J7" i="2"/>
  <c r="J6" i="2"/>
  <c r="J5" i="2"/>
  <c r="J4" i="2"/>
  <c r="J3" i="2"/>
  <c r="E13" i="5"/>
  <c r="E26" i="5"/>
  <c r="E28" i="5" s="1"/>
  <c r="E15" i="10"/>
  <c r="E13" i="10"/>
  <c r="E12" i="10"/>
  <c r="E11" i="10"/>
  <c r="E8" i="10"/>
  <c r="E7" i="10"/>
  <c r="E6" i="10"/>
  <c r="E4" i="10"/>
  <c r="E3" i="10"/>
  <c r="F21" i="6"/>
  <c r="F10" i="6"/>
  <c r="E2" i="10" s="1"/>
  <c r="C23" i="1"/>
  <c r="D23" i="1"/>
  <c r="E23" i="1"/>
  <c r="F23" i="1"/>
  <c r="B23" i="1"/>
  <c r="K3" i="9" l="1"/>
  <c r="I3" i="9"/>
  <c r="J3" i="9" s="1"/>
  <c r="I58" i="2"/>
  <c r="H58" i="2"/>
  <c r="D5" i="9" s="1"/>
  <c r="L58" i="2"/>
  <c r="J14" i="2"/>
  <c r="D29" i="8"/>
  <c r="K57" i="2"/>
  <c r="M50" i="2"/>
  <c r="E28" i="8"/>
  <c r="E4" i="9"/>
  <c r="L61" i="2"/>
  <c r="M53" i="2"/>
  <c r="E29" i="8"/>
  <c r="H54" i="2"/>
  <c r="L57" i="2"/>
  <c r="M16" i="2"/>
  <c r="H56" i="2"/>
  <c r="D2" i="9" s="1"/>
  <c r="I60" i="2"/>
  <c r="D4" i="9"/>
  <c r="M14" i="2"/>
  <c r="M15" i="2"/>
  <c r="K54" i="2"/>
  <c r="K55" i="2" s="1"/>
  <c r="M52" i="2"/>
  <c r="E21" i="7"/>
  <c r="I5" i="9"/>
  <c r="J5" i="9" s="1"/>
  <c r="K2" i="9"/>
  <c r="I2" i="9"/>
  <c r="J2" i="9" s="1"/>
  <c r="K5" i="9"/>
  <c r="L20" i="2"/>
  <c r="L60" i="2"/>
  <c r="K20" i="2"/>
  <c r="L54" i="2"/>
  <c r="L55" i="2" s="1"/>
  <c r="L56" i="2"/>
  <c r="K58" i="2"/>
  <c r="E5" i="9" s="1"/>
  <c r="D5" i="7"/>
  <c r="D15" i="7"/>
  <c r="I28" i="5"/>
  <c r="I10" i="10"/>
  <c r="E5" i="10"/>
  <c r="E10" i="10" s="1"/>
  <c r="E14" i="10" s="1"/>
  <c r="J21" i="1"/>
  <c r="D10" i="8"/>
  <c r="D15" i="8"/>
  <c r="D20" i="8"/>
  <c r="D27" i="8"/>
  <c r="D11" i="7"/>
  <c r="J54" i="2"/>
  <c r="H55" i="2"/>
  <c r="J55" i="2" s="1"/>
  <c r="J15" i="2"/>
  <c r="I20" i="2"/>
  <c r="I21" i="2" s="1"/>
  <c r="I59" i="2" s="1"/>
  <c r="J48" i="2"/>
  <c r="H20" i="2"/>
  <c r="F28" i="6"/>
  <c r="E30" i="8" l="1"/>
  <c r="E3" i="9"/>
  <c r="L21" i="2"/>
  <c r="L59" i="2" s="1"/>
  <c r="D16" i="7"/>
  <c r="D21" i="8"/>
  <c r="K21" i="2"/>
  <c r="M20" i="2"/>
  <c r="D30" i="8"/>
  <c r="M55" i="2"/>
  <c r="M54" i="2"/>
  <c r="D20" i="7"/>
  <c r="I14" i="10"/>
  <c r="E16" i="10"/>
  <c r="J20" i="2"/>
  <c r="H21" i="2"/>
  <c r="H59" i="2" s="1"/>
  <c r="D6" i="9" s="1"/>
  <c r="E31" i="8" l="1"/>
  <c r="K59" i="2"/>
  <c r="E6" i="9" s="1"/>
  <c r="M21" i="2"/>
  <c r="D21" i="7"/>
  <c r="D31" i="8"/>
  <c r="I16" i="10"/>
  <c r="J21" i="2"/>
  <c r="F19" i="1" l="1"/>
  <c r="F13" i="1"/>
  <c r="F7" i="1"/>
  <c r="F21" i="1" l="1"/>
  <c r="C12" i="1"/>
  <c r="B53" i="2"/>
  <c r="C52" i="2"/>
  <c r="B52" i="2"/>
  <c r="C51" i="2"/>
  <c r="B51" i="2"/>
  <c r="C50" i="2"/>
  <c r="B50" i="2"/>
  <c r="C49" i="2"/>
  <c r="B49" i="2"/>
  <c r="C48" i="2"/>
  <c r="C61" i="2" s="1"/>
  <c r="B48" i="2"/>
  <c r="C16" i="2"/>
  <c r="B16" i="2"/>
  <c r="B4" i="9" s="1"/>
  <c r="C15" i="2"/>
  <c r="C57" i="2" s="1"/>
  <c r="B15" i="2"/>
  <c r="C14" i="2"/>
  <c r="B14" i="2"/>
  <c r="C56" i="2" l="1"/>
  <c r="C60" i="2"/>
  <c r="C58" i="2"/>
  <c r="B20" i="2"/>
  <c r="B21" i="2" s="1"/>
  <c r="B58" i="2"/>
  <c r="B5" i="9" s="1"/>
  <c r="B56" i="2"/>
  <c r="B2" i="9" s="1"/>
  <c r="B57" i="2"/>
  <c r="B3" i="9" s="1"/>
  <c r="C20" i="2"/>
  <c r="C21" i="2" s="1"/>
  <c r="E53" i="2"/>
  <c r="F52" i="2"/>
  <c r="E52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E15" i="2"/>
  <c r="F14" i="2"/>
  <c r="E14" i="2"/>
  <c r="D12" i="1"/>
  <c r="E58" i="2" l="1"/>
  <c r="C5" i="9" s="1"/>
  <c r="E56" i="2"/>
  <c r="C2" i="9" s="1"/>
  <c r="F60" i="2"/>
  <c r="F58" i="2"/>
  <c r="F56" i="2"/>
  <c r="E57" i="2"/>
  <c r="C3" i="9" s="1"/>
  <c r="F20" i="2"/>
  <c r="F21" i="2" s="1"/>
  <c r="F57" i="2"/>
  <c r="E20" i="2"/>
  <c r="E21" i="2" s="1"/>
  <c r="B13" i="1"/>
  <c r="B19" i="1"/>
  <c r="B7" i="1"/>
  <c r="B21" i="1" l="1"/>
  <c r="D21" i="6" l="1"/>
  <c r="E21" i="6"/>
  <c r="C21" i="6"/>
  <c r="E10" i="6"/>
  <c r="E29" i="6" s="1"/>
  <c r="D9" i="10" s="1"/>
  <c r="D10" i="6"/>
  <c r="D29" i="6" s="1"/>
  <c r="C9" i="10" s="1"/>
  <c r="C10" i="6"/>
  <c r="C29" i="6" s="1"/>
  <c r="B9" i="10" s="1"/>
  <c r="D19" i="1" l="1"/>
  <c r="C19" i="1"/>
  <c r="E19" i="1"/>
  <c r="C13" i="1"/>
  <c r="D13" i="1"/>
  <c r="E13" i="1"/>
  <c r="C7" i="1"/>
  <c r="D7" i="1"/>
  <c r="E7" i="1"/>
  <c r="D26" i="5" l="1"/>
  <c r="C26" i="5"/>
  <c r="B26" i="5"/>
  <c r="D13" i="5"/>
  <c r="C13" i="5"/>
  <c r="B13" i="5"/>
  <c r="D28" i="6"/>
  <c r="E28" i="6"/>
  <c r="C28" i="6"/>
  <c r="D28" i="5" l="1"/>
  <c r="C21" i="1"/>
  <c r="D21" i="1"/>
  <c r="E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L6" i="12" l="1"/>
  <c r="F2" i="12"/>
  <c r="L2" i="12"/>
  <c r="F3" i="12"/>
  <c r="L3" i="12"/>
  <c r="F4" i="12"/>
  <c r="L4" i="12"/>
  <c r="F5" i="12"/>
  <c r="L5" i="12"/>
  <c r="F6" i="12"/>
  <c r="F7" i="12"/>
  <c r="L7" i="12"/>
  <c r="F8" i="12"/>
  <c r="L8" i="12"/>
  <c r="F9" i="12"/>
  <c r="L9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I19" i="8"/>
  <c r="M19" i="8" s="1"/>
  <c r="I18" i="8"/>
  <c r="I17" i="8"/>
  <c r="M17" i="8" s="1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I14" i="7"/>
  <c r="I13" i="7"/>
  <c r="I12" i="7"/>
  <c r="I10" i="7"/>
  <c r="K10" i="7" s="1"/>
  <c r="I9" i="7"/>
  <c r="K9" i="7" s="1"/>
  <c r="I8" i="7"/>
  <c r="K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5" i="8" l="1"/>
  <c r="M9" i="8"/>
  <c r="M13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1" i="7" l="1"/>
  <c r="J2" i="7"/>
  <c r="J12" i="7"/>
  <c r="J5" i="7"/>
  <c r="J8" i="7"/>
  <c r="J17" i="7"/>
  <c r="J6" i="7"/>
  <c r="M21" i="7"/>
  <c r="J9" i="7"/>
  <c r="J13" i="7"/>
  <c r="J3" i="7"/>
  <c r="J4" i="7"/>
  <c r="J10" i="7"/>
  <c r="J11" i="7"/>
  <c r="J15" i="7"/>
  <c r="J14" i="7"/>
  <c r="J18" i="7"/>
  <c r="J7" i="7"/>
  <c r="J16" i="7"/>
  <c r="C5" i="10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X59" i="2" l="1"/>
  <c r="Y55" i="2"/>
  <c r="W59" i="2"/>
  <c r="I31" i="8"/>
  <c r="K31" i="8" s="1"/>
  <c r="M30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23" i="8"/>
  <c r="J19" i="8"/>
  <c r="J24" i="8"/>
  <c r="M31" i="8"/>
  <c r="J16" i="8"/>
  <c r="J6" i="8"/>
  <c r="J7" i="8"/>
  <c r="J21" i="8"/>
  <c r="J20" i="8"/>
  <c r="J5" i="8"/>
  <c r="J18" i="8"/>
  <c r="J10" i="8"/>
  <c r="J25" i="8"/>
  <c r="J8" i="8"/>
  <c r="J14" i="8"/>
  <c r="J17" i="8"/>
  <c r="J28" i="8"/>
  <c r="J2" i="8"/>
  <c r="J26" i="8"/>
  <c r="J12" i="8"/>
  <c r="J15" i="8"/>
  <c r="J11" i="8"/>
  <c r="J27" i="8"/>
  <c r="J4" i="8"/>
  <c r="J22" i="8"/>
  <c r="J3" i="8"/>
  <c r="J9" i="8"/>
  <c r="J31" i="8"/>
  <c r="J13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<sst xmlns="http://schemas.openxmlformats.org/spreadsheetml/2006/main" count="485" uniqueCount="369">
  <si>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</si>
  <si>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</si>
  <si>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</si>
  <si>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</si>
  <si>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</si>
  <si>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</si>
  <si>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</si>
  <si>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</si>
  <si>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</si>
  <si>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</si>
  <si>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</si>
  <si>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</si>
  <si>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</si>
  <si>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</si>
  <si>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</si>
  <si>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</si>
  <si>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</si>
  <si>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</si>
  <si>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</si>
  <si>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</si>
  <si>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</si>
  <si>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</si>
  <si>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</si>
  <si>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</si>
  <si>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</si>
  <si>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</si>
  <si>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</si>
  <si>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</si>
  <si>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</si>
  <si>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</si>
  <si>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</si>
  <si>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</si>
  <si>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</si>
  <si>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</si>
  <si>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</si>
  <si>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</si>
  <si>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</si>
  <si>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</si>
  <si>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</si>
  <si>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</si>
  <si>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</si>
  <si>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</si>
  <si>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</si>
  <si>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</si>
  <si>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</si>
  <si>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</si>
  <si>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</si>
  <si>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</si>
  <si>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</si>
  <si>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</si>
  <si>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</si>
  <si>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</si>
  <si>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</si>
  <si>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</si>
  <si>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</si>
  <si>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</si>
  <si>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</si>
  <si>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</si>
  <si>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</si>
  <si>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</si>
  <si>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</si>
  <si>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</si>
  <si>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</si>
  <si>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</si>
  <si>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</si>
  <si>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</si>
  <si>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</si>
  <si>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</si>
  <si>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</si>
  <si>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</si>
  <si>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</si>
  <si>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</si>
  <si>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</si>
  <si>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</si>
  <si>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</si>
  <si>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</si>
  <si>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</si>
  <si>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</si>
  <si>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</si>
  <si>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</si>
  <si>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</si>
  <si>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</si>
  <si>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</si>
  <si>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</si>
  <si>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</si>
  <si>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</si>
  <si>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</si>
  <si>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</si>
  <si>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</si>
  <si>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</si>
  <si>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</si>
  <si>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</si>
  <si>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</si>
  <si>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</si>
  <si>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</si>
  <si>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</si>
  <si>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</si>
  <si>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</si>
  <si>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</si>
  <si>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</si>
  <si>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</si>
  <si>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</si>
  <si>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</si>
  <si>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</si>
  <si>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</si>
  <si>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</si>
  <si>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</si>
  <si>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</si>
  <si>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</si>
  <si>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</si>
  <si>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</si>
  <si>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</si>
  <si>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</si>
  <si>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</si>
  <si>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</si>
  <si>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</si>
  <si>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</si>
  <si>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</si>
  <si>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</si>
  <si>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</si>
  <si>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</si>
  <si>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</si>
  <si>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</si>
  <si>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</si>
  <si>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</si>
  <si>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</si>
  <si>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</si>
  <si>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</si>
  <si>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</si>
  <si>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</si>
  <si>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</si>
  <si>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</si>
  <si>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</si>
  <si>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</si>
  <si>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</si>
  <si>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</si>
  <si>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</si>
  <si>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</si>
  <si>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</si>
  <si>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</si>
  <si>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</si>
  <si>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</si>
  <si>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</si>
  <si>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</si>
  <si>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</si>
  <si>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</si>
  <si>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</si>
  <si>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</si>
  <si>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</si>
  <si>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</si>
  <si>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</si>
  <si>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</si>
  <si>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</si>
  <si>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</si>
  <si>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</si>
  <si>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</si>
  <si>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</si>
  <si>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</si>
  <si>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</si>
  <si>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</si>
  <si>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</si>
  <si>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</si>
  <si>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</si>
  <si>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</si>
  <si>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</si>
  <si>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</si>
  <si>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</si>
  <si>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</si>
  <si>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</si>
  <si>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</si>
  <si>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</si>
  <si>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</si>
  <si>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</si>
  <si>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</si>
  <si>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</si>
  <si>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</si>
  <si>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</si>
  <si>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</si>
  <si>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</si>
  <si>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</si>
  <si>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</si>
  <si>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</si>
  <si>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</si>
  <si>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</si>
  <si>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</si>
  <si>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</si>
  <si>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</si>
  <si>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</si>
  <si>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</si>
  <si>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</si>
  <si>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</si>
  <si>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</si>
  <si>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</si>
  <si>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</si>
  <si>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</si>
  <si>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</si>
  <si>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</si>
  <si>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</si>
  <si>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</si>
  <si>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</si>
  <si>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</si>
  <si>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</si>
  <si>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</si>
  <si>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</si>
  <si>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</si>
  <si>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</si>
  <si>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</si>
  <si>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</si>
  <si>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</si>
  <si>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</si>
  <si>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</si>
  <si>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</si>
  <si>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</si>
  <si>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</si>
  <si>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</si>
  <si>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</si>
  <si>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</si>
  <si>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</si>
  <si>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</si>
  <si>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</si>
  <si>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</si>
  <si>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</si>
  <si>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</si>
  <si>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</si>
  <si>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</si>
  <si>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</si>
  <si>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</si>
  <si>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</si>
  <si>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</si>
  <si>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</si>
  <si>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</si>
  <si>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</si>
  <si>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</si>
  <si>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</si>
  <si>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</si>
  <si>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</si>
  <si>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</si>
  <si>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</si>
  <si>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</si>
  <si>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</si>
  <si>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</si>
  <si>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</si>
  <si>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</si>
  <si>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</si>
  <si>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</si>
  <si>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</si>
  <si>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</si>
  <si>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</si>
  <si>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</si>
  <si>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</si>
  <si>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</si>
  <si>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</si>
  <si>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</si>
  <si>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</si>
  <si>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</si>
  <si>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</si>
  <si>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</si>
  <si>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</si>
  <si>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</si>
  <si>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</si>
  <si>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</si>
  <si>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</si>
  <si>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</si>
  <si>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</si>
  <si>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</si>
  <si>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</si>
  <si>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</si>
  <si>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</si>
  <si>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</si>
  <si>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</si>
  <si>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</si>
  <si>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</si>
  <si>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</si>
  <si>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</si>
  <si>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</si>
  <si>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</si>
  <si>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</si>
  <si>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</si>
  <si>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</si>
  <si>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</si>
  <si>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</si>
  <si>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</si>
  <si>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</si>
  <si>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</si>
  <si>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</si>
  <si>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</si>
  <si>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</si>
  <si>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</si>
  <si>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</si>
  <si>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</si>
  <si>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</si>
  <si>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</si>
  <si>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</si>
  <si>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</si>
  <si>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</si>
  <si>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</si>
  <si>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</si>
  <si>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</si>
  <si>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</si>
  <si>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</si>
  <si>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</si>
  <si>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</si>
  <si>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</si>
  <si>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</si>
  <si>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</si>
  <si>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</si>
  <si>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</si>
  <si>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</si>
  <si>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</si>
  <si>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</si>
  <si>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</si>
  <si>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</si>
  <si>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</si>
  <si>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</si>
  <si>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</si>
  <si>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</si>
  <si>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</si>
  <si>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</si>
  <si>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</si>
  <si>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</si>
  <si>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</si>
  <si>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</si>
  <si>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</si>
  <si>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</si>
  <si>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</si>
  <si>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</si>
  <si>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</si>
  <si>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</si>
  <si>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</si>
  <si>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</si>
  <si>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</si>
  <si>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</si>
  <si>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</si>
  <si>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</si>
  <si>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</si>
  <si>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</si>
  <si>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</si>
  <si>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</si>
  <si>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</si>
  <si>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</si>
  <si>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</si>
  <si>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</si>
  <si>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</si>
  <si>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</si>
  <si>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</si>
  <si>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</si>
  <si>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</si>
  <si>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</si>
  <si>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</si>
  <si>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</si>
  <si>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</si>
  <si>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</si>
  <si>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</si>
  <si>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</si>
  <si>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</si>
  <si>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</si>
  <si>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</si>
  <si>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</si>
  <si>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</si>
  <si>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</si>
  <si>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</si>
  <si>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Ripetuto</t>
  </si>
  <si>
    <t>Calcolato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</si>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</sst>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15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4" borderId="0" xfId="1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/>
    <xf numFmtId="2" fontId="0" fillId="2" borderId="0" xfId="0" applyNumberFormat="1" applyFill="1"/>
    <xf numFmtId="2" fontId="0" fillId="4" borderId="0" xfId="0" applyNumberFormat="1" applyFill="1"/>
    <xf numFmtId="0" fontId="0" fillId="0" borderId="0" xfId="0" applyAlignment="1"/>
    <xf numFmtId="3" fontId="0" fillId="0" borderId="0" xfId="0" applyNumberFormat="1" applyAlignment="1"/>
    <xf numFmtId="4" fontId="0" fillId="0" borderId="0" xfId="0" applyNumberFormat="1"/>
    <xf numFmtId="3" fontId="0" fillId="0" borderId="0" xfId="0" applyNumberFormat="1" applyFill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10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3191793428481"/>
          <c:y val="5.4234059497589075E-2"/>
          <c:w val="0.86264781634690835"/>
          <c:h val="0.76529723000311223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556096016.52999997</c:v>
                </c:pt>
                <c:pt idx="1">
                  <c:v>570250447.74000001</c:v>
                </c:pt>
                <c:pt idx="2">
                  <c:v>583147880.58000004</c:v>
                </c:pt>
                <c:pt idx="3">
                  <c:v>540317213.86000001</c:v>
                </c:pt>
                <c:pt idx="4">
                  <c:v>574098811.25</c:v>
                </c:pt>
                <c:pt idx="5">
                  <c:v>622813781.35000002</c:v>
                </c:pt>
                <c:pt idx="6">
                  <c:v>675200536.30999994</c:v>
                </c:pt>
                <c:pt idx="7">
                  <c:v>700370268.32000005</c:v>
                </c:pt>
                <c:pt idx="8">
                  <c:v>715739494.48000002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333523579.02999997</c:v>
                </c:pt>
                <c:pt idx="1">
                  <c:v>242001182.47999999</c:v>
                </c:pt>
                <c:pt idx="2">
                  <c:v>245369461.69</c:v>
                </c:pt>
                <c:pt idx="3">
                  <c:v>247964841.58000001</c:v>
                </c:pt>
                <c:pt idx="4">
                  <c:v>280927788.77999997</c:v>
                </c:pt>
                <c:pt idx="5">
                  <c:v>214177510.02000001</c:v>
                </c:pt>
                <c:pt idx="6">
                  <c:v>193803586.08000001</c:v>
                </c:pt>
                <c:pt idx="7">
                  <c:v>185526771.03999999</c:v>
                </c:pt>
                <c:pt idx="8">
                  <c:v>167817252.06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746288"/>
        <c:axId val="1741745200"/>
      </c:lineChart>
      <c:catAx>
        <c:axId val="17417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41745200"/>
        <c:crosses val="autoZero"/>
        <c:auto val="1"/>
        <c:lblAlgn val="ctr"/>
        <c:lblOffset val="100"/>
        <c:noMultiLvlLbl val="0"/>
      </c:catAx>
      <c:valAx>
        <c:axId val="1741745200"/>
        <c:scaling>
          <c:orientation val="minMax"/>
          <c:max val="730000000"/>
          <c:min val="1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741746288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47043861785319E-2"/>
          <c:y val="6.4783506216368081E-2"/>
          <c:w val="0.95679921453118533"/>
          <c:h val="0.74878391210908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161.44</c:v>
                </c:pt>
                <c:pt idx="1">
                  <c:v>195.92</c:v>
                </c:pt>
                <c:pt idx="2">
                  <c:v>152.43</c:v>
                </c:pt>
                <c:pt idx="3">
                  <c:v>200.55705658954699</c:v>
                </c:pt>
                <c:pt idx="4">
                  <c:v>248.21</c:v>
                </c:pt>
                <c:pt idx="5">
                  <c:v>90.52</c:v>
                </c:pt>
                <c:pt idx="6">
                  <c:v>137.02000000000001</c:v>
                </c:pt>
                <c:pt idx="7">
                  <c:v>494.44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7"/>
              <c:layout>
                <c:manualLayout>
                  <c:x val="1.1451474377325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08192"/>
        <c:axId val="1657604384"/>
      </c:barChart>
      <c:catAx>
        <c:axId val="165760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604384"/>
        <c:crosses val="autoZero"/>
        <c:auto val="1"/>
        <c:lblAlgn val="ctr"/>
        <c:lblOffset val="100"/>
        <c:noMultiLvlLbl val="0"/>
      </c:catAx>
      <c:valAx>
        <c:axId val="1657604384"/>
        <c:scaling>
          <c:orientation val="minMax"/>
          <c:max val="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65760819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61E-2"/>
          <c:y val="3.6934441366574503E-3"/>
          <c:w val="0.956799214531185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88</c:v>
                </c:pt>
                <c:pt idx="1">
                  <c:v>127.55</c:v>
                </c:pt>
                <c:pt idx="2">
                  <c:v>213.8</c:v>
                </c:pt>
                <c:pt idx="3">
                  <c:v>38.22</c:v>
                </c:pt>
                <c:pt idx="4">
                  <c:v>38.22</c:v>
                </c:pt>
                <c:pt idx="5">
                  <c:v>154.11000000000001</c:v>
                </c:pt>
                <c:pt idx="6">
                  <c:v>61.43</c:v>
                </c:pt>
                <c:pt idx="7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06016"/>
        <c:axId val="1657607648"/>
      </c:barChart>
      <c:catAx>
        <c:axId val="165760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607648"/>
        <c:crosses val="autoZero"/>
        <c:auto val="1"/>
        <c:lblAlgn val="ctr"/>
        <c:lblOffset val="100"/>
        <c:noMultiLvlLbl val="0"/>
      </c:catAx>
      <c:valAx>
        <c:axId val="1657607648"/>
        <c:scaling>
          <c:orientation val="minMax"/>
          <c:max val="23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65760601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446E-2"/>
          <c:y val="0"/>
          <c:w val="0.95679921453118533"/>
          <c:h val="0.798793668796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2674.8704446144179</c:v>
                </c:pt>
                <c:pt idx="1">
                  <c:v>2643.7528808935585</c:v>
                </c:pt>
                <c:pt idx="2">
                  <c:v>2554.691824885504</c:v>
                </c:pt>
                <c:pt idx="3">
                  <c:v>2508.6666134424427</c:v>
                </c:pt>
                <c:pt idx="4">
                  <c:v>2424.1015523731903</c:v>
                </c:pt>
                <c:pt idx="5">
                  <c:v>2526.9772918520916</c:v>
                </c:pt>
                <c:pt idx="6">
                  <c:v>2229.3630702868177</c:v>
                </c:pt>
                <c:pt idx="7">
                  <c:v>2089.961551982989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81715812577534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431625155068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3431625155065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3162515507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542895314438261E-3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428953144383998E-3"/>
                  <c:y val="-3.8468936333910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360053440213621E-2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451474377325941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06560"/>
        <c:axId val="1825757600"/>
      </c:barChart>
      <c:catAx>
        <c:axId val="16576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825757600"/>
        <c:crosses val="autoZero"/>
        <c:auto val="1"/>
        <c:lblAlgn val="ctr"/>
        <c:lblOffset val="100"/>
        <c:noMultiLvlLbl val="0"/>
      </c:catAx>
      <c:valAx>
        <c:axId val="1825757600"/>
        <c:scaling>
          <c:orientation val="minMax"/>
          <c:max val="300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65760656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392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169795</c:v>
                </c:pt>
                <c:pt idx="1">
                  <c:v>171181</c:v>
                </c:pt>
                <c:pt idx="2">
                  <c:v>172479</c:v>
                </c:pt>
                <c:pt idx="3">
                  <c:v>173026</c:v>
                </c:pt>
                <c:pt idx="4">
                  <c:v>174885</c:v>
                </c:pt>
                <c:pt idx="5">
                  <c:v>176299</c:v>
                </c:pt>
                <c:pt idx="6">
                  <c:v>177524</c:v>
                </c:pt>
                <c:pt idx="7">
                  <c:v>178827</c:v>
                </c:pt>
                <c:pt idx="8">
                  <c:v>179466</c:v>
                </c:pt>
                <c:pt idx="9">
                  <c:v>180614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758144"/>
        <c:axId val="1825751616"/>
      </c:barChart>
      <c:catAx>
        <c:axId val="1825758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825751616"/>
        <c:crosses val="autoZero"/>
        <c:auto val="1"/>
        <c:lblAlgn val="ctr"/>
        <c:lblOffset val="100"/>
        <c:noMultiLvlLbl val="0"/>
      </c:catAx>
      <c:valAx>
        <c:axId val="1825751616"/>
        <c:scaling>
          <c:orientation val="minMax"/>
          <c:max val="22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825758144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556096016.52999997</c:v>
                </c:pt>
                <c:pt idx="1">
                  <c:v>570250447.74000001</c:v>
                </c:pt>
                <c:pt idx="2">
                  <c:v>583147880.58000004</c:v>
                </c:pt>
                <c:pt idx="3">
                  <c:v>540317213.86000001</c:v>
                </c:pt>
                <c:pt idx="4">
                  <c:v>574098811.25</c:v>
                </c:pt>
                <c:pt idx="5">
                  <c:v>622813781.35000002</c:v>
                </c:pt>
                <c:pt idx="6">
                  <c:v>675200536.30999994</c:v>
                </c:pt>
                <c:pt idx="7">
                  <c:v>700370268.32000005</c:v>
                </c:pt>
                <c:pt idx="8">
                  <c:v>715739494.48000002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331247167.82999998</c:v>
                </c:pt>
                <c:pt idx="1">
                  <c:v>289211936.94999999</c:v>
                </c:pt>
                <c:pt idx="2">
                  <c:v>299747286.20999998</c:v>
                </c:pt>
                <c:pt idx="3">
                  <c:v>299802178</c:v>
                </c:pt>
                <c:pt idx="4">
                  <c:v>361338758.89999998</c:v>
                </c:pt>
                <c:pt idx="5">
                  <c:v>398275531.52999997</c:v>
                </c:pt>
                <c:pt idx="6">
                  <c:v>439743269.04000002</c:v>
                </c:pt>
                <c:pt idx="7">
                  <c:v>484041581.36000001</c:v>
                </c:pt>
                <c:pt idx="8">
                  <c:v>497287243.68000001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41741392"/>
        <c:axId val="174174302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59.566542104897458</c:v>
                </c:pt>
                <c:pt idx="1">
                  <c:v>50.716652322886603</c:v>
                </c:pt>
                <c:pt idx="2">
                  <c:v>51.40159060714938</c:v>
                </c:pt>
                <c:pt idx="3">
                  <c:v>55.486327348008722</c:v>
                </c:pt>
                <c:pt idx="4">
                  <c:v>62.94016845519117</c:v>
                </c:pt>
                <c:pt idx="5">
                  <c:v>63.947771140629719</c:v>
                </c:pt>
                <c:pt idx="6">
                  <c:v>65.1278020961322</c:v>
                </c:pt>
                <c:pt idx="7">
                  <c:v>69.112240089957794</c:v>
                </c:pt>
                <c:pt idx="8">
                  <c:v>69.47880444145251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746832"/>
        <c:axId val="1741748464"/>
      </c:lineChart>
      <c:catAx>
        <c:axId val="17417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1743024"/>
        <c:crosses val="autoZero"/>
        <c:auto val="1"/>
        <c:lblAlgn val="ctr"/>
        <c:lblOffset val="100"/>
        <c:noMultiLvlLbl val="0"/>
      </c:catAx>
      <c:valAx>
        <c:axId val="17417430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1741392"/>
        <c:crosses val="autoZero"/>
        <c:crossBetween val="between"/>
      </c:valAx>
      <c:valAx>
        <c:axId val="1741748464"/>
        <c:scaling>
          <c:orientation val="minMax"/>
          <c:max val="70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1746832"/>
        <c:crosses val="max"/>
        <c:crossBetween val="between"/>
        <c:majorUnit val="5"/>
      </c:valAx>
      <c:catAx>
        <c:axId val="174174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1748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08276365167822E-2"/>
          <c:y val="1.9227205294990429E-2"/>
          <c:w val="0.8584903248125502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2-4A04-9E53-9354787A259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CE-4997-A05E-D2F78CC771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0082250865138839E-2"/>
                  <c:y val="-4.9653230432288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C2-4A04-9E53-9354787A259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CE-4997-A05E-D2F78CC771A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-277457846.41000003</c:v>
                </c:pt>
                <c:pt idx="1">
                  <c:v>-4093269.2700000447</c:v>
                </c:pt>
                <c:pt idx="2">
                  <c:v>-92524290.630000025</c:v>
                </c:pt>
                <c:pt idx="3">
                  <c:v>-16245851.649999989</c:v>
                </c:pt>
                <c:pt idx="4">
                  <c:v>135299023.57000002</c:v>
                </c:pt>
                <c:pt idx="5">
                  <c:v>93080130.829999998</c:v>
                </c:pt>
                <c:pt idx="6">
                  <c:v>33674575.800000012</c:v>
                </c:pt>
                <c:pt idx="7">
                  <c:v>83542883.689999998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47920"/>
        <c:axId val="1741741936"/>
      </c:barChart>
      <c:catAx>
        <c:axId val="174174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741741936"/>
        <c:crosses val="autoZero"/>
        <c:auto val="1"/>
        <c:lblAlgn val="ctr"/>
        <c:lblOffset val="100"/>
        <c:noMultiLvlLbl val="0"/>
      </c:catAx>
      <c:valAx>
        <c:axId val="1741741936"/>
        <c:scaling>
          <c:orientation val="minMax"/>
          <c:max val="160000000"/>
          <c:min val="-320000000"/>
        </c:scaling>
        <c:delete val="1"/>
        <c:axPos val="b"/>
        <c:numFmt formatCode="#,##0" sourceLinked="1"/>
        <c:majorTickMark val="out"/>
        <c:minorTickMark val="none"/>
        <c:tickLblPos val="none"/>
        <c:crossAx val="1741747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Stato_patrimoniale!$B$21:$I$21</c:f>
              <c:numCache>
                <c:formatCode>#,##0</c:formatCode>
                <c:ptCount val="8"/>
                <c:pt idx="0">
                  <c:v>489594911.82999998</c:v>
                </c:pt>
                <c:pt idx="1">
                  <c:v>482619732.16000003</c:v>
                </c:pt>
                <c:pt idx="2">
                  <c:v>463541167.55000001</c:v>
                </c:pt>
                <c:pt idx="3">
                  <c:v>452485688.39999998</c:v>
                </c:pt>
                <c:pt idx="4">
                  <c:v>437232772.89999998</c:v>
                </c:pt>
                <c:pt idx="5">
                  <c:v>412809887.13999999</c:v>
                </c:pt>
                <c:pt idx="6">
                  <c:v>384518313</c:v>
                </c:pt>
                <c:pt idx="7">
                  <c:v>357761708.43000001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Stato_patrimoniale!$B$22:$I$22</c:f>
              <c:numCache>
                <c:formatCode>#,##0</c:formatCode>
                <c:ptCount val="8"/>
                <c:pt idx="0">
                  <c:v>126904379.81999999</c:v>
                </c:pt>
                <c:pt idx="1">
                  <c:v>115213541.56</c:v>
                </c:pt>
                <c:pt idx="2">
                  <c:v>112610250.77</c:v>
                </c:pt>
                <c:pt idx="3">
                  <c:v>139009242.44</c:v>
                </c:pt>
                <c:pt idx="4">
                  <c:v>105134562.61</c:v>
                </c:pt>
                <c:pt idx="5">
                  <c:v>78012597.810000002</c:v>
                </c:pt>
                <c:pt idx="6">
                  <c:v>68327745.209999993</c:v>
                </c:pt>
                <c:pt idx="7">
                  <c:v>64358840.57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Stato_patrimoniale!$B$23:$I$23</c:f>
              <c:numCache>
                <c:formatCode>#,##0</c:formatCode>
                <c:ptCount val="8"/>
                <c:pt idx="0">
                  <c:v>36712215.259999998</c:v>
                </c:pt>
                <c:pt idx="1">
                  <c:v>41296450.020000003</c:v>
                </c:pt>
                <c:pt idx="2">
                  <c:v>47442340.759999998</c:v>
                </c:pt>
                <c:pt idx="3">
                  <c:v>53877802.07</c:v>
                </c:pt>
                <c:pt idx="4">
                  <c:v>57277530.229999997</c:v>
                </c:pt>
                <c:pt idx="5">
                  <c:v>58296288.149999999</c:v>
                </c:pt>
                <c:pt idx="6">
                  <c:v>54607357.700000003</c:v>
                </c:pt>
                <c:pt idx="7">
                  <c:v>53303886.460000001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Stato_patrimoniale!$B$24:$I$24</c:f>
              <c:numCache>
                <c:formatCode>#,##0</c:formatCode>
                <c:ptCount val="8"/>
                <c:pt idx="0">
                  <c:v>52553926.469999999</c:v>
                </c:pt>
                <c:pt idx="1">
                  <c:v>54686823.719999999</c:v>
                </c:pt>
                <c:pt idx="2">
                  <c:v>51649070.590000004</c:v>
                </c:pt>
                <c:pt idx="3">
                  <c:v>49712570.710000001</c:v>
                </c:pt>
                <c:pt idx="4">
                  <c:v>48444830.939999998</c:v>
                </c:pt>
                <c:pt idx="5">
                  <c:v>53481744.57</c:v>
                </c:pt>
                <c:pt idx="6">
                  <c:v>60122992.189999998</c:v>
                </c:pt>
                <c:pt idx="7">
                  <c:v>47997221.920000002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743568"/>
        <c:axId val="1741744656"/>
      </c:barChart>
      <c:catAx>
        <c:axId val="174174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41744656"/>
        <c:crosses val="autoZero"/>
        <c:auto val="1"/>
        <c:lblAlgn val="ctr"/>
        <c:lblOffset val="100"/>
        <c:noMultiLvlLbl val="0"/>
      </c:catAx>
      <c:valAx>
        <c:axId val="1741744656"/>
        <c:scaling>
          <c:orientation val="minMax"/>
          <c:max val="72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741743568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474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Stato_patrimoniale!$B$14:$I$14</c:f>
              <c:numCache>
                <c:formatCode>#,##0</c:formatCode>
                <c:ptCount val="8"/>
                <c:pt idx="0">
                  <c:v>146688468.03</c:v>
                </c:pt>
                <c:pt idx="1">
                  <c:v>145141287.88999999</c:v>
                </c:pt>
                <c:pt idx="2">
                  <c:v>145141287.88999999</c:v>
                </c:pt>
                <c:pt idx="3">
                  <c:v>80650715.040000007</c:v>
                </c:pt>
                <c:pt idx="4">
                  <c:v>79181459.230000004</c:v>
                </c:pt>
                <c:pt idx="5">
                  <c:v>78666304.269999996</c:v>
                </c:pt>
                <c:pt idx="6">
                  <c:v>78280182.939999998</c:v>
                </c:pt>
                <c:pt idx="7">
                  <c:v>78280182.939999998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Stato_patrimoniale!$B$15:$I$15</c:f>
              <c:numCache>
                <c:formatCode>#,##0</c:formatCode>
                <c:ptCount val="8"/>
                <c:pt idx="0">
                  <c:v>523153696.17000002</c:v>
                </c:pt>
                <c:pt idx="1">
                  <c:v>246548231.53999999</c:v>
                </c:pt>
                <c:pt idx="2">
                  <c:v>244138756.69999999</c:v>
                </c:pt>
                <c:pt idx="3">
                  <c:v>217295538.66</c:v>
                </c:pt>
                <c:pt idx="4">
                  <c:v>203420504.75</c:v>
                </c:pt>
                <c:pt idx="5">
                  <c:v>599597657.77999997</c:v>
                </c:pt>
                <c:pt idx="6">
                  <c:v>602124808.89999998</c:v>
                </c:pt>
                <c:pt idx="7">
                  <c:v>602971916.22000003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Stato_patrimoniale!$B$17:$I$17</c:f>
              <c:numCache>
                <c:formatCode>#,##0</c:formatCode>
                <c:ptCount val="8"/>
                <c:pt idx="0">
                  <c:v>-277459346.81</c:v>
                </c:pt>
                <c:pt idx="1">
                  <c:v>-4123269.27</c:v>
                </c:pt>
                <c:pt idx="2">
                  <c:v>-92524290.629999995</c:v>
                </c:pt>
                <c:pt idx="3">
                  <c:v>-16245851.65</c:v>
                </c:pt>
                <c:pt idx="4">
                  <c:v>135299023.56999999</c:v>
                </c:pt>
                <c:pt idx="5">
                  <c:v>93080130.829999998</c:v>
                </c:pt>
                <c:pt idx="6">
                  <c:v>33674575.770000003</c:v>
                </c:pt>
                <c:pt idx="7">
                  <c:v>83542883.689999998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1745744"/>
        <c:axId val="1657609280"/>
      </c:barChart>
      <c:catAx>
        <c:axId val="174174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57609280"/>
        <c:crosses val="autoZero"/>
        <c:auto val="1"/>
        <c:lblAlgn val="ctr"/>
        <c:lblOffset val="100"/>
        <c:noMultiLvlLbl val="0"/>
      </c:catAx>
      <c:valAx>
        <c:axId val="1657609280"/>
        <c:scaling>
          <c:orientation val="minMax"/>
          <c:max val="700000000.00000012"/>
          <c:min val="-5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741745744"/>
        <c:crosses val="autoZero"/>
        <c:crossBetween val="between"/>
        <c:majorUnit val="500000000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51E-2"/>
          <c:w val="0.91226637907374553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32.795045772920403</c:v>
                </c:pt>
                <c:pt idx="1">
                  <c:v>29.659840134857369</c:v>
                </c:pt>
                <c:pt idx="2">
                  <c:v>30.73371232992465</c:v>
                </c:pt>
                <c:pt idx="3">
                  <c:v>27.611476568145328</c:v>
                </c:pt>
                <c:pt idx="4">
                  <c:v>25.110780195291998</c:v>
                </c:pt>
                <c:pt idx="5">
                  <c:v>24.56</c:v>
                </c:pt>
                <c:pt idx="6">
                  <c:v>26.2984471084227</c:v>
                </c:pt>
                <c:pt idx="7">
                  <c:v>23.605411883163374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41.9216406555012</c:v>
                </c:pt>
                <c:pt idx="1">
                  <c:v>34.809319997882845</c:v>
                </c:pt>
                <c:pt idx="2">
                  <c:v>39.577252340018973</c:v>
                </c:pt>
                <c:pt idx="3">
                  <c:v>39.311085106742745</c:v>
                </c:pt>
                <c:pt idx="4">
                  <c:v>45.957058823916327</c:v>
                </c:pt>
                <c:pt idx="5">
                  <c:v>37.949492308988617</c:v>
                </c:pt>
                <c:pt idx="6">
                  <c:v>28.696185029210881</c:v>
                </c:pt>
                <c:pt idx="7">
                  <c:v>30.098577643797565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33.252239835789659</c:v>
                </c:pt>
                <c:pt idx="1">
                  <c:v>31.58012125354584</c:v>
                </c:pt>
                <c:pt idx="2">
                  <c:v>35.116472904708807</c:v>
                </c:pt>
                <c:pt idx="3">
                  <c:v>34.758475284511192</c:v>
                </c:pt>
                <c:pt idx="4">
                  <c:v>39.849867084099294</c:v>
                </c:pt>
                <c:pt idx="5">
                  <c:v>29.382332094248554</c:v>
                </c:pt>
                <c:pt idx="6">
                  <c:v>27.403091403495615</c:v>
                </c:pt>
                <c:pt idx="7">
                  <c:v>28.039184196703136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07104"/>
        <c:axId val="1657610912"/>
      </c:lineChart>
      <c:catAx>
        <c:axId val="16576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7610912"/>
        <c:crosses val="autoZero"/>
        <c:auto val="1"/>
        <c:lblAlgn val="ctr"/>
        <c:lblOffset val="100"/>
        <c:noMultiLvlLbl val="0"/>
      </c:catAx>
      <c:valAx>
        <c:axId val="1657610912"/>
        <c:scaling>
          <c:orientation val="minMax"/>
          <c:max val="5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57607104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1"/>
          <c:w val="0.96177967444791479"/>
          <c:h val="0.1795680460155257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59E-2"/>
          <c:w val="0.9029842635309353"/>
          <c:h val="0.719441212075713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2.8227050923039338</c:v>
                </c:pt>
                <c:pt idx="1">
                  <c:v>2.616212865095465</c:v>
                </c:pt>
                <c:pt idx="2">
                  <c:v>2.3469622908317738</c:v>
                </c:pt>
                <c:pt idx="3">
                  <c:v>2.4950540573921143</c:v>
                </c:pt>
                <c:pt idx="4">
                  <c:v>1.9091258184803488</c:v>
                </c:pt>
                <c:pt idx="5">
                  <c:v>3.573749187784276</c:v>
                </c:pt>
                <c:pt idx="6">
                  <c:v>3.3659066232356136</c:v>
                </c:pt>
                <c:pt idx="7">
                  <c:v>2.488059535710319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15.924986761097687</c:v>
                </c:pt>
                <c:pt idx="1">
                  <c:v>18.249964625879198</c:v>
                </c:pt>
                <c:pt idx="2">
                  <c:v>18.367770937430617</c:v>
                </c:pt>
                <c:pt idx="3">
                  <c:v>17.975835765818665</c:v>
                </c:pt>
                <c:pt idx="4">
                  <c:v>19.757493270942476</c:v>
                </c:pt>
                <c:pt idx="5">
                  <c:v>30.734243014944774</c:v>
                </c:pt>
                <c:pt idx="6">
                  <c:v>35.863192182410423</c:v>
                </c:pt>
                <c:pt idx="7">
                  <c:v>29.778962568032874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5.52416750039108</c:v>
                </c:pt>
                <c:pt idx="1">
                  <c:v>6.8862510384952902</c:v>
                </c:pt>
                <c:pt idx="2">
                  <c:v>7.2383959555481114</c:v>
                </c:pt>
                <c:pt idx="3">
                  <c:v>5.700093444474934</c:v>
                </c:pt>
                <c:pt idx="4">
                  <c:v>2.0652375413751365</c:v>
                </c:pt>
                <c:pt idx="5">
                  <c:v>5.2631578947368425</c:v>
                </c:pt>
                <c:pt idx="6">
                  <c:v>6.2866449511400653</c:v>
                </c:pt>
                <c:pt idx="7">
                  <c:v>11.540597578584917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4.562596322991241</c:v>
                </c:pt>
                <c:pt idx="1">
                  <c:v>5.4485843527341444</c:v>
                </c:pt>
                <c:pt idx="2">
                  <c:v>4.4848452217159842</c:v>
                </c:pt>
                <c:pt idx="3">
                  <c:v>3.5522921815095283</c:v>
                </c:pt>
                <c:pt idx="4">
                  <c:v>4.6831908906329884</c:v>
                </c:pt>
                <c:pt idx="5">
                  <c:v>9.3892137751786873</c:v>
                </c:pt>
                <c:pt idx="6">
                  <c:v>9.5656894679695998</c:v>
                </c:pt>
                <c:pt idx="7">
                  <c:v>10.007775186049095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611456"/>
        <c:axId val="1657604928"/>
      </c:barChart>
      <c:catAx>
        <c:axId val="165761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657604928"/>
        <c:crosses val="autoZero"/>
        <c:auto val="1"/>
        <c:lblAlgn val="ctr"/>
        <c:lblOffset val="100"/>
        <c:noMultiLvlLbl val="0"/>
      </c:catAx>
      <c:valAx>
        <c:axId val="1657604928"/>
        <c:scaling>
          <c:orientation val="minMax"/>
          <c:max val="55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5761145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5905608055479965"/>
          <c:w val="0.95561111111111163"/>
          <c:h val="0.1131664023423203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55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72.44941410973496</c:v>
                </c:pt>
                <c:pt idx="1">
                  <c:v>64.674918456349758</c:v>
                </c:pt>
                <c:pt idx="2">
                  <c:v>58.495036254597586</c:v>
                </c:pt>
                <c:pt idx="3">
                  <c:v>39.40316574750932</c:v>
                </c:pt>
                <c:pt idx="4">
                  <c:v>45.511414645286443</c:v>
                </c:pt>
                <c:pt idx="5">
                  <c:v>54.57</c:v>
                </c:pt>
                <c:pt idx="6">
                  <c:v>52.222129988065824</c:v>
                </c:pt>
                <c:pt idx="7">
                  <c:v>52.222129988065824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33.901196420942654</c:v>
                </c:pt>
                <c:pt idx="1">
                  <c:v>34.192561998981304</c:v>
                </c:pt>
                <c:pt idx="2">
                  <c:v>34.678698890427384</c:v>
                </c:pt>
                <c:pt idx="3">
                  <c:v>24.068455016357081</c:v>
                </c:pt>
                <c:pt idx="4">
                  <c:v>54.803662611749068</c:v>
                </c:pt>
                <c:pt idx="5">
                  <c:v>53.33</c:v>
                </c:pt>
                <c:pt idx="6">
                  <c:v>50.122002387575748</c:v>
                </c:pt>
                <c:pt idx="7">
                  <c:v>59.007433965573519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42.385859848805325</c:v>
                </c:pt>
                <c:pt idx="1">
                  <c:v>30.000123971201951</c:v>
                </c:pt>
                <c:pt idx="2">
                  <c:v>41.320211575312271</c:v>
                </c:pt>
                <c:pt idx="3">
                  <c:v>27.820241591977585</c:v>
                </c:pt>
                <c:pt idx="4">
                  <c:v>43.333586279386971</c:v>
                </c:pt>
                <c:pt idx="5">
                  <c:v>40.36</c:v>
                </c:pt>
                <c:pt idx="6">
                  <c:v>31.386979019136973</c:v>
                </c:pt>
                <c:pt idx="7">
                  <c:v>63.830705203758356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72.581107820524906</c:v>
                </c:pt>
                <c:pt idx="1">
                  <c:v>60.745334148307208</c:v>
                </c:pt>
                <c:pt idx="2">
                  <c:v>56.219782879639247</c:v>
                </c:pt>
                <c:pt idx="3">
                  <c:v>53.163393802908089</c:v>
                </c:pt>
                <c:pt idx="4">
                  <c:v>46.12796851451899</c:v>
                </c:pt>
                <c:pt idx="5">
                  <c:v>47.39</c:v>
                </c:pt>
                <c:pt idx="6">
                  <c:v>47.426548922010305</c:v>
                </c:pt>
                <c:pt idx="7">
                  <c:v>71.811568549862045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08736"/>
        <c:axId val="1657605472"/>
      </c:lineChart>
      <c:catAx>
        <c:axId val="165760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605472"/>
        <c:crosses val="autoZero"/>
        <c:auto val="1"/>
        <c:lblAlgn val="ctr"/>
        <c:lblOffset val="100"/>
        <c:noMultiLvlLbl val="0"/>
      </c:catAx>
      <c:valAx>
        <c:axId val="1657605472"/>
        <c:scaling>
          <c:orientation val="minMax"/>
          <c:max val="75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57608736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47E-2"/>
          <c:y val="0"/>
          <c:w val="0.95679921453118466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-3.8171581257753604E-3"/>
                  <c:y val="7.6937872667820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5428953144383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214.35</c:v>
                </c:pt>
                <c:pt idx="1">
                  <c:v>209.13</c:v>
                </c:pt>
                <c:pt idx="2">
                  <c:v>206.3</c:v>
                </c:pt>
                <c:pt idx="3">
                  <c:v>180.75115987549967</c:v>
                </c:pt>
                <c:pt idx="4">
                  <c:v>171.18</c:v>
                </c:pt>
                <c:pt idx="5">
                  <c:v>170.52</c:v>
                </c:pt>
                <c:pt idx="6">
                  <c:v>193</c:v>
                </c:pt>
                <c:pt idx="7">
                  <c:v>185.11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09824"/>
        <c:axId val="1657610368"/>
      </c:barChart>
      <c:catAx>
        <c:axId val="16576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657610368"/>
        <c:crosses val="autoZero"/>
        <c:auto val="1"/>
        <c:lblAlgn val="ctr"/>
        <c:lblOffset val="100"/>
        <c:noMultiLvlLbl val="0"/>
      </c:catAx>
      <c:valAx>
        <c:axId val="1657610368"/>
        <c:scaling>
          <c:orientation val="minMax"/>
          <c:max val="42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65760982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1400174</xdr:colOff>
      <xdr:row>25</xdr:row>
      <xdr:rowOff>66676</xdr:rowOff>
    </xdr:from>
    <xdr:to>
      <xdr:col>8</xdr:col>
      <xdr:colOff>647700</xdr:colOff>
      <xdr:row>47</xdr:row>
      <xdr:rowOff>123826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1590675</xdr:colOff>
      <xdr:row>49</xdr:row>
      <xdr:rowOff>47625</xdr:rowOff>
    </xdr:from>
    <xdr:to>
      <xdr:col>9</xdr:col>
      <xdr:colOff>68580</xdr:colOff>
      <xdr:row>71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4396740</xdr:colOff>
      <xdr:row>31</xdr:row>
      <xdr:rowOff>72390</xdr:rowOff>
    </xdr:from>
    <xdr:to>
      <xdr:col>9</xdr:col>
      <xdr:colOff>190501</xdr:colOff>
      <xdr:row>46</xdr:row>
      <xdr:rowOff>91440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8</xdr:col>
      <xdr:colOff>396241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441960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9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bestFit="1" customWidth="1"/>
    <col min="13" max="13" width="7.109375" customWidth="1"/>
    <col min="14" max="15" width="15.33203125" bestFit="1" customWidth="1"/>
    <col min="16" max="16" width="7.109375" customWidth="1"/>
    <col min="17" max="18" width="15.33203125" bestFit="1" customWidth="1"/>
    <col min="19" max="19" width="7.109375" customWidth="1"/>
    <col min="20" max="21" width="15.33203125" bestFit="1" customWidth="1"/>
    <col min="22" max="22" width="7.109375" customWidth="1"/>
    <col min="23" max="24" width="15.33203125" bestFit="1" customWidth="1"/>
    <col min="25" max="25" width="7.109375" customWidth="1"/>
  </cols>
  <sheetData>
    <row r="1" spans="1:27" x14ac:dyDescent="0.3">
      <c r="B1" s="111">
        <v>2016</v>
      </c>
      <c r="C1" s="111"/>
      <c r="D1" s="112"/>
      <c r="E1" s="113">
        <v>2017</v>
      </c>
      <c r="F1" s="111"/>
      <c r="G1" s="112"/>
      <c r="H1" s="113">
        <v>2018</v>
      </c>
      <c r="I1" s="111"/>
      <c r="J1" s="112"/>
      <c r="K1" s="113">
        <v>2019</v>
      </c>
      <c r="L1" s="111"/>
      <c r="M1" s="112"/>
      <c r="N1" s="113">
        <v>2020</v>
      </c>
      <c r="O1" s="111"/>
      <c r="P1" s="112"/>
      <c r="Q1" s="113">
        <v>2021</v>
      </c>
      <c r="R1" s="111"/>
      <c r="S1" s="112"/>
      <c r="T1" s="113">
        <v>2022</v>
      </c>
      <c r="U1" s="111"/>
      <c r="V1" s="112"/>
      <c r="W1" s="113">
        <v>2023</v>
      </c>
      <c r="X1" s="111"/>
      <c r="Y1" s="112"/>
      <c r="Z1" s="110" t="s">
        <v>233</v>
      </c>
      <c r="AA1" s="110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7" t="s">
        <v>74</v>
      </c>
      <c r="J2" s="18" t="s">
        <v>234</v>
      </c>
      <c r="K2" s="23" t="s">
        <v>73</v>
      </c>
      <c r="L2" s="17" t="s">
        <v>74</v>
      </c>
      <c r="M2" s="18" t="s">
        <v>234</v>
      </c>
      <c r="N2" s="23" t="s">
        <v>73</v>
      </c>
      <c r="O2" s="17" t="s">
        <v>74</v>
      </c>
      <c r="P2" s="18" t="s">
        <v>234</v>
      </c>
      <c r="Q2" s="23" t="s">
        <v>73</v>
      </c>
      <c r="R2" s="17" t="s">
        <v>74</v>
      </c>
      <c r="S2" s="18" t="s">
        <v>234</v>
      </c>
      <c r="T2" s="23" t="s">
        <v>73</v>
      </c>
      <c r="U2" s="17" t="s">
        <v>74</v>
      </c>
      <c r="V2" s="18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117962662.06999999</v>
      </c>
      <c r="C3" s="28">
        <v>75585346.609999999</v>
      </c>
      <c r="D3" s="20">
        <f>IF(B3&gt;0,C3/B3*100,"-")</f>
        <v>64.075653502247221</v>
      </c>
      <c r="E3" s="28">
        <v>125918106.79000001</v>
      </c>
      <c r="F3" s="28">
        <v>72025172.849999994</v>
      </c>
      <c r="G3" s="20">
        <f>IF(E3&gt;0,F3/E3*100,"-")</f>
        <v>57.200012520931573</v>
      </c>
      <c r="H3" s="19">
        <v>120708642.44</v>
      </c>
      <c r="I3" s="19">
        <v>76406389.019999996</v>
      </c>
      <c r="J3" s="20">
        <f>IF(H3&gt;0,I3/H3*100,"-")</f>
        <v>63.298192636023487</v>
      </c>
      <c r="K3" s="19">
        <v>133441612.81</v>
      </c>
      <c r="L3" s="19">
        <v>73556975.340000004</v>
      </c>
      <c r="M3" s="20">
        <f>IF(K3&gt;0,L3/K3*100,"-")</f>
        <v>55.122966360376381</v>
      </c>
      <c r="N3" s="19">
        <v>111506303.53</v>
      </c>
      <c r="O3" s="19">
        <v>65619599.960000001</v>
      </c>
      <c r="P3" s="20">
        <f>IF(N3&gt;0,O3/N3*100,"-")</f>
        <v>58.848332231141988</v>
      </c>
      <c r="Q3" s="19">
        <v>127857128.05</v>
      </c>
      <c r="R3" s="19">
        <v>68034716.359999999</v>
      </c>
      <c r="S3" s="20">
        <f>IF(Q3&gt;0,R3/Q3*100,"-")</f>
        <v>53.211516164663294</v>
      </c>
      <c r="T3" s="1">
        <v>132067618.98999999</v>
      </c>
      <c r="U3" s="1">
        <v>77661924.340000004</v>
      </c>
      <c r="V3" s="20">
        <f>IF(T3&gt;0,U3/T3*100,"-")</f>
        <v>58.804667589169199</v>
      </c>
      <c r="W3" s="1">
        <v>141473832.31999999</v>
      </c>
      <c r="X3" s="1">
        <v>75425373.730000004</v>
      </c>
      <c r="Y3" s="20">
        <f>IF(W3&gt;0,X3/W3*100,"-")</f>
        <v>53.314010437912771</v>
      </c>
      <c r="Z3" s="13">
        <f>IF(T3&gt;0,W3/T3*100-100,"-")</f>
        <v>7.1222706988548339</v>
      </c>
      <c r="AA3" s="13">
        <f>IF(U3&gt;0,X3/U3*100-100,"-")</f>
        <v>-2.8798547409261914</v>
      </c>
    </row>
    <row r="4" spans="1:27" x14ac:dyDescent="0.3">
      <c r="A4" t="s">
        <v>21</v>
      </c>
      <c r="B4" s="28">
        <v>17289840.41</v>
      </c>
      <c r="C4" s="28">
        <v>11927761.17</v>
      </c>
      <c r="D4" s="20">
        <f t="shared" ref="D4:D21" si="0">IF(B4&gt;0,C4/B4*100,"-")</f>
        <v>68.987109696520335</v>
      </c>
      <c r="E4" s="28">
        <v>14481998.9</v>
      </c>
      <c r="F4" s="28">
        <v>10452380.01</v>
      </c>
      <c r="G4" s="20">
        <f t="shared" ref="G4:G21" si="1">IF(E4&gt;0,F4/E4*100,"-")</f>
        <v>72.174981383267465</v>
      </c>
      <c r="H4" s="19">
        <v>22861425.710000001</v>
      </c>
      <c r="I4" s="19">
        <v>15593192.470000001</v>
      </c>
      <c r="J4" s="20">
        <f t="shared" ref="J4:J13" si="2">IF(H4&gt;0,I4/H4*100,"-")</f>
        <v>68.207436700587124</v>
      </c>
      <c r="K4" s="19">
        <v>20023882.68</v>
      </c>
      <c r="L4" s="19">
        <v>12271821.09</v>
      </c>
      <c r="M4" s="20">
        <f t="shared" ref="M4:M13" si="3">IF(K4&gt;0,L4/K4*100,"-")</f>
        <v>61.285921847001156</v>
      </c>
      <c r="N4" s="19">
        <v>108014599.2</v>
      </c>
      <c r="O4" s="19">
        <v>102402416.98999999</v>
      </c>
      <c r="P4" s="20">
        <f t="shared" ref="P4:P13" si="4">IF(N4&gt;0,O4/N4*100,"-")</f>
        <v>94.80423734239065</v>
      </c>
      <c r="Q4" s="19">
        <v>68631351.549999997</v>
      </c>
      <c r="R4" s="19">
        <v>58542810.810000002</v>
      </c>
      <c r="S4" s="20">
        <f t="shared" ref="S4:S13" si="5">IF(Q4&gt;0,R4/Q4*100,"-")</f>
        <v>85.300390401535083</v>
      </c>
      <c r="T4" s="1">
        <v>69790732.790000007</v>
      </c>
      <c r="U4" s="1">
        <v>55958104.109999999</v>
      </c>
      <c r="V4" s="20">
        <f t="shared" ref="V4:V13" si="6">IF(T4&gt;0,U4/T4*100,"-")</f>
        <v>80.179848918305069</v>
      </c>
      <c r="W4" s="1">
        <v>47766109.850000001</v>
      </c>
      <c r="X4" s="1">
        <v>32284272.34</v>
      </c>
      <c r="Y4" s="20">
        <f t="shared" ref="Y4:Y21" si="7">IF(W4&gt;0,X4/W4*100,"-")</f>
        <v>67.588238693463538</v>
      </c>
      <c r="Z4" s="13">
        <f t="shared" ref="Z4:AA55" si="8">IF(T4&gt;0,W4/T4*100-100,"-")</f>
        <v>-31.558090966420991</v>
      </c>
      <c r="AA4" s="13">
        <f t="shared" si="8"/>
        <v>-42.306350700272141</v>
      </c>
    </row>
    <row r="5" spans="1:27" x14ac:dyDescent="0.3">
      <c r="A5" t="s">
        <v>22</v>
      </c>
      <c r="B5" s="28">
        <v>50588901.93</v>
      </c>
      <c r="C5" s="28">
        <v>7775463.1500000004</v>
      </c>
      <c r="D5" s="20">
        <f t="shared" si="0"/>
        <v>15.369899035877335</v>
      </c>
      <c r="E5" s="28">
        <v>45061051.57</v>
      </c>
      <c r="F5" s="28">
        <v>15676174.23</v>
      </c>
      <c r="G5" s="20">
        <f t="shared" si="1"/>
        <v>34.788744789162052</v>
      </c>
      <c r="H5" s="19">
        <v>46977242.409999996</v>
      </c>
      <c r="I5" s="19">
        <v>6497419</v>
      </c>
      <c r="J5" s="20">
        <f t="shared" si="2"/>
        <v>13.830992767291297</v>
      </c>
      <c r="K5" s="19">
        <v>45595514.450000003</v>
      </c>
      <c r="L5" s="19">
        <v>8009015.2599999998</v>
      </c>
      <c r="M5" s="20">
        <f t="shared" si="3"/>
        <v>17.565357813393419</v>
      </c>
      <c r="N5" s="19">
        <v>56448578.490000002</v>
      </c>
      <c r="O5" s="19">
        <v>17453925.93</v>
      </c>
      <c r="P5" s="20">
        <f t="shared" si="4"/>
        <v>30.920045104576023</v>
      </c>
      <c r="Q5" s="19">
        <v>58078810.740000002</v>
      </c>
      <c r="R5" s="19">
        <v>11313964.17</v>
      </c>
      <c r="S5" s="20">
        <f t="shared" si="5"/>
        <v>19.480364742055322</v>
      </c>
      <c r="T5" s="1">
        <v>54630202.700000003</v>
      </c>
      <c r="U5" s="1">
        <v>12493021.619999999</v>
      </c>
      <c r="V5" s="20">
        <f t="shared" si="6"/>
        <v>22.868342057240799</v>
      </c>
      <c r="W5" s="1">
        <v>41303491.119999997</v>
      </c>
      <c r="X5" s="1">
        <v>17684851.48</v>
      </c>
      <c r="Y5" s="20">
        <f t="shared" si="7"/>
        <v>42.816844291974711</v>
      </c>
      <c r="Z5" s="13">
        <f t="shared" si="8"/>
        <v>-24.394402585659819</v>
      </c>
      <c r="AA5" s="13">
        <f t="shared" si="8"/>
        <v>41.557839391620291</v>
      </c>
    </row>
    <row r="6" spans="1:27" x14ac:dyDescent="0.3">
      <c r="A6" t="s">
        <v>23</v>
      </c>
      <c r="B6" s="28">
        <v>0</v>
      </c>
      <c r="C6" s="28">
        <v>0</v>
      </c>
      <c r="D6" s="20" t="str">
        <f t="shared" si="0"/>
        <v>-</v>
      </c>
      <c r="E6" s="28">
        <v>0</v>
      </c>
      <c r="F6" s="28">
        <v>0</v>
      </c>
      <c r="G6" s="20" t="str">
        <f t="shared" si="1"/>
        <v>-</v>
      </c>
      <c r="H6" s="19">
        <v>0</v>
      </c>
      <c r="I6" s="19">
        <v>0</v>
      </c>
      <c r="J6" s="20" t="str">
        <f t="shared" si="2"/>
        <v>-</v>
      </c>
      <c r="K6" s="19">
        <v>0</v>
      </c>
      <c r="L6" s="19">
        <v>0</v>
      </c>
      <c r="M6" s="20" t="str">
        <f t="shared" si="3"/>
        <v>-</v>
      </c>
      <c r="N6" s="19">
        <v>323613.02</v>
      </c>
      <c r="O6" s="19">
        <v>306993.07</v>
      </c>
      <c r="P6" s="20">
        <f t="shared" si="4"/>
        <v>94.864251753529572</v>
      </c>
      <c r="Q6" s="19">
        <v>605503.28</v>
      </c>
      <c r="R6" s="19">
        <v>219179.87</v>
      </c>
      <c r="S6" s="20">
        <f t="shared" si="5"/>
        <v>36.197965764941848</v>
      </c>
      <c r="T6" s="1">
        <v>419992.7</v>
      </c>
      <c r="U6" s="1">
        <v>245165.71</v>
      </c>
      <c r="V6" s="20">
        <f t="shared" si="6"/>
        <v>58.373802687522904</v>
      </c>
      <c r="W6" s="1">
        <v>145950.94</v>
      </c>
      <c r="X6" s="1">
        <v>66506.78</v>
      </c>
      <c r="Y6" s="20">
        <f t="shared" si="7"/>
        <v>45.567901104302585</v>
      </c>
      <c r="Z6" s="13">
        <f t="shared" si="8"/>
        <v>-65.249172187992798</v>
      </c>
      <c r="AA6" s="13">
        <f t="shared" si="8"/>
        <v>-72.872723514230444</v>
      </c>
    </row>
    <row r="7" spans="1:27" x14ac:dyDescent="0.3">
      <c r="A7" t="s">
        <v>24</v>
      </c>
      <c r="B7" s="28">
        <v>63258843.359999999</v>
      </c>
      <c r="C7" s="28">
        <v>1393388.61</v>
      </c>
      <c r="D7" s="20">
        <f t="shared" si="0"/>
        <v>2.2026779751099137</v>
      </c>
      <c r="E7" s="28">
        <v>34951467.469999999</v>
      </c>
      <c r="F7" s="28">
        <v>2283019.5</v>
      </c>
      <c r="G7" s="20">
        <f t="shared" si="1"/>
        <v>6.5319703728022036</v>
      </c>
      <c r="H7" s="19">
        <v>18744861.57</v>
      </c>
      <c r="I7" s="19">
        <v>12963214.24</v>
      </c>
      <c r="J7" s="20">
        <f t="shared" si="2"/>
        <v>69.15609481345453</v>
      </c>
      <c r="K7" s="19">
        <v>24960001.27</v>
      </c>
      <c r="L7" s="19">
        <v>13267694.91</v>
      </c>
      <c r="M7" s="20">
        <f t="shared" si="3"/>
        <v>53.155826261702757</v>
      </c>
      <c r="N7" s="19">
        <v>35901269.229999997</v>
      </c>
      <c r="O7" s="19">
        <v>11361191.210000001</v>
      </c>
      <c r="P7" s="20">
        <f t="shared" si="4"/>
        <v>31.645653353409315</v>
      </c>
      <c r="Q7" s="19">
        <v>16344847.960000001</v>
      </c>
      <c r="R7" s="19">
        <v>7871603.1200000001</v>
      </c>
      <c r="S7" s="20">
        <f t="shared" si="5"/>
        <v>48.15953711691791</v>
      </c>
      <c r="T7" s="1">
        <v>34599029.859999999</v>
      </c>
      <c r="U7" s="1">
        <v>19266556.199999999</v>
      </c>
      <c r="V7" s="20">
        <f t="shared" si="6"/>
        <v>55.685249782896662</v>
      </c>
      <c r="W7" s="1">
        <v>72463446.989999995</v>
      </c>
      <c r="X7" s="1">
        <v>61971049.020000003</v>
      </c>
      <c r="Y7" s="20">
        <f t="shared" si="7"/>
        <v>85.520426634620421</v>
      </c>
      <c r="Z7" s="13">
        <f t="shared" si="8"/>
        <v>109.43780008634033</v>
      </c>
      <c r="AA7" s="13">
        <f t="shared" si="8"/>
        <v>221.65088756235536</v>
      </c>
    </row>
    <row r="8" spans="1:27" x14ac:dyDescent="0.3">
      <c r="A8" t="s">
        <v>25</v>
      </c>
      <c r="B8" s="28">
        <v>252413.05</v>
      </c>
      <c r="C8" s="28">
        <v>252413.05</v>
      </c>
      <c r="D8" s="20">
        <f t="shared" si="0"/>
        <v>100</v>
      </c>
      <c r="E8" s="28">
        <v>120645.11</v>
      </c>
      <c r="F8" s="28">
        <v>120645.11</v>
      </c>
      <c r="G8" s="20">
        <f t="shared" si="1"/>
        <v>100</v>
      </c>
      <c r="H8" s="19">
        <v>38273.54</v>
      </c>
      <c r="I8" s="19">
        <v>38273.54</v>
      </c>
      <c r="J8" s="20">
        <f t="shared" si="2"/>
        <v>100</v>
      </c>
      <c r="K8" s="19">
        <v>0</v>
      </c>
      <c r="L8" s="19">
        <v>0</v>
      </c>
      <c r="M8" s="20" t="str">
        <f t="shared" si="3"/>
        <v>-</v>
      </c>
      <c r="N8" s="19">
        <v>10832</v>
      </c>
      <c r="O8" s="19">
        <v>10832</v>
      </c>
      <c r="P8" s="20">
        <f t="shared" si="4"/>
        <v>100</v>
      </c>
      <c r="Q8" s="19">
        <v>55942278.229999997</v>
      </c>
      <c r="R8" s="19">
        <v>55942278.229999997</v>
      </c>
      <c r="S8" s="20">
        <f t="shared" si="5"/>
        <v>100</v>
      </c>
      <c r="T8" s="1">
        <v>22185315.41</v>
      </c>
      <c r="U8" s="1">
        <v>22185315.41</v>
      </c>
      <c r="V8" s="20">
        <f t="shared" si="6"/>
        <v>100</v>
      </c>
      <c r="W8" s="1">
        <v>23589976.379999999</v>
      </c>
      <c r="X8" s="1">
        <v>23589976.379999999</v>
      </c>
      <c r="Y8" s="20">
        <f t="shared" si="7"/>
        <v>100</v>
      </c>
      <c r="Z8" s="13">
        <f t="shared" si="8"/>
        <v>6.3314897446391569</v>
      </c>
      <c r="AA8" s="13">
        <f t="shared" si="8"/>
        <v>6.3314897446391569</v>
      </c>
    </row>
    <row r="9" spans="1:27" x14ac:dyDescent="0.3">
      <c r="A9" t="s">
        <v>26</v>
      </c>
      <c r="B9" s="28">
        <v>2969874.94</v>
      </c>
      <c r="C9" s="28">
        <v>2541361.31</v>
      </c>
      <c r="D9" s="20">
        <f t="shared" si="0"/>
        <v>85.571324090838658</v>
      </c>
      <c r="E9" s="28">
        <v>1918856.52</v>
      </c>
      <c r="F9" s="28">
        <v>1811958.93</v>
      </c>
      <c r="G9" s="20">
        <f t="shared" si="1"/>
        <v>94.429099367992336</v>
      </c>
      <c r="H9" s="19">
        <v>3542705.89</v>
      </c>
      <c r="I9" s="19">
        <v>3156083.34</v>
      </c>
      <c r="J9" s="20">
        <f t="shared" si="2"/>
        <v>89.086800823875322</v>
      </c>
      <c r="K9" s="19">
        <v>2078811.84</v>
      </c>
      <c r="L9" s="19">
        <v>1259759.33</v>
      </c>
      <c r="M9" s="20">
        <f t="shared" si="3"/>
        <v>60.599968970736676</v>
      </c>
      <c r="N9" s="19">
        <v>847491.45</v>
      </c>
      <c r="O9" s="19">
        <v>701785.24</v>
      </c>
      <c r="P9" s="20">
        <f t="shared" si="4"/>
        <v>82.807353395718636</v>
      </c>
      <c r="Q9" s="19">
        <v>1237038.43</v>
      </c>
      <c r="R9" s="19">
        <v>216536.16</v>
      </c>
      <c r="S9" s="20">
        <f t="shared" si="5"/>
        <v>17.504400408967086</v>
      </c>
      <c r="T9" s="1">
        <v>715662.08</v>
      </c>
      <c r="U9" s="1">
        <v>10230</v>
      </c>
      <c r="V9" s="20">
        <f t="shared" si="6"/>
        <v>1.4294455841505533</v>
      </c>
      <c r="W9" s="1">
        <v>910933.21</v>
      </c>
      <c r="X9" s="1">
        <v>690416.34</v>
      </c>
      <c r="Y9" s="20">
        <f t="shared" si="7"/>
        <v>75.792202152779126</v>
      </c>
      <c r="Z9" s="13">
        <f t="shared" si="8"/>
        <v>27.28538167063428</v>
      </c>
      <c r="AA9" s="13">
        <f t="shared" si="8"/>
        <v>6648.9378299120235</v>
      </c>
    </row>
    <row r="10" spans="1:27" x14ac:dyDescent="0.3">
      <c r="A10" t="s">
        <v>27</v>
      </c>
      <c r="B10" s="28">
        <v>1295356.55</v>
      </c>
      <c r="C10" s="28">
        <v>1248963.68</v>
      </c>
      <c r="D10" s="20">
        <f t="shared" si="0"/>
        <v>96.418525077130298</v>
      </c>
      <c r="E10" s="28">
        <v>1528688.62</v>
      </c>
      <c r="F10" s="28">
        <v>1518500.93</v>
      </c>
      <c r="G10" s="20">
        <f t="shared" si="1"/>
        <v>99.333566701111437</v>
      </c>
      <c r="H10" s="19">
        <v>1713794.43</v>
      </c>
      <c r="I10" s="19">
        <v>1582441.53</v>
      </c>
      <c r="J10" s="20">
        <f t="shared" si="2"/>
        <v>92.335551003045339</v>
      </c>
      <c r="K10" s="19">
        <v>942836.47</v>
      </c>
      <c r="L10" s="19">
        <v>924312.65</v>
      </c>
      <c r="M10" s="20">
        <f t="shared" si="3"/>
        <v>98.035309346911461</v>
      </c>
      <c r="N10" s="19">
        <v>1130504.52</v>
      </c>
      <c r="O10" s="19">
        <v>724153.42</v>
      </c>
      <c r="P10" s="20">
        <f t="shared" si="4"/>
        <v>64.055773965415014</v>
      </c>
      <c r="Q10" s="19">
        <v>1116184.03</v>
      </c>
      <c r="R10" s="19">
        <v>279581.65000000002</v>
      </c>
      <c r="S10" s="20">
        <f t="shared" si="5"/>
        <v>25.04798872637517</v>
      </c>
      <c r="T10" s="1">
        <v>1261325.83</v>
      </c>
      <c r="U10" s="1">
        <v>953433.3</v>
      </c>
      <c r="V10" s="20">
        <f t="shared" si="6"/>
        <v>75.589770487773166</v>
      </c>
      <c r="W10" s="1">
        <v>847107.28</v>
      </c>
      <c r="X10" s="1">
        <v>418442.64</v>
      </c>
      <c r="Y10" s="20">
        <f t="shared" si="7"/>
        <v>49.396652570380461</v>
      </c>
      <c r="Z10" s="13">
        <f t="shared" si="8"/>
        <v>-32.839932406680362</v>
      </c>
      <c r="AA10" s="13">
        <f t="shared" si="8"/>
        <v>-56.112017484600131</v>
      </c>
    </row>
    <row r="11" spans="1:27" x14ac:dyDescent="0.3">
      <c r="A11" t="s">
        <v>28</v>
      </c>
      <c r="B11" s="28">
        <v>140640</v>
      </c>
      <c r="C11" s="28">
        <v>140640</v>
      </c>
      <c r="D11" s="20">
        <f t="shared" si="0"/>
        <v>100</v>
      </c>
      <c r="E11" s="28">
        <v>0</v>
      </c>
      <c r="F11" s="28">
        <v>0</v>
      </c>
      <c r="G11" s="20" t="str">
        <f t="shared" si="1"/>
        <v>-</v>
      </c>
      <c r="H11" s="19">
        <v>0</v>
      </c>
      <c r="I11" s="19">
        <v>0</v>
      </c>
      <c r="J11" s="20" t="str">
        <f t="shared" si="2"/>
        <v>-</v>
      </c>
      <c r="K11" s="19">
        <v>0</v>
      </c>
      <c r="L11" s="19">
        <v>0</v>
      </c>
      <c r="M11" s="20" t="str">
        <f t="shared" si="3"/>
        <v>-</v>
      </c>
      <c r="N11" s="19">
        <v>50000</v>
      </c>
      <c r="O11" s="19">
        <v>50000</v>
      </c>
      <c r="P11" s="20">
        <f t="shared" si="4"/>
        <v>100</v>
      </c>
      <c r="Q11" s="19">
        <v>0</v>
      </c>
      <c r="R11" s="19">
        <v>0</v>
      </c>
      <c r="S11" s="20" t="str">
        <f t="shared" si="5"/>
        <v>-</v>
      </c>
      <c r="T11" s="19">
        <v>0</v>
      </c>
      <c r="U11" s="19">
        <v>0</v>
      </c>
      <c r="V11" s="20" t="str">
        <f t="shared" si="6"/>
        <v>-</v>
      </c>
      <c r="W11" s="19">
        <v>0</v>
      </c>
      <c r="X11" s="19">
        <v>0</v>
      </c>
      <c r="Y11" s="20" t="str">
        <f t="shared" si="7"/>
        <v>-</v>
      </c>
      <c r="Z11" s="13" t="str">
        <f t="shared" si="8"/>
        <v>-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0</v>
      </c>
      <c r="F12" s="28">
        <v>0</v>
      </c>
      <c r="G12" s="20" t="str">
        <f t="shared" si="1"/>
        <v>-</v>
      </c>
      <c r="H12" s="19">
        <v>0</v>
      </c>
      <c r="I12" s="19">
        <v>0</v>
      </c>
      <c r="J12" s="20" t="str">
        <f t="shared" si="2"/>
        <v>-</v>
      </c>
      <c r="K12" s="19">
        <v>0</v>
      </c>
      <c r="L12" s="19">
        <v>0</v>
      </c>
      <c r="M12" s="20" t="str">
        <f t="shared" si="3"/>
        <v>-</v>
      </c>
      <c r="N12" s="19">
        <v>0</v>
      </c>
      <c r="O12" s="19">
        <v>0</v>
      </c>
      <c r="P12" s="20" t="str">
        <f t="shared" si="4"/>
        <v>-</v>
      </c>
      <c r="Q12" s="19">
        <v>0</v>
      </c>
      <c r="R12" s="19">
        <v>0</v>
      </c>
      <c r="S12" s="20" t="str">
        <f t="shared" si="5"/>
        <v>-</v>
      </c>
      <c r="T12" s="19">
        <v>0</v>
      </c>
      <c r="U12" s="19">
        <v>0</v>
      </c>
      <c r="V12" s="20" t="str">
        <f t="shared" si="6"/>
        <v>-</v>
      </c>
      <c r="W12" s="19">
        <v>0</v>
      </c>
      <c r="X12" s="19">
        <v>0</v>
      </c>
      <c r="Y12" s="20" t="str">
        <f t="shared" si="7"/>
        <v>-</v>
      </c>
      <c r="Z12" s="13" t="str">
        <f t="shared" si="8"/>
        <v>-</v>
      </c>
      <c r="AA12" s="13" t="str">
        <f t="shared" si="8"/>
        <v>-</v>
      </c>
    </row>
    <row r="13" spans="1:27" x14ac:dyDescent="0.3">
      <c r="A13" t="s">
        <v>30</v>
      </c>
      <c r="B13" s="28">
        <v>0</v>
      </c>
      <c r="C13" s="28">
        <v>0</v>
      </c>
      <c r="D13" s="20" t="str">
        <f t="shared" si="0"/>
        <v>-</v>
      </c>
      <c r="E13" s="28">
        <v>0</v>
      </c>
      <c r="F13" s="28">
        <v>0</v>
      </c>
      <c r="G13" s="20" t="str">
        <f t="shared" si="1"/>
        <v>-</v>
      </c>
      <c r="H13" s="19">
        <v>0</v>
      </c>
      <c r="I13" s="19">
        <v>0</v>
      </c>
      <c r="J13" s="20" t="str">
        <f t="shared" si="2"/>
        <v>-</v>
      </c>
      <c r="K13" s="19">
        <v>0</v>
      </c>
      <c r="L13" s="19">
        <v>0</v>
      </c>
      <c r="M13" s="20" t="str">
        <f t="shared" si="3"/>
        <v>-</v>
      </c>
      <c r="N13" s="19">
        <v>0</v>
      </c>
      <c r="O13" s="19">
        <v>0</v>
      </c>
      <c r="P13" s="20" t="str">
        <f t="shared" si="4"/>
        <v>-</v>
      </c>
      <c r="Q13" s="19">
        <v>0</v>
      </c>
      <c r="R13" s="19">
        <v>0</v>
      </c>
      <c r="S13" s="20" t="str">
        <f t="shared" si="5"/>
        <v>-</v>
      </c>
      <c r="T13" s="19">
        <v>0</v>
      </c>
      <c r="U13" s="19">
        <v>0</v>
      </c>
      <c r="V13" s="20" t="str">
        <f t="shared" si="6"/>
        <v>-</v>
      </c>
      <c r="W13" s="19">
        <v>0</v>
      </c>
      <c r="X13" s="19">
        <v>0</v>
      </c>
      <c r="Y13" s="20" t="str">
        <f t="shared" si="7"/>
        <v>-</v>
      </c>
      <c r="Z13" s="13" t="str">
        <f t="shared" si="8"/>
        <v>-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185841404.41</v>
      </c>
      <c r="C14" s="28">
        <f t="shared" si="9"/>
        <v>95288570.930000007</v>
      </c>
      <c r="D14" s="20">
        <f>IF(B14&gt;0,C14/B14*100,"-")</f>
        <v>51.274134110489214</v>
      </c>
      <c r="E14" s="28">
        <f t="shared" ref="E14:F14" si="10">SUM(E3:E5)</f>
        <v>185461157.25999999</v>
      </c>
      <c r="F14" s="28">
        <f t="shared" si="10"/>
        <v>98153727.090000004</v>
      </c>
      <c r="G14" s="20">
        <f>IF(E14&gt;0,F14/E14*100,"-")</f>
        <v>52.924142467415557</v>
      </c>
      <c r="H14" s="19">
        <f t="shared" ref="H14:I14" si="11">SUM(H3:H5)</f>
        <v>190547310.56</v>
      </c>
      <c r="I14" s="19">
        <f t="shared" si="11"/>
        <v>98497000.489999995</v>
      </c>
      <c r="J14" s="20">
        <f>IF(H14&gt;0,I14/H14*100,"-")</f>
        <v>51.691624615706665</v>
      </c>
      <c r="K14" s="19">
        <f t="shared" ref="K14:L14" si="12">SUM(K3:K5)</f>
        <v>199061009.94</v>
      </c>
      <c r="L14" s="19">
        <f t="shared" si="12"/>
        <v>93837811.690000013</v>
      </c>
      <c r="M14" s="20">
        <f>IF(K14&gt;0,L14/K14*100,"-")</f>
        <v>47.140226867272581</v>
      </c>
      <c r="N14" s="19">
        <f t="shared" ref="N14:O14" si="13">SUM(N3:N5)</f>
        <v>275969481.22000003</v>
      </c>
      <c r="O14" s="19">
        <f t="shared" si="13"/>
        <v>185475942.88</v>
      </c>
      <c r="P14" s="20">
        <f>IF(N14&gt;0,O14/N14*100,"-")</f>
        <v>67.208860218909678</v>
      </c>
      <c r="Q14" s="19">
        <f t="shared" ref="Q14:R14" si="14">SUM(Q3:Q5)</f>
        <v>254567290.34</v>
      </c>
      <c r="R14" s="19">
        <f t="shared" si="14"/>
        <v>137891491.34</v>
      </c>
      <c r="S14" s="20">
        <f>IF(Q14&gt;0,R14/Q14*100,"-")</f>
        <v>54.167010677543125</v>
      </c>
      <c r="T14" s="19">
        <f t="shared" ref="T14:U14" si="15">SUM(T3:T5)</f>
        <v>256488554.48000002</v>
      </c>
      <c r="U14" s="19">
        <f t="shared" si="15"/>
        <v>146113050.06999999</v>
      </c>
      <c r="V14" s="20">
        <f>IF(T14&gt;0,U14/T14*100,"-")</f>
        <v>56.966694036787246</v>
      </c>
      <c r="W14" s="19">
        <v>230543433.28999999</v>
      </c>
      <c r="X14" s="19">
        <v>125394497.55000001</v>
      </c>
      <c r="Y14" s="20">
        <f>IF(W14&gt;0,X14/W14*100,"-")</f>
        <v>54.390834629527959</v>
      </c>
      <c r="Z14" s="13">
        <f t="shared" si="8"/>
        <v>-10.115508367459384</v>
      </c>
      <c r="AA14" s="13">
        <f t="shared" si="8"/>
        <v>-14.179809750103857</v>
      </c>
    </row>
    <row r="15" spans="1:27" x14ac:dyDescent="0.3">
      <c r="A15" t="s">
        <v>32</v>
      </c>
      <c r="B15" s="27">
        <f t="shared" ref="B15:C15" si="16">SUM(B6:B10)</f>
        <v>67776487.899999991</v>
      </c>
      <c r="C15" s="27">
        <f t="shared" si="16"/>
        <v>5436126.6500000004</v>
      </c>
      <c r="D15" s="20">
        <f>IF(B15&gt;0,C15/B15*100,"-")</f>
        <v>8.0206673706974438</v>
      </c>
      <c r="E15" s="27">
        <f t="shared" ref="E15:F15" si="17">SUM(E6:E10)</f>
        <v>38519657.719999999</v>
      </c>
      <c r="F15" s="27">
        <f t="shared" si="17"/>
        <v>5734124.4699999997</v>
      </c>
      <c r="G15" s="20">
        <f>IF(E15&gt;0,F15/E15*100,"-")</f>
        <v>14.886229030593784</v>
      </c>
      <c r="H15" s="97">
        <f t="shared" ref="H15:I15" si="18">SUM(H6:H10)</f>
        <v>24039635.43</v>
      </c>
      <c r="I15" s="97">
        <f t="shared" si="18"/>
        <v>17740012.649999999</v>
      </c>
      <c r="J15" s="20">
        <f>IF(H15&gt;0,I15/H15*100,"-")</f>
        <v>73.794848934612148</v>
      </c>
      <c r="K15" s="97">
        <f t="shared" ref="K15:L15" si="19">SUM(K6:K10)</f>
        <v>27981649.579999998</v>
      </c>
      <c r="L15" s="97">
        <f t="shared" si="19"/>
        <v>15451766.890000001</v>
      </c>
      <c r="M15" s="20">
        <f>IF(K15&gt;0,L15/K15*100,"-")</f>
        <v>55.221072102354597</v>
      </c>
      <c r="N15" s="97">
        <f t="shared" ref="N15:O15" si="20">SUM(N6:N10)</f>
        <v>38213710.220000006</v>
      </c>
      <c r="O15" s="97">
        <f t="shared" si="20"/>
        <v>13104954.940000001</v>
      </c>
      <c r="P15" s="20">
        <f>IF(N15&gt;0,O15/N15*100,"-")</f>
        <v>34.293856483847065</v>
      </c>
      <c r="Q15" s="97">
        <f t="shared" ref="Q15:R15" si="21">SUM(Q6:Q10)</f>
        <v>75245851.930000007</v>
      </c>
      <c r="R15" s="97">
        <f t="shared" si="21"/>
        <v>64529179.029999994</v>
      </c>
      <c r="S15" s="20">
        <f>IF(Q15&gt;0,R15/Q15*100,"-")</f>
        <v>85.757789133719214</v>
      </c>
      <c r="T15" s="97">
        <f t="shared" ref="T15:U15" si="22">SUM(T6:T10)</f>
        <v>59181325.879999995</v>
      </c>
      <c r="U15" s="97">
        <f t="shared" si="22"/>
        <v>42660700.619999997</v>
      </c>
      <c r="V15" s="20">
        <f>IF(T15&gt;0,U15/T15*100,"-")</f>
        <v>72.084732786321283</v>
      </c>
      <c r="W15" s="97">
        <v>97957414.799999982</v>
      </c>
      <c r="X15" s="97">
        <v>86736391.160000011</v>
      </c>
      <c r="Y15" s="20">
        <f>IF(W15&gt;0,X15/W15*100,"-")</f>
        <v>88.544998188335228</v>
      </c>
      <c r="Z15" s="13">
        <f t="shared" si="8"/>
        <v>65.520818169273497</v>
      </c>
      <c r="AA15" s="13">
        <f t="shared" si="8"/>
        <v>103.31684641704325</v>
      </c>
    </row>
    <row r="16" spans="1:27" x14ac:dyDescent="0.3">
      <c r="A16" t="s">
        <v>33</v>
      </c>
      <c r="B16" s="28">
        <f t="shared" ref="B16:C16" si="23">SUM(B11:B13)</f>
        <v>140640</v>
      </c>
      <c r="C16" s="28">
        <f t="shared" si="23"/>
        <v>140640</v>
      </c>
      <c r="D16" s="20">
        <f t="shared" si="0"/>
        <v>100</v>
      </c>
      <c r="E16" s="28">
        <f t="shared" ref="E16:F16" si="24">SUM(E11:E13)</f>
        <v>0</v>
      </c>
      <c r="F16" s="28">
        <f t="shared" si="24"/>
        <v>0</v>
      </c>
      <c r="G16" s="20" t="str">
        <f t="shared" si="1"/>
        <v>-</v>
      </c>
      <c r="H16" s="19">
        <f t="shared" ref="H16:I16" si="25">SUM(H11:H13)</f>
        <v>0</v>
      </c>
      <c r="I16" s="19">
        <f t="shared" si="25"/>
        <v>0</v>
      </c>
      <c r="J16" s="20" t="str">
        <f t="shared" ref="J16:J21" si="26">IF(H16&gt;0,I16/H16*100,"-")</f>
        <v>-</v>
      </c>
      <c r="K16" s="19">
        <f t="shared" ref="K16:L16" si="27">SUM(K11:K13)</f>
        <v>0</v>
      </c>
      <c r="L16" s="19">
        <f t="shared" si="27"/>
        <v>0</v>
      </c>
      <c r="M16" s="20" t="str">
        <f t="shared" ref="M16:M21" si="28">IF(K16&gt;0,L16/K16*100,"-")</f>
        <v>-</v>
      </c>
      <c r="N16" s="19">
        <f t="shared" ref="N16:O16" si="29">SUM(N11:N13)</f>
        <v>50000</v>
      </c>
      <c r="O16" s="19">
        <f t="shared" si="29"/>
        <v>50000</v>
      </c>
      <c r="P16" s="20">
        <f t="shared" ref="P16:P21" si="30">IF(N16&gt;0,O16/N16*100,"-")</f>
        <v>100</v>
      </c>
      <c r="Q16" s="19">
        <f t="shared" ref="Q16:R16" si="31">SUM(Q11:Q13)</f>
        <v>0</v>
      </c>
      <c r="R16" s="19">
        <f t="shared" si="31"/>
        <v>0</v>
      </c>
      <c r="S16" s="20" t="str">
        <f t="shared" ref="S16:S21" si="32">IF(Q16&gt;0,R16/Q16*100,"-")</f>
        <v>-</v>
      </c>
      <c r="T16" s="19">
        <f t="shared" ref="T16:U16" si="33">SUM(T11:T13)</f>
        <v>0</v>
      </c>
      <c r="U16" s="19">
        <f t="shared" si="33"/>
        <v>0</v>
      </c>
      <c r="V16" s="20" t="str">
        <f t="shared" ref="V16:V21" si="34">IF(T16&gt;0,U16/T16*100,"-")</f>
        <v>-</v>
      </c>
      <c r="W16" s="19">
        <v>0</v>
      </c>
      <c r="X16" s="19">
        <v>0</v>
      </c>
      <c r="Y16" s="20" t="str">
        <f t="shared" si="7"/>
        <v>-</v>
      </c>
      <c r="Z16" s="13" t="str">
        <f t="shared" si="8"/>
        <v>-</v>
      </c>
      <c r="AA16" s="13" t="str">
        <f t="shared" si="8"/>
        <v>-</v>
      </c>
    </row>
    <row r="17" spans="1:27" x14ac:dyDescent="0.3">
      <c r="A17" t="s">
        <v>34</v>
      </c>
      <c r="B17" s="28">
        <v>7867986.5999999996</v>
      </c>
      <c r="C17" s="28">
        <v>7867986.5999999996</v>
      </c>
      <c r="D17" s="20">
        <f t="shared" si="0"/>
        <v>100</v>
      </c>
      <c r="E17" s="28">
        <v>0</v>
      </c>
      <c r="F17" s="28">
        <v>0</v>
      </c>
      <c r="G17" s="20" t="str">
        <f t="shared" si="1"/>
        <v>-</v>
      </c>
      <c r="H17" s="19">
        <v>0</v>
      </c>
      <c r="I17" s="19">
        <v>0</v>
      </c>
      <c r="J17" s="20" t="str">
        <f t="shared" si="26"/>
        <v>-</v>
      </c>
      <c r="K17" s="19">
        <v>0</v>
      </c>
      <c r="L17" s="19">
        <v>0</v>
      </c>
      <c r="M17" s="20" t="str">
        <f t="shared" si="28"/>
        <v>-</v>
      </c>
      <c r="N17" s="19">
        <v>29170976.300000001</v>
      </c>
      <c r="O17" s="19">
        <v>29170976.300000001</v>
      </c>
      <c r="P17" s="20">
        <f t="shared" si="30"/>
        <v>100</v>
      </c>
      <c r="Q17" s="19">
        <v>0</v>
      </c>
      <c r="R17" s="19">
        <v>0</v>
      </c>
      <c r="S17" s="20" t="str">
        <f t="shared" si="32"/>
        <v>-</v>
      </c>
      <c r="T17" s="19">
        <v>0</v>
      </c>
      <c r="U17" s="19">
        <v>0</v>
      </c>
      <c r="V17" s="20" t="str">
        <f t="shared" si="34"/>
        <v>-</v>
      </c>
      <c r="W17" s="19">
        <v>0</v>
      </c>
      <c r="X17" s="19">
        <v>0</v>
      </c>
      <c r="Y17" s="20" t="str">
        <f t="shared" si="7"/>
        <v>-</v>
      </c>
      <c r="Z17" s="13" t="str">
        <f t="shared" si="8"/>
        <v>-</v>
      </c>
      <c r="AA17" s="13" t="str">
        <f t="shared" si="8"/>
        <v>-</v>
      </c>
    </row>
    <row r="18" spans="1:27" x14ac:dyDescent="0.3">
      <c r="A18" t="s">
        <v>35</v>
      </c>
      <c r="B18" s="28">
        <v>127202807.81999999</v>
      </c>
      <c r="C18" s="28">
        <v>127202807.81999999</v>
      </c>
      <c r="D18" s="20">
        <f t="shared" si="0"/>
        <v>100</v>
      </c>
      <c r="E18" s="28">
        <v>113167169.73999999</v>
      </c>
      <c r="F18" s="28">
        <v>113167169.73999999</v>
      </c>
      <c r="G18" s="20">
        <f t="shared" si="1"/>
        <v>100</v>
      </c>
      <c r="H18" s="19">
        <v>117880743.5</v>
      </c>
      <c r="I18" s="19">
        <v>117880743.5</v>
      </c>
      <c r="J18" s="20">
        <f t="shared" si="26"/>
        <v>100</v>
      </c>
      <c r="K18" s="19">
        <v>138877668.75</v>
      </c>
      <c r="L18" s="19">
        <v>138877668.75</v>
      </c>
      <c r="M18" s="20">
        <f t="shared" si="28"/>
        <v>100</v>
      </c>
      <c r="N18" s="19">
        <v>131742693.28</v>
      </c>
      <c r="O18" s="19">
        <v>131742693.28</v>
      </c>
      <c r="P18" s="20">
        <f t="shared" si="30"/>
        <v>100</v>
      </c>
      <c r="Q18" s="19">
        <v>14056134.01</v>
      </c>
      <c r="R18" s="19">
        <v>14056134.01</v>
      </c>
      <c r="S18" s="20">
        <f t="shared" si="32"/>
        <v>100</v>
      </c>
      <c r="T18" s="19">
        <v>0</v>
      </c>
      <c r="U18" s="19">
        <v>0</v>
      </c>
      <c r="V18" s="20" t="str">
        <f t="shared" si="34"/>
        <v>-</v>
      </c>
      <c r="W18" s="19">
        <v>0</v>
      </c>
      <c r="X18" s="19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129895359.95999999</v>
      </c>
      <c r="C19" s="28">
        <v>128213340.73999999</v>
      </c>
      <c r="D19" s="20">
        <f t="shared" si="0"/>
        <v>98.705096763642715</v>
      </c>
      <c r="E19" s="28">
        <v>45464505.82</v>
      </c>
      <c r="F19" s="28">
        <v>43801967.75</v>
      </c>
      <c r="G19" s="20">
        <f t="shared" si="1"/>
        <v>96.343217549571065</v>
      </c>
      <c r="H19" s="19">
        <v>66191329.109999999</v>
      </c>
      <c r="I19" s="19">
        <v>64426866.200000003</v>
      </c>
      <c r="J19" s="20">
        <f t="shared" si="26"/>
        <v>97.334299018127098</v>
      </c>
      <c r="K19" s="19">
        <v>71484499.489999995</v>
      </c>
      <c r="L19" s="19">
        <v>69426893.040000007</v>
      </c>
      <c r="M19" s="20">
        <f t="shared" si="28"/>
        <v>97.121604732942373</v>
      </c>
      <c r="N19" s="19">
        <v>124347130.72</v>
      </c>
      <c r="O19" s="19">
        <v>122223095.04000001</v>
      </c>
      <c r="P19" s="20">
        <f t="shared" si="30"/>
        <v>98.291849866015156</v>
      </c>
      <c r="Q19" s="19">
        <v>136320381.37</v>
      </c>
      <c r="R19" s="19">
        <v>134972100.31</v>
      </c>
      <c r="S19" s="20">
        <f t="shared" si="32"/>
        <v>99.010946825082229</v>
      </c>
      <c r="T19" s="1">
        <v>20391084.84</v>
      </c>
      <c r="U19" s="1">
        <v>19746010.760000002</v>
      </c>
      <c r="V19" s="20">
        <f t="shared" si="34"/>
        <v>96.836489647011845</v>
      </c>
      <c r="W19" s="1">
        <v>32133360.260000002</v>
      </c>
      <c r="X19" s="1">
        <v>31779441.579999998</v>
      </c>
      <c r="Y19" s="20">
        <f t="shared" si="7"/>
        <v>98.898594242443522</v>
      </c>
      <c r="Z19" s="13">
        <f t="shared" si="8"/>
        <v>57.585339436996833</v>
      </c>
      <c r="AA19" s="13">
        <f t="shared" si="8"/>
        <v>60.941072940041238</v>
      </c>
    </row>
    <row r="20" spans="1:27" x14ac:dyDescent="0.3">
      <c r="A20" t="s">
        <v>37</v>
      </c>
      <c r="B20" s="28">
        <f t="shared" ref="B20:C20" si="35">B14+B15+B16+B17+B18+B19</f>
        <v>518724686.69</v>
      </c>
      <c r="C20" s="28">
        <f t="shared" si="35"/>
        <v>364149472.74000001</v>
      </c>
      <c r="D20" s="20">
        <f t="shared" si="0"/>
        <v>70.200914296878807</v>
      </c>
      <c r="E20" s="28">
        <f t="shared" ref="E20:F20" si="36">E14+E15+E16+E17+E18+E19</f>
        <v>382612490.53999996</v>
      </c>
      <c r="F20" s="28">
        <f t="shared" si="36"/>
        <v>260856989.05000001</v>
      </c>
      <c r="G20" s="20">
        <f t="shared" si="1"/>
        <v>68.177855009866406</v>
      </c>
      <c r="H20" s="19">
        <f t="shared" ref="H20:I20" si="37">H14+H15+H16+H17+H18+H19</f>
        <v>398659018.60000002</v>
      </c>
      <c r="I20" s="19">
        <f t="shared" si="37"/>
        <v>298544622.83999997</v>
      </c>
      <c r="J20" s="20">
        <f t="shared" si="26"/>
        <v>74.887211604649238</v>
      </c>
      <c r="K20" s="19">
        <f t="shared" ref="K20:L20" si="38">K14+K15+K16+K17+K18+K19</f>
        <v>437404827.75999999</v>
      </c>
      <c r="L20" s="19">
        <f t="shared" si="38"/>
        <v>317594140.37</v>
      </c>
      <c r="M20" s="20">
        <f t="shared" si="28"/>
        <v>72.608741425291484</v>
      </c>
      <c r="N20" s="19">
        <f t="shared" ref="N20:O20" si="39">N14+N15+N16+N17+N18+N19</f>
        <v>599493991.74000013</v>
      </c>
      <c r="O20" s="19">
        <f t="shared" si="39"/>
        <v>481767662.44</v>
      </c>
      <c r="P20" s="20">
        <f t="shared" si="30"/>
        <v>80.362383789985017</v>
      </c>
      <c r="Q20" s="19">
        <f t="shared" ref="Q20:R20" si="40">Q14+Q15+Q16+Q17+Q18+Q19</f>
        <v>480189657.64999998</v>
      </c>
      <c r="R20" s="19">
        <f t="shared" si="40"/>
        <v>351448904.69</v>
      </c>
      <c r="S20" s="20">
        <f t="shared" si="32"/>
        <v>73.189603126805295</v>
      </c>
      <c r="T20" s="19">
        <f t="shared" ref="T20:U20" si="41">T14+T15+T16+T17+T18+T19</f>
        <v>336060965.19999999</v>
      </c>
      <c r="U20" s="19">
        <f t="shared" si="41"/>
        <v>208519761.44999999</v>
      </c>
      <c r="V20" s="20">
        <f t="shared" si="34"/>
        <v>62.04819453693576</v>
      </c>
      <c r="W20" s="19">
        <v>360634208.34999996</v>
      </c>
      <c r="X20" s="19">
        <v>243910330.29000002</v>
      </c>
      <c r="Y20" s="20">
        <f t="shared" si="7"/>
        <v>67.633719886406894</v>
      </c>
      <c r="Z20" s="13">
        <f t="shared" si="8"/>
        <v>7.3121384792118533</v>
      </c>
      <c r="AA20" s="13">
        <f t="shared" si="8"/>
        <v>16.972285309508266</v>
      </c>
    </row>
    <row r="21" spans="1:27" x14ac:dyDescent="0.3">
      <c r="A21" t="s">
        <v>38</v>
      </c>
      <c r="B21" s="28">
        <f t="shared" ref="B21:C21" si="42">B20-B19</f>
        <v>388829326.73000002</v>
      </c>
      <c r="C21" s="28">
        <f t="shared" si="42"/>
        <v>235936132</v>
      </c>
      <c r="D21" s="20">
        <f t="shared" si="0"/>
        <v>60.67858460785088</v>
      </c>
      <c r="E21" s="28">
        <f t="shared" ref="E21:F21" si="43">E20-E19</f>
        <v>337147984.71999997</v>
      </c>
      <c r="F21" s="28">
        <f t="shared" si="43"/>
        <v>217055021.30000001</v>
      </c>
      <c r="G21" s="20">
        <f t="shared" si="1"/>
        <v>64.37974751065569</v>
      </c>
      <c r="H21" s="19">
        <f t="shared" ref="H21:I21" si="44">H20-H19</f>
        <v>332467689.49000001</v>
      </c>
      <c r="I21" s="19">
        <f t="shared" si="44"/>
        <v>234117756.63999999</v>
      </c>
      <c r="J21" s="20">
        <f t="shared" si="26"/>
        <v>70.418198231272584</v>
      </c>
      <c r="K21" s="19">
        <f t="shared" ref="K21:L21" si="45">K20-K19</f>
        <v>365920328.26999998</v>
      </c>
      <c r="L21" s="19">
        <f t="shared" si="45"/>
        <v>248167247.32999998</v>
      </c>
      <c r="M21" s="20">
        <f t="shared" si="28"/>
        <v>67.820022053239398</v>
      </c>
      <c r="N21" s="19">
        <f t="shared" ref="N21:O21" si="46">N20-N19</f>
        <v>475146861.0200001</v>
      </c>
      <c r="O21" s="19">
        <f t="shared" si="46"/>
        <v>359544567.39999998</v>
      </c>
      <c r="P21" s="20">
        <f t="shared" si="30"/>
        <v>75.670197342388818</v>
      </c>
      <c r="Q21" s="19">
        <f t="shared" ref="Q21:R21" si="47">Q20-Q19</f>
        <v>343869276.27999997</v>
      </c>
      <c r="R21" s="19">
        <f t="shared" si="47"/>
        <v>216476804.38</v>
      </c>
      <c r="S21" s="20">
        <f t="shared" si="32"/>
        <v>62.953226505682636</v>
      </c>
      <c r="T21" s="19">
        <f t="shared" ref="T21:U21" si="48">T20-T19</f>
        <v>315669880.36000001</v>
      </c>
      <c r="U21" s="19">
        <f t="shared" si="48"/>
        <v>188773750.69</v>
      </c>
      <c r="V21" s="20">
        <f t="shared" si="34"/>
        <v>59.801001753704341</v>
      </c>
      <c r="W21" s="19">
        <v>328500848.08999997</v>
      </c>
      <c r="X21" s="19">
        <v>212130888.71000004</v>
      </c>
      <c r="Y21" s="20">
        <f t="shared" si="7"/>
        <v>64.575446286787724</v>
      </c>
      <c r="Z21" s="13">
        <f t="shared" si="8"/>
        <v>4.0646791247131802</v>
      </c>
      <c r="AA21" s="13">
        <f t="shared" si="8"/>
        <v>12.373085736033616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7" t="s">
        <v>75</v>
      </c>
      <c r="I22" s="17" t="s">
        <v>76</v>
      </c>
      <c r="J22" s="18"/>
      <c r="K22" s="17" t="s">
        <v>75</v>
      </c>
      <c r="L22" s="17" t="s">
        <v>76</v>
      </c>
      <c r="M22" s="18"/>
      <c r="N22" s="17" t="s">
        <v>75</v>
      </c>
      <c r="O22" s="17" t="s">
        <v>76</v>
      </c>
      <c r="P22" s="18"/>
      <c r="Q22" s="17" t="s">
        <v>75</v>
      </c>
      <c r="R22" s="17" t="s">
        <v>76</v>
      </c>
      <c r="S22" s="18"/>
      <c r="T22" s="17" t="s">
        <v>75</v>
      </c>
      <c r="U22" s="17" t="s">
        <v>76</v>
      </c>
      <c r="V22" s="18"/>
      <c r="W22" s="17" t="s">
        <v>75</v>
      </c>
      <c r="X22" s="17" t="s">
        <v>76</v>
      </c>
      <c r="Y22" s="18"/>
    </row>
    <row r="23" spans="1:27" x14ac:dyDescent="0.3">
      <c r="A23" s="5" t="s">
        <v>39</v>
      </c>
      <c r="B23" s="27">
        <v>35500190.420000002</v>
      </c>
      <c r="C23" s="27">
        <v>33185191.75</v>
      </c>
      <c r="D23" s="20">
        <f>IF(B23&gt;0,C23/B23*100,"-")</f>
        <v>93.47891196466432</v>
      </c>
      <c r="E23" s="27">
        <v>35019455.689999998</v>
      </c>
      <c r="F23" s="27">
        <v>32158808.350000001</v>
      </c>
      <c r="G23" s="20">
        <f>IF(E23&gt;0,F23/E23*100,"-")</f>
        <v>91.831262697732711</v>
      </c>
      <c r="H23" s="97">
        <v>35106884.289999999</v>
      </c>
      <c r="I23" s="97">
        <v>32674417.18</v>
      </c>
      <c r="J23" s="20">
        <f>IF(H23&gt;0,I23/H23*100,"-")</f>
        <v>93.071253233677382</v>
      </c>
      <c r="K23" s="97">
        <v>30972739.84</v>
      </c>
      <c r="L23" s="97">
        <v>28572274.600000001</v>
      </c>
      <c r="M23" s="20">
        <f>IF(K23&gt;0,L23/K23*100,"-")</f>
        <v>92.249748480759536</v>
      </c>
      <c r="N23" s="97">
        <v>28263195.329999998</v>
      </c>
      <c r="O23" s="97">
        <v>25023098.469999999</v>
      </c>
      <c r="P23" s="20">
        <f>IF(N23&gt;0,O23/N23*100,"-")</f>
        <v>88.535985325902644</v>
      </c>
      <c r="Q23" s="1">
        <v>28280605.710000001</v>
      </c>
      <c r="R23" s="1">
        <v>24256429.25</v>
      </c>
      <c r="S23" s="20">
        <f>IF(Q23&gt;0,R23/Q23*100,"-")</f>
        <v>85.770543597031036</v>
      </c>
      <c r="T23" s="1">
        <v>31718343.199999999</v>
      </c>
      <c r="U23" s="1">
        <v>26055270.469999999</v>
      </c>
      <c r="V23" s="20">
        <f>IF(T23&gt;0,U23/T23*100,"-")</f>
        <v>82.145748615268161</v>
      </c>
      <c r="W23" s="1">
        <v>30084067.379999999</v>
      </c>
      <c r="X23" s="1">
        <v>26835767.949999999</v>
      </c>
      <c r="Y23" s="20">
        <f>IF(W23&gt;0,X23/W23*100,"-")</f>
        <v>89.202592226078167</v>
      </c>
      <c r="Z23" s="13">
        <f t="shared" si="8"/>
        <v>-5.1524627553686315</v>
      </c>
      <c r="AA23" s="13">
        <f t="shared" si="8"/>
        <v>2.9955454920288105</v>
      </c>
    </row>
    <row r="24" spans="1:27" x14ac:dyDescent="0.3">
      <c r="A24" s="5" t="s">
        <v>40</v>
      </c>
      <c r="B24" s="27">
        <v>2366628.2200000002</v>
      </c>
      <c r="C24" s="27">
        <v>1944503.09</v>
      </c>
      <c r="D24" s="20">
        <f t="shared" ref="D24:D55" si="49">IF(B24&gt;0,C24/B24*100,"-")</f>
        <v>82.16343714518878</v>
      </c>
      <c r="E24" s="27">
        <v>2344996.39</v>
      </c>
      <c r="F24" s="27">
        <v>1970395.49</v>
      </c>
      <c r="G24" s="20">
        <f t="shared" ref="G24:G55" si="50">IF(E24&gt;0,F24/E24*100,"-")</f>
        <v>84.025523382575443</v>
      </c>
      <c r="H24" s="97">
        <v>2354265.67</v>
      </c>
      <c r="I24" s="97">
        <v>2145073.29</v>
      </c>
      <c r="J24" s="20">
        <f t="shared" ref="J24:J55" si="51">IF(H24&gt;0,I24/H24*100,"-")</f>
        <v>91.114325682708525</v>
      </c>
      <c r="K24" s="97">
        <v>2041750.86</v>
      </c>
      <c r="L24" s="97">
        <v>1744686.01</v>
      </c>
      <c r="M24" s="20">
        <f t="shared" ref="M24:M55" si="52">IF(K24&gt;0,L24/K24*100,"-")</f>
        <v>85.450484884331075</v>
      </c>
      <c r="N24" s="97">
        <v>1706952.93</v>
      </c>
      <c r="O24" s="97">
        <v>1492314.09</v>
      </c>
      <c r="P24" s="20">
        <f t="shared" ref="P24:P55" si="53">IF(N24&gt;0,O24/N24*100,"-")</f>
        <v>87.425614600866595</v>
      </c>
      <c r="Q24" s="1">
        <v>1765729.05</v>
      </c>
      <c r="R24" s="1">
        <v>1467748.99</v>
      </c>
      <c r="S24" s="20">
        <f t="shared" ref="S24:S55" si="54">IF(Q24&gt;0,R24/Q24*100,"-")</f>
        <v>83.124247743446261</v>
      </c>
      <c r="T24" s="1">
        <v>1970626.67</v>
      </c>
      <c r="U24" s="1">
        <v>1526278.66</v>
      </c>
      <c r="V24" s="20">
        <f t="shared" ref="V24:V55" si="55">IF(T24&gt;0,U24/T24*100,"-")</f>
        <v>77.451436298687653</v>
      </c>
      <c r="W24" s="1">
        <v>1890886.11</v>
      </c>
      <c r="X24" s="1">
        <v>1637132.14</v>
      </c>
      <c r="Y24" s="20">
        <f t="shared" ref="Y24:Y55" si="56">IF(W24&gt;0,X24/W24*100,"-")</f>
        <v>86.580155797960771</v>
      </c>
      <c r="Z24" s="13">
        <f t="shared" si="8"/>
        <v>-4.0464569577757743</v>
      </c>
      <c r="AA24" s="13">
        <f t="shared" si="8"/>
        <v>7.2629908879155778</v>
      </c>
    </row>
    <row r="25" spans="1:27" x14ac:dyDescent="0.3">
      <c r="A25" s="5" t="s">
        <v>41</v>
      </c>
      <c r="B25" s="27">
        <v>73390768.489999995</v>
      </c>
      <c r="C25" s="27">
        <v>42651503.409999996</v>
      </c>
      <c r="D25" s="20">
        <f t="shared" si="49"/>
        <v>58.115624468234806</v>
      </c>
      <c r="E25" s="27">
        <v>78800925.989999995</v>
      </c>
      <c r="F25" s="27">
        <v>36523328.799999997</v>
      </c>
      <c r="G25" s="20">
        <f t="shared" si="50"/>
        <v>46.348857378446148</v>
      </c>
      <c r="H25" s="97">
        <v>83703315.549999997</v>
      </c>
      <c r="I25" s="97">
        <v>32372262.640000001</v>
      </c>
      <c r="J25" s="20">
        <f t="shared" si="51"/>
        <v>38.675006392862059</v>
      </c>
      <c r="K25" s="97">
        <v>80513869.390000001</v>
      </c>
      <c r="L25" s="97">
        <v>30880623.719999999</v>
      </c>
      <c r="M25" s="20">
        <f t="shared" si="52"/>
        <v>38.35441515103166</v>
      </c>
      <c r="N25" s="97">
        <v>76612228.030000001</v>
      </c>
      <c r="O25" s="97">
        <v>53646002.850000001</v>
      </c>
      <c r="P25" s="20">
        <f t="shared" si="53"/>
        <v>70.022768204826477</v>
      </c>
      <c r="Q25" s="1">
        <v>84669851.730000004</v>
      </c>
      <c r="R25" s="1">
        <v>62234116.75</v>
      </c>
      <c r="S25" s="20">
        <f t="shared" si="54"/>
        <v>73.502097238171217</v>
      </c>
      <c r="T25" s="1">
        <v>102900991.48</v>
      </c>
      <c r="U25" s="1">
        <v>70322614.959999993</v>
      </c>
      <c r="V25" s="20">
        <f t="shared" si="55"/>
        <v>68.340075200993581</v>
      </c>
      <c r="W25" s="1">
        <v>90991478.549999997</v>
      </c>
      <c r="X25" s="1">
        <v>66675616.479999997</v>
      </c>
      <c r="Y25" s="20">
        <f t="shared" si="56"/>
        <v>73.276770025625666</v>
      </c>
      <c r="Z25" s="13">
        <f t="shared" si="8"/>
        <v>-11.573759162772262</v>
      </c>
      <c r="AA25" s="13">
        <f t="shared" si="8"/>
        <v>-5.1860962253386589</v>
      </c>
    </row>
    <row r="26" spans="1:27" x14ac:dyDescent="0.3">
      <c r="A26" s="5" t="s">
        <v>42</v>
      </c>
      <c r="B26" s="27">
        <v>12603262.85</v>
      </c>
      <c r="C26" s="27">
        <v>2166109.88</v>
      </c>
      <c r="D26" s="20">
        <f t="shared" si="49"/>
        <v>17.186897597712168</v>
      </c>
      <c r="E26" s="27">
        <v>10159387.33</v>
      </c>
      <c r="F26" s="27">
        <v>1511415.82</v>
      </c>
      <c r="G26" s="20">
        <f t="shared" si="50"/>
        <v>14.877037078179791</v>
      </c>
      <c r="H26" s="97">
        <v>13195190.66</v>
      </c>
      <c r="I26" s="97">
        <v>1693597.8</v>
      </c>
      <c r="J26" s="20">
        <f t="shared" si="51"/>
        <v>12.834962704510101</v>
      </c>
      <c r="K26" s="97">
        <v>9943522.7599999998</v>
      </c>
      <c r="L26" s="97">
        <v>1668861.39</v>
      </c>
      <c r="M26" s="20">
        <f t="shared" si="52"/>
        <v>16.783401921835598</v>
      </c>
      <c r="N26" s="97">
        <v>13895318.68</v>
      </c>
      <c r="O26" s="97">
        <v>4591920.17</v>
      </c>
      <c r="P26" s="20">
        <f t="shared" si="53"/>
        <v>33.046526501110804</v>
      </c>
      <c r="Q26" s="1">
        <v>17225112.34</v>
      </c>
      <c r="R26" s="1">
        <v>7017203.0300000003</v>
      </c>
      <c r="S26" s="20">
        <f t="shared" si="54"/>
        <v>40.738213437974011</v>
      </c>
      <c r="T26" s="1">
        <v>16327350.02</v>
      </c>
      <c r="U26" s="1">
        <v>8095211.8799999999</v>
      </c>
      <c r="V26" s="20">
        <f t="shared" si="55"/>
        <v>49.580684373666664</v>
      </c>
      <c r="W26" s="1">
        <v>16628457.74</v>
      </c>
      <c r="X26" s="1">
        <v>13975481.289999999</v>
      </c>
      <c r="Y26" s="20">
        <f t="shared" si="56"/>
        <v>84.045565190220699</v>
      </c>
      <c r="Z26" s="13">
        <f t="shared" si="8"/>
        <v>1.8441922273434699</v>
      </c>
      <c r="AA26" s="13">
        <f t="shared" si="8"/>
        <v>72.638857353786761</v>
      </c>
    </row>
    <row r="27" spans="1:27" x14ac:dyDescent="0.3">
      <c r="A27" s="5" t="s">
        <v>43</v>
      </c>
      <c r="B27" s="27">
        <v>9595713.5</v>
      </c>
      <c r="C27" s="27">
        <v>9520503.0800000001</v>
      </c>
      <c r="D27" s="20">
        <f t="shared" si="49"/>
        <v>99.216208153776165</v>
      </c>
      <c r="E27" s="27">
        <v>9242470.7699999996</v>
      </c>
      <c r="F27" s="27">
        <v>8798386.7699999996</v>
      </c>
      <c r="G27" s="20">
        <f t="shared" si="50"/>
        <v>95.195180909400918</v>
      </c>
      <c r="H27" s="97">
        <v>9013246.0899999999</v>
      </c>
      <c r="I27" s="97">
        <v>8381419.8099999996</v>
      </c>
      <c r="J27" s="20">
        <f t="shared" si="51"/>
        <v>92.990025195240179</v>
      </c>
      <c r="K27" s="97">
        <v>14791892.130000001</v>
      </c>
      <c r="L27" s="97">
        <v>14320998.130000001</v>
      </c>
      <c r="M27" s="20">
        <f t="shared" si="52"/>
        <v>96.816539791789296</v>
      </c>
      <c r="N27" s="97">
        <v>14693150.039999999</v>
      </c>
      <c r="O27" s="97">
        <v>13668482.93</v>
      </c>
      <c r="P27" s="20">
        <f t="shared" si="53"/>
        <v>93.026225777246609</v>
      </c>
      <c r="Q27" s="1">
        <v>13694643.57</v>
      </c>
      <c r="R27" s="1">
        <v>13655179.9</v>
      </c>
      <c r="S27" s="20">
        <f t="shared" si="54"/>
        <v>99.711831346334193</v>
      </c>
      <c r="T27" s="1">
        <v>12501396.189999999</v>
      </c>
      <c r="U27" s="1">
        <v>12479060.189999999</v>
      </c>
      <c r="V27" s="20">
        <f t="shared" si="55"/>
        <v>99.821331956362869</v>
      </c>
      <c r="W27" s="1">
        <v>9861635.3399999999</v>
      </c>
      <c r="X27" s="1">
        <v>9858442.4700000007</v>
      </c>
      <c r="Y27" s="20">
        <f t="shared" si="56"/>
        <v>99.967623321184391</v>
      </c>
      <c r="Z27" s="13">
        <f t="shared" si="8"/>
        <v>-21.115728274507234</v>
      </c>
      <c r="AA27" s="13">
        <f t="shared" si="8"/>
        <v>-21.00012084323474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49"/>
        <v>-</v>
      </c>
      <c r="E28" s="27">
        <v>0</v>
      </c>
      <c r="F28" s="27">
        <v>0</v>
      </c>
      <c r="G28" s="20" t="str">
        <f t="shared" si="50"/>
        <v>-</v>
      </c>
      <c r="H28" s="97">
        <v>0</v>
      </c>
      <c r="I28" s="97">
        <v>0</v>
      </c>
      <c r="J28" s="20" t="str">
        <f t="shared" si="51"/>
        <v>-</v>
      </c>
      <c r="K28" s="97">
        <v>0</v>
      </c>
      <c r="L28" s="97">
        <v>0</v>
      </c>
      <c r="M28" s="20" t="str">
        <f t="shared" si="52"/>
        <v>-</v>
      </c>
      <c r="N28" s="97">
        <v>0</v>
      </c>
      <c r="O28" s="97">
        <v>0</v>
      </c>
      <c r="P28" s="20" t="str">
        <f t="shared" si="53"/>
        <v>-</v>
      </c>
      <c r="Q28" s="19">
        <v>0</v>
      </c>
      <c r="R28" s="19">
        <v>0</v>
      </c>
      <c r="S28" s="20" t="str">
        <f t="shared" si="54"/>
        <v>-</v>
      </c>
      <c r="T28" s="19">
        <v>0</v>
      </c>
      <c r="U28" s="19">
        <v>0</v>
      </c>
      <c r="V28" s="20" t="str">
        <f t="shared" si="55"/>
        <v>-</v>
      </c>
      <c r="W28" s="19">
        <v>0</v>
      </c>
      <c r="X28" s="19">
        <v>0</v>
      </c>
      <c r="Y28" s="20" t="str">
        <f t="shared" si="56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456327.72</v>
      </c>
      <c r="C29" s="27">
        <v>301137.25</v>
      </c>
      <c r="D29" s="20">
        <f t="shared" si="49"/>
        <v>65.991443605485983</v>
      </c>
      <c r="E29" s="27">
        <v>575787.30000000005</v>
      </c>
      <c r="F29" s="27">
        <v>265682.08</v>
      </c>
      <c r="G29" s="20">
        <f t="shared" si="50"/>
        <v>46.142400153667857</v>
      </c>
      <c r="H29" s="97">
        <v>388719.26</v>
      </c>
      <c r="I29" s="97">
        <v>233178.62</v>
      </c>
      <c r="J29" s="20">
        <f t="shared" si="51"/>
        <v>59.986381945674616</v>
      </c>
      <c r="K29" s="97">
        <v>334512.01</v>
      </c>
      <c r="L29" s="97">
        <v>234947.6</v>
      </c>
      <c r="M29" s="20">
        <f t="shared" si="52"/>
        <v>70.235923666836356</v>
      </c>
      <c r="N29" s="97">
        <v>907957.47</v>
      </c>
      <c r="O29" s="97">
        <v>62970.93</v>
      </c>
      <c r="P29" s="20">
        <f t="shared" si="53"/>
        <v>6.9354493002849571</v>
      </c>
      <c r="Q29" s="1">
        <v>335441.90999999997</v>
      </c>
      <c r="R29" s="1">
        <v>119883.83</v>
      </c>
      <c r="S29" s="20">
        <f t="shared" si="54"/>
        <v>35.739073272030922</v>
      </c>
      <c r="T29" s="1">
        <v>435239.65</v>
      </c>
      <c r="U29" s="1">
        <v>93689.2</v>
      </c>
      <c r="V29" s="20">
        <f t="shared" si="55"/>
        <v>21.525888094064957</v>
      </c>
      <c r="W29" s="1">
        <v>472040.78</v>
      </c>
      <c r="X29" s="1">
        <v>228057.11</v>
      </c>
      <c r="Y29" s="20">
        <f t="shared" si="56"/>
        <v>48.313010159842541</v>
      </c>
      <c r="Z29" s="13">
        <f t="shared" si="8"/>
        <v>8.4553716555924865</v>
      </c>
      <c r="AA29" s="13">
        <f t="shared" si="8"/>
        <v>143.418782527762</v>
      </c>
    </row>
    <row r="30" spans="1:27" x14ac:dyDescent="0.3">
      <c r="A30" s="5" t="s">
        <v>46</v>
      </c>
      <c r="B30" s="27">
        <v>17118899.739999998</v>
      </c>
      <c r="C30" s="27">
        <v>13994832.789999999</v>
      </c>
      <c r="D30" s="20">
        <f t="shared" si="49"/>
        <v>81.750772552862685</v>
      </c>
      <c r="E30" s="27">
        <v>17685186.780000001</v>
      </c>
      <c r="F30" s="27">
        <v>13326837.77</v>
      </c>
      <c r="G30" s="20">
        <f t="shared" si="50"/>
        <v>75.355934521829226</v>
      </c>
      <c r="H30" s="97">
        <v>10853411.1</v>
      </c>
      <c r="I30" s="97">
        <v>6543569.2599999998</v>
      </c>
      <c r="J30" s="20">
        <f t="shared" si="51"/>
        <v>60.290439565124366</v>
      </c>
      <c r="K30" s="97">
        <v>8595140.25</v>
      </c>
      <c r="L30" s="97">
        <v>3878386.01</v>
      </c>
      <c r="M30" s="20">
        <f t="shared" si="52"/>
        <v>45.12301018008403</v>
      </c>
      <c r="N30" s="97">
        <v>8948496.8699999992</v>
      </c>
      <c r="O30" s="97">
        <v>5123462.43</v>
      </c>
      <c r="P30" s="20">
        <f t="shared" si="53"/>
        <v>57.255006113669239</v>
      </c>
      <c r="Q30" s="1">
        <v>10883502.359999999</v>
      </c>
      <c r="R30" s="1">
        <v>4302619.1500000004</v>
      </c>
      <c r="S30" s="20">
        <f t="shared" si="54"/>
        <v>39.533405770309408</v>
      </c>
      <c r="T30" s="1">
        <v>5947173.4100000001</v>
      </c>
      <c r="U30" s="1">
        <v>3632374.88</v>
      </c>
      <c r="V30" s="20">
        <f t="shared" si="55"/>
        <v>61.077332534011305</v>
      </c>
      <c r="W30" s="1">
        <v>7708719.4000000004</v>
      </c>
      <c r="X30" s="1">
        <v>4125277.97</v>
      </c>
      <c r="Y30" s="20">
        <f t="shared" si="56"/>
        <v>53.51443937627306</v>
      </c>
      <c r="Z30" s="13">
        <f t="shared" si="8"/>
        <v>29.619886096443935</v>
      </c>
      <c r="AA30" s="13">
        <f t="shared" si="8"/>
        <v>13.569719709106678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49"/>
        <v>-</v>
      </c>
      <c r="E31" s="28">
        <v>0</v>
      </c>
      <c r="F31" s="28">
        <v>0</v>
      </c>
      <c r="G31" s="20" t="str">
        <f t="shared" si="50"/>
        <v>-</v>
      </c>
      <c r="H31" s="19">
        <v>0</v>
      </c>
      <c r="I31" s="19">
        <v>0</v>
      </c>
      <c r="J31" s="20" t="str">
        <f t="shared" si="51"/>
        <v>-</v>
      </c>
      <c r="K31" s="19">
        <v>0</v>
      </c>
      <c r="L31" s="19">
        <v>0</v>
      </c>
      <c r="M31" s="20" t="str">
        <f t="shared" si="52"/>
        <v>-</v>
      </c>
      <c r="N31" s="19">
        <v>0</v>
      </c>
      <c r="O31" s="19">
        <v>0</v>
      </c>
      <c r="P31" s="20" t="str">
        <f t="shared" si="53"/>
        <v>-</v>
      </c>
      <c r="Q31" s="19">
        <v>0</v>
      </c>
      <c r="R31" s="19">
        <v>0</v>
      </c>
      <c r="S31" s="20" t="str">
        <f t="shared" si="54"/>
        <v>-</v>
      </c>
      <c r="T31" s="19">
        <v>0</v>
      </c>
      <c r="U31" s="19">
        <v>0</v>
      </c>
      <c r="V31" s="20" t="str">
        <f t="shared" si="55"/>
        <v>-</v>
      </c>
      <c r="W31" s="19">
        <v>0</v>
      </c>
      <c r="X31" s="19">
        <v>0</v>
      </c>
      <c r="Y31" s="20" t="str">
        <f t="shared" si="56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29284912.949999999</v>
      </c>
      <c r="C32" s="27">
        <v>6468546.1299999999</v>
      </c>
      <c r="D32" s="20">
        <f t="shared" si="49"/>
        <v>22.08832288845851</v>
      </c>
      <c r="E32" s="27">
        <v>35737247.390000001</v>
      </c>
      <c r="F32" s="27">
        <v>8181836.3700000001</v>
      </c>
      <c r="G32" s="20">
        <f t="shared" si="50"/>
        <v>22.894422395524067</v>
      </c>
      <c r="H32" s="97">
        <v>27484388.449999999</v>
      </c>
      <c r="I32" s="97">
        <v>12325234.539999999</v>
      </c>
      <c r="J32" s="20">
        <f t="shared" si="51"/>
        <v>44.844492583206815</v>
      </c>
      <c r="K32" s="97">
        <v>36174275.740000002</v>
      </c>
      <c r="L32" s="97">
        <v>12677221.720000001</v>
      </c>
      <c r="M32" s="20">
        <f t="shared" si="52"/>
        <v>35.044852898000272</v>
      </c>
      <c r="N32" s="97">
        <v>44106756.289999999</v>
      </c>
      <c r="O32" s="97">
        <v>7315244.6399999997</v>
      </c>
      <c r="P32" s="20">
        <f t="shared" si="53"/>
        <v>16.585315392278194</v>
      </c>
      <c r="Q32" s="106">
        <v>15683484.08</v>
      </c>
      <c r="R32" s="106">
        <v>4903439.9800000004</v>
      </c>
      <c r="S32" s="20">
        <f t="shared" si="54"/>
        <v>31.264991598729004</v>
      </c>
      <c r="T32" s="1">
        <v>23872574.48</v>
      </c>
      <c r="U32" s="1">
        <f>6520408.22-U33-U35</f>
        <v>6279807.2299999995</v>
      </c>
      <c r="V32" s="20">
        <f t="shared" si="55"/>
        <v>26.305529951372048</v>
      </c>
      <c r="W32" s="1">
        <v>82140908.870000005</v>
      </c>
      <c r="X32" s="1">
        <v>61687164.189999998</v>
      </c>
      <c r="Y32" s="20">
        <f t="shared" si="56"/>
        <v>75.099198485408721</v>
      </c>
      <c r="Z32" s="13">
        <f t="shared" si="8"/>
        <v>244.08064760177473</v>
      </c>
      <c r="AA32" s="13">
        <f t="shared" si="8"/>
        <v>882.30983739926035</v>
      </c>
    </row>
    <row r="33" spans="1:27" x14ac:dyDescent="0.3">
      <c r="A33" s="5" t="s">
        <v>49</v>
      </c>
      <c r="B33" s="27">
        <v>264583.98</v>
      </c>
      <c r="C33" s="27">
        <v>264563.98</v>
      </c>
      <c r="D33" s="20">
        <f t="shared" si="49"/>
        <v>99.992440963356884</v>
      </c>
      <c r="E33" s="27">
        <v>123433.99</v>
      </c>
      <c r="F33" s="27">
        <v>63205.66</v>
      </c>
      <c r="G33" s="20">
        <f t="shared" si="50"/>
        <v>51.206041382928646</v>
      </c>
      <c r="H33" s="97">
        <v>8724.6200000000008</v>
      </c>
      <c r="I33" s="97">
        <v>8724.6200000000008</v>
      </c>
      <c r="J33" s="20">
        <f t="shared" si="51"/>
        <v>100</v>
      </c>
      <c r="K33" s="97">
        <v>0</v>
      </c>
      <c r="L33" s="97">
        <v>0</v>
      </c>
      <c r="M33" s="20" t="str">
        <f t="shared" si="52"/>
        <v>-</v>
      </c>
      <c r="N33" s="97">
        <v>10832</v>
      </c>
      <c r="O33" s="97">
        <v>10832</v>
      </c>
      <c r="P33" s="20">
        <f t="shared" si="53"/>
        <v>100</v>
      </c>
      <c r="Q33" s="106">
        <v>284000</v>
      </c>
      <c r="R33" s="19">
        <v>0</v>
      </c>
      <c r="S33" s="20">
        <f t="shared" si="54"/>
        <v>0</v>
      </c>
      <c r="T33" s="1">
        <v>68580.320000000007</v>
      </c>
      <c r="U33" s="1">
        <v>68580.320000000007</v>
      </c>
      <c r="V33" s="20">
        <f t="shared" si="55"/>
        <v>100</v>
      </c>
      <c r="W33" s="1">
        <v>3139848.31</v>
      </c>
      <c r="X33" s="1">
        <v>3051544.42</v>
      </c>
      <c r="Y33" s="20">
        <f t="shared" si="56"/>
        <v>97.187638341675182</v>
      </c>
      <c r="Z33" s="13">
        <f t="shared" si="8"/>
        <v>4478.3517924675762</v>
      </c>
      <c r="AA33" s="13">
        <f t="shared" si="8"/>
        <v>4349.5919820729905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49"/>
        <v>-</v>
      </c>
      <c r="E34" s="27">
        <v>0</v>
      </c>
      <c r="F34" s="27">
        <v>0</v>
      </c>
      <c r="G34" s="20" t="str">
        <f t="shared" si="50"/>
        <v>-</v>
      </c>
      <c r="H34" s="97">
        <v>4499.78</v>
      </c>
      <c r="I34" s="97">
        <v>0</v>
      </c>
      <c r="J34" s="20">
        <f t="shared" si="51"/>
        <v>0</v>
      </c>
      <c r="K34" s="97">
        <v>0</v>
      </c>
      <c r="L34" s="97">
        <v>0</v>
      </c>
      <c r="M34" s="20" t="str">
        <f t="shared" si="52"/>
        <v>-</v>
      </c>
      <c r="N34" s="97">
        <v>0</v>
      </c>
      <c r="O34" s="97">
        <v>0</v>
      </c>
      <c r="P34" s="20" t="str">
        <f t="shared" si="53"/>
        <v>-</v>
      </c>
      <c r="Q34" s="19">
        <v>0</v>
      </c>
      <c r="R34" s="19">
        <v>0</v>
      </c>
      <c r="S34" s="20" t="str">
        <f t="shared" si="54"/>
        <v>-</v>
      </c>
      <c r="T34" s="34">
        <v>0</v>
      </c>
      <c r="U34" s="34">
        <v>0</v>
      </c>
      <c r="V34" s="20" t="str">
        <f t="shared" si="55"/>
        <v>-</v>
      </c>
      <c r="W34" s="34">
        <v>0</v>
      </c>
      <c r="X34" s="34">
        <v>0</v>
      </c>
      <c r="Y34" s="20" t="str">
        <f t="shared" si="56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28104.85</v>
      </c>
      <c r="C35" s="27">
        <v>18892.849999999999</v>
      </c>
      <c r="D35" s="20">
        <f t="shared" si="49"/>
        <v>67.222739135771931</v>
      </c>
      <c r="E35" s="27">
        <v>35011.15</v>
      </c>
      <c r="F35" s="27">
        <v>16859.8</v>
      </c>
      <c r="G35" s="20">
        <f t="shared" si="50"/>
        <v>48.155516171276865</v>
      </c>
      <c r="H35" s="97">
        <v>100793.39</v>
      </c>
      <c r="I35" s="97">
        <v>61743.14</v>
      </c>
      <c r="J35" s="20">
        <f t="shared" si="51"/>
        <v>61.257132040106995</v>
      </c>
      <c r="K35" s="97">
        <v>515158.2</v>
      </c>
      <c r="L35" s="97">
        <v>484768.76</v>
      </c>
      <c r="M35" s="20">
        <f t="shared" si="52"/>
        <v>94.100949960614045</v>
      </c>
      <c r="N35" s="97">
        <v>809.34</v>
      </c>
      <c r="O35" s="97">
        <v>0</v>
      </c>
      <c r="P35" s="20">
        <f t="shared" si="53"/>
        <v>0</v>
      </c>
      <c r="Q35" s="106">
        <v>1362672.97</v>
      </c>
      <c r="R35" s="106">
        <v>1359592.45</v>
      </c>
      <c r="S35" s="20">
        <f t="shared" si="54"/>
        <v>99.773935487984318</v>
      </c>
      <c r="T35" s="1">
        <v>186275.72</v>
      </c>
      <c r="U35" s="1">
        <v>172020.67</v>
      </c>
      <c r="V35" s="20">
        <f t="shared" si="55"/>
        <v>92.3473386655008</v>
      </c>
      <c r="W35" s="1">
        <v>1069467.29</v>
      </c>
      <c r="X35" s="1">
        <v>931630.68</v>
      </c>
      <c r="Y35" s="20">
        <f t="shared" si="56"/>
        <v>87.111657243860165</v>
      </c>
      <c r="Z35" s="13">
        <f t="shared" si="8"/>
        <v>474.13134143301124</v>
      </c>
      <c r="AA35" s="13">
        <f t="shared" si="8"/>
        <v>441.58066004509806</v>
      </c>
    </row>
    <row r="36" spans="1:27" x14ac:dyDescent="0.3">
      <c r="A36" s="5" t="s">
        <v>52</v>
      </c>
      <c r="B36" s="27">
        <v>0</v>
      </c>
      <c r="C36" s="27">
        <v>0</v>
      </c>
      <c r="D36" s="20" t="str">
        <f t="shared" si="49"/>
        <v>-</v>
      </c>
      <c r="E36" s="27">
        <v>0</v>
      </c>
      <c r="F36" s="27">
        <v>0</v>
      </c>
      <c r="G36" s="20" t="str">
        <f t="shared" si="50"/>
        <v>-</v>
      </c>
      <c r="H36" s="97">
        <v>0</v>
      </c>
      <c r="I36" s="97">
        <v>0</v>
      </c>
      <c r="J36" s="20" t="str">
        <f t="shared" si="51"/>
        <v>-</v>
      </c>
      <c r="K36" s="97">
        <v>0</v>
      </c>
      <c r="L36" s="97">
        <v>0</v>
      </c>
      <c r="M36" s="20" t="str">
        <f t="shared" si="52"/>
        <v>-</v>
      </c>
      <c r="N36" s="97">
        <v>0</v>
      </c>
      <c r="O36" s="97">
        <v>0</v>
      </c>
      <c r="P36" s="20" t="str">
        <f t="shared" si="53"/>
        <v>-</v>
      </c>
      <c r="Q36" s="97">
        <v>0</v>
      </c>
      <c r="R36" s="97">
        <v>0</v>
      </c>
      <c r="S36" s="20" t="str">
        <f t="shared" si="54"/>
        <v>-</v>
      </c>
      <c r="T36" s="97">
        <v>0</v>
      </c>
      <c r="U36" s="97">
        <v>0</v>
      </c>
      <c r="V36" s="20" t="str">
        <f t="shared" si="55"/>
        <v>-</v>
      </c>
      <c r="W36" s="97">
        <v>0</v>
      </c>
      <c r="X36" s="97">
        <v>0</v>
      </c>
      <c r="Y36" s="20" t="str">
        <f t="shared" si="56"/>
        <v>-</v>
      </c>
      <c r="Z36" s="13" t="str">
        <f t="shared" si="8"/>
        <v>-</v>
      </c>
      <c r="AA36" s="13" t="str">
        <f t="shared" si="8"/>
        <v>-</v>
      </c>
    </row>
    <row r="37" spans="1:27" x14ac:dyDescent="0.3">
      <c r="A37" s="5" t="s">
        <v>263</v>
      </c>
      <c r="B37" s="27">
        <v>0</v>
      </c>
      <c r="C37" s="27">
        <v>0</v>
      </c>
      <c r="D37" s="20" t="str">
        <f t="shared" si="49"/>
        <v>-</v>
      </c>
      <c r="E37" s="27">
        <v>0</v>
      </c>
      <c r="F37" s="27">
        <v>0</v>
      </c>
      <c r="G37" s="20" t="str">
        <f t="shared" si="50"/>
        <v>-</v>
      </c>
      <c r="H37" s="97">
        <v>0</v>
      </c>
      <c r="I37" s="97">
        <v>0</v>
      </c>
      <c r="J37" s="20" t="str">
        <f t="shared" si="51"/>
        <v>-</v>
      </c>
      <c r="K37" s="97">
        <v>0</v>
      </c>
      <c r="L37" s="97">
        <v>0</v>
      </c>
      <c r="M37" s="20" t="str">
        <f t="shared" si="52"/>
        <v>-</v>
      </c>
      <c r="N37" s="97">
        <v>0</v>
      </c>
      <c r="O37" s="97">
        <v>0</v>
      </c>
      <c r="P37" s="20" t="str">
        <f t="shared" si="53"/>
        <v>-</v>
      </c>
      <c r="Q37" s="97">
        <v>0</v>
      </c>
      <c r="R37" s="97">
        <v>0</v>
      </c>
      <c r="S37" s="20" t="str">
        <f t="shared" si="54"/>
        <v>-</v>
      </c>
      <c r="T37" s="97">
        <v>0</v>
      </c>
      <c r="U37" s="97">
        <v>0</v>
      </c>
      <c r="V37" s="20" t="str">
        <f t="shared" si="55"/>
        <v>-</v>
      </c>
      <c r="W37" s="97">
        <v>0</v>
      </c>
      <c r="X37" s="97">
        <v>0</v>
      </c>
      <c r="Y37" s="20" t="str">
        <f t="shared" si="56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49"/>
        <v>-</v>
      </c>
      <c r="E38" s="27">
        <v>0</v>
      </c>
      <c r="F38" s="27">
        <v>0</v>
      </c>
      <c r="G38" s="20" t="str">
        <f t="shared" si="50"/>
        <v>-</v>
      </c>
      <c r="H38" s="97">
        <v>0</v>
      </c>
      <c r="I38" s="97">
        <v>0</v>
      </c>
      <c r="J38" s="20" t="str">
        <f t="shared" si="51"/>
        <v>-</v>
      </c>
      <c r="K38" s="97">
        <v>0</v>
      </c>
      <c r="L38" s="97">
        <v>0</v>
      </c>
      <c r="M38" s="20" t="str">
        <f t="shared" si="52"/>
        <v>-</v>
      </c>
      <c r="N38" s="97">
        <v>0</v>
      </c>
      <c r="O38" s="97">
        <v>0</v>
      </c>
      <c r="P38" s="20" t="str">
        <f t="shared" si="53"/>
        <v>-</v>
      </c>
      <c r="Q38" s="97">
        <v>0</v>
      </c>
      <c r="R38" s="97">
        <v>0</v>
      </c>
      <c r="S38" s="20" t="str">
        <f t="shared" si="54"/>
        <v>-</v>
      </c>
      <c r="T38" s="97">
        <v>0</v>
      </c>
      <c r="U38" s="97">
        <v>0</v>
      </c>
      <c r="V38" s="20" t="str">
        <f t="shared" si="55"/>
        <v>-</v>
      </c>
      <c r="W38" s="97">
        <v>0</v>
      </c>
      <c r="X38" s="97">
        <v>0</v>
      </c>
      <c r="Y38" s="20" t="str">
        <f t="shared" si="56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0</v>
      </c>
      <c r="C39" s="27">
        <v>0</v>
      </c>
      <c r="D39" s="20" t="str">
        <f t="shared" si="49"/>
        <v>-</v>
      </c>
      <c r="E39" s="27">
        <v>0</v>
      </c>
      <c r="F39" s="27">
        <v>0</v>
      </c>
      <c r="G39" s="20" t="str">
        <f t="shared" si="50"/>
        <v>-</v>
      </c>
      <c r="H39" s="97">
        <v>0</v>
      </c>
      <c r="I39" s="97">
        <v>0</v>
      </c>
      <c r="J39" s="20" t="str">
        <f t="shared" si="51"/>
        <v>-</v>
      </c>
      <c r="K39" s="97">
        <v>0</v>
      </c>
      <c r="L39" s="97">
        <v>0</v>
      </c>
      <c r="M39" s="20" t="str">
        <f t="shared" si="52"/>
        <v>-</v>
      </c>
      <c r="N39" s="97">
        <v>0</v>
      </c>
      <c r="O39" s="97">
        <v>0</v>
      </c>
      <c r="P39" s="20" t="str">
        <f t="shared" si="53"/>
        <v>-</v>
      </c>
      <c r="Q39" s="97">
        <v>0</v>
      </c>
      <c r="R39" s="97">
        <v>0</v>
      </c>
      <c r="S39" s="20" t="str">
        <f t="shared" si="54"/>
        <v>-</v>
      </c>
      <c r="T39" s="97">
        <v>0</v>
      </c>
      <c r="U39" s="97">
        <v>0</v>
      </c>
      <c r="V39" s="20" t="str">
        <f t="shared" si="55"/>
        <v>-</v>
      </c>
      <c r="W39" s="97">
        <v>0</v>
      </c>
      <c r="X39" s="97">
        <v>0</v>
      </c>
      <c r="Y39" s="20" t="str">
        <f t="shared" si="56"/>
        <v>-</v>
      </c>
      <c r="Z39" s="13" t="str">
        <f t="shared" si="8"/>
        <v>-</v>
      </c>
      <c r="AA39" s="13" t="str">
        <f t="shared" si="8"/>
        <v>-</v>
      </c>
    </row>
    <row r="40" spans="1:27" x14ac:dyDescent="0.3">
      <c r="A40" s="5" t="s">
        <v>55</v>
      </c>
      <c r="B40" s="27">
        <v>0</v>
      </c>
      <c r="C40" s="27">
        <v>0</v>
      </c>
      <c r="D40" s="20" t="str">
        <f t="shared" si="49"/>
        <v>-</v>
      </c>
      <c r="E40" s="27">
        <v>0</v>
      </c>
      <c r="F40" s="27">
        <v>0</v>
      </c>
      <c r="G40" s="20" t="str">
        <f t="shared" si="50"/>
        <v>-</v>
      </c>
      <c r="H40" s="97">
        <v>0</v>
      </c>
      <c r="I40" s="97">
        <v>0</v>
      </c>
      <c r="J40" s="20" t="str">
        <f t="shared" si="51"/>
        <v>-</v>
      </c>
      <c r="K40" s="97">
        <v>0</v>
      </c>
      <c r="L40" s="97">
        <v>0</v>
      </c>
      <c r="M40" s="20" t="str">
        <f t="shared" si="52"/>
        <v>-</v>
      </c>
      <c r="N40" s="97">
        <v>0</v>
      </c>
      <c r="O40" s="97">
        <v>0</v>
      </c>
      <c r="P40" s="20" t="str">
        <f t="shared" si="53"/>
        <v>-</v>
      </c>
      <c r="Q40" s="97">
        <v>0</v>
      </c>
      <c r="R40" s="97">
        <v>0</v>
      </c>
      <c r="S40" s="20" t="str">
        <f t="shared" si="54"/>
        <v>-</v>
      </c>
      <c r="T40" s="97">
        <v>0</v>
      </c>
      <c r="U40" s="97">
        <v>0</v>
      </c>
      <c r="V40" s="20" t="str">
        <f t="shared" si="55"/>
        <v>-</v>
      </c>
      <c r="W40" s="97">
        <v>0</v>
      </c>
      <c r="X40" s="97">
        <v>0</v>
      </c>
      <c r="Y40" s="20" t="str">
        <f t="shared" si="56"/>
        <v>-</v>
      </c>
      <c r="Z40" s="13" t="str">
        <f t="shared" si="8"/>
        <v>-</v>
      </c>
      <c r="AA40" s="13" t="str">
        <f t="shared" si="8"/>
        <v>-</v>
      </c>
    </row>
    <row r="41" spans="1:27" x14ac:dyDescent="0.3">
      <c r="A41" s="5" t="s">
        <v>56</v>
      </c>
      <c r="B41" s="27">
        <v>1370479.44</v>
      </c>
      <c r="C41" s="27">
        <v>1370479.44</v>
      </c>
      <c r="D41" s="20">
        <f t="shared" si="49"/>
        <v>100</v>
      </c>
      <c r="E41" s="27">
        <v>1370479.44</v>
      </c>
      <c r="F41" s="27">
        <v>0</v>
      </c>
      <c r="G41" s="20">
        <f t="shared" si="50"/>
        <v>0</v>
      </c>
      <c r="H41" s="97">
        <v>1370479.44</v>
      </c>
      <c r="I41" s="97">
        <v>0</v>
      </c>
      <c r="J41" s="20">
        <f t="shared" si="51"/>
        <v>0</v>
      </c>
      <c r="K41" s="97">
        <v>1370479.44</v>
      </c>
      <c r="L41" s="97">
        <v>0</v>
      </c>
      <c r="M41" s="20">
        <f t="shared" si="52"/>
        <v>0</v>
      </c>
      <c r="N41" s="97">
        <v>0</v>
      </c>
      <c r="O41" s="97">
        <v>0</v>
      </c>
      <c r="P41" s="20" t="str">
        <f t="shared" si="53"/>
        <v>-</v>
      </c>
      <c r="Q41" s="97">
        <v>0</v>
      </c>
      <c r="R41" s="97">
        <v>0</v>
      </c>
      <c r="S41" s="20" t="str">
        <f t="shared" si="54"/>
        <v>-</v>
      </c>
      <c r="T41" s="97">
        <v>0</v>
      </c>
      <c r="U41" s="97">
        <v>0</v>
      </c>
      <c r="V41" s="20" t="str">
        <f t="shared" si="55"/>
        <v>-</v>
      </c>
      <c r="W41" s="97">
        <v>0</v>
      </c>
      <c r="X41" s="97">
        <v>0</v>
      </c>
      <c r="Y41" s="20" t="str">
        <f t="shared" si="56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12796587.84</v>
      </c>
      <c r="C42" s="27">
        <v>12796587.84</v>
      </c>
      <c r="D42" s="20">
        <f t="shared" si="49"/>
        <v>100</v>
      </c>
      <c r="E42" s="27">
        <v>12704064.279999999</v>
      </c>
      <c r="F42" s="27">
        <v>0</v>
      </c>
      <c r="G42" s="20">
        <f t="shared" si="50"/>
        <v>0</v>
      </c>
      <c r="H42" s="97">
        <v>12907801.27</v>
      </c>
      <c r="I42" s="97">
        <v>0</v>
      </c>
      <c r="J42" s="20">
        <f t="shared" si="51"/>
        <v>0</v>
      </c>
      <c r="K42" s="97">
        <v>18824314.329999998</v>
      </c>
      <c r="L42" s="97">
        <v>0</v>
      </c>
      <c r="M42" s="20">
        <f t="shared" si="52"/>
        <v>0</v>
      </c>
      <c r="N42" s="97">
        <v>15911498.949999999</v>
      </c>
      <c r="O42" s="97">
        <v>13895788.460000001</v>
      </c>
      <c r="P42" s="20">
        <f t="shared" si="53"/>
        <v>87.33173727796401</v>
      </c>
      <c r="Q42" s="97">
        <v>21256284.449999999</v>
      </c>
      <c r="R42" s="97">
        <v>19239367.420000002</v>
      </c>
      <c r="S42" s="20">
        <f t="shared" si="54"/>
        <v>90.511431879149512</v>
      </c>
      <c r="T42" s="97">
        <v>28258834.399999999</v>
      </c>
      <c r="U42" s="97">
        <v>28258834.399999999</v>
      </c>
      <c r="V42" s="20">
        <f t="shared" si="55"/>
        <v>100</v>
      </c>
      <c r="W42" s="97">
        <v>25062538.73</v>
      </c>
      <c r="X42" s="97">
        <v>25062538.73</v>
      </c>
      <c r="Y42" s="20">
        <f t="shared" si="56"/>
        <v>100</v>
      </c>
      <c r="Z42" s="13">
        <f t="shared" si="8"/>
        <v>-11.310783823412038</v>
      </c>
      <c r="AA42" s="13">
        <f t="shared" si="8"/>
        <v>-11.310783823412038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49"/>
        <v>-</v>
      </c>
      <c r="E43" s="27">
        <v>0</v>
      </c>
      <c r="F43" s="27">
        <v>0</v>
      </c>
      <c r="G43" s="20" t="str">
        <f t="shared" si="50"/>
        <v>-</v>
      </c>
      <c r="H43" s="97">
        <v>0</v>
      </c>
      <c r="I43" s="97">
        <v>0</v>
      </c>
      <c r="J43" s="20" t="str">
        <f t="shared" si="51"/>
        <v>-</v>
      </c>
      <c r="K43" s="97">
        <v>0</v>
      </c>
      <c r="L43" s="97">
        <v>0</v>
      </c>
      <c r="M43" s="20" t="str">
        <f t="shared" si="52"/>
        <v>-</v>
      </c>
      <c r="N43" s="97">
        <v>0</v>
      </c>
      <c r="O43" s="97">
        <v>0</v>
      </c>
      <c r="P43" s="20" t="str">
        <f t="shared" si="53"/>
        <v>-</v>
      </c>
      <c r="Q43" s="97">
        <v>0</v>
      </c>
      <c r="R43" s="97">
        <v>0</v>
      </c>
      <c r="S43" s="20" t="str">
        <f t="shared" si="54"/>
        <v>-</v>
      </c>
      <c r="T43" s="97">
        <v>0</v>
      </c>
      <c r="U43" s="97">
        <v>0</v>
      </c>
      <c r="V43" s="20" t="str">
        <f t="shared" si="55"/>
        <v>-</v>
      </c>
      <c r="W43" s="97">
        <v>0</v>
      </c>
      <c r="X43" s="97">
        <v>0</v>
      </c>
      <c r="Y43" s="20" t="str">
        <f t="shared" si="56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49"/>
        <v>-</v>
      </c>
      <c r="E44" s="27">
        <v>0</v>
      </c>
      <c r="F44" s="27">
        <v>0</v>
      </c>
      <c r="G44" s="20" t="str">
        <f t="shared" si="50"/>
        <v>-</v>
      </c>
      <c r="H44" s="97">
        <v>0</v>
      </c>
      <c r="I44" s="97">
        <v>0</v>
      </c>
      <c r="J44" s="20" t="str">
        <f t="shared" si="51"/>
        <v>-</v>
      </c>
      <c r="K44" s="97">
        <v>0</v>
      </c>
      <c r="L44" s="97">
        <v>0</v>
      </c>
      <c r="M44" s="20" t="str">
        <f t="shared" si="52"/>
        <v>-</v>
      </c>
      <c r="N44" s="97">
        <v>0</v>
      </c>
      <c r="O44" s="97">
        <v>0</v>
      </c>
      <c r="P44" s="20" t="str">
        <f t="shared" si="53"/>
        <v>-</v>
      </c>
      <c r="Q44" s="97">
        <v>0</v>
      </c>
      <c r="R44" s="97">
        <v>0</v>
      </c>
      <c r="S44" s="20" t="str">
        <f t="shared" si="54"/>
        <v>-</v>
      </c>
      <c r="T44" s="97">
        <v>0</v>
      </c>
      <c r="U44" s="97">
        <v>0</v>
      </c>
      <c r="V44" s="20" t="str">
        <f t="shared" si="55"/>
        <v>-</v>
      </c>
      <c r="W44" s="97">
        <v>0</v>
      </c>
      <c r="X44" s="97">
        <v>0</v>
      </c>
      <c r="Y44" s="20" t="str">
        <f t="shared" si="56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127202807.81999999</v>
      </c>
      <c r="C45" s="27">
        <v>102065696.89</v>
      </c>
      <c r="D45" s="20">
        <f t="shared" si="49"/>
        <v>80.238556553271536</v>
      </c>
      <c r="E45" s="27">
        <v>113167169.73999999</v>
      </c>
      <c r="F45" s="27">
        <v>80710029.299999997</v>
      </c>
      <c r="G45" s="20">
        <f t="shared" si="50"/>
        <v>71.31929647567415</v>
      </c>
      <c r="H45" s="97">
        <v>117880743.5</v>
      </c>
      <c r="I45" s="97">
        <v>80710029.299999997</v>
      </c>
      <c r="J45" s="20">
        <f t="shared" si="51"/>
        <v>68.467526504869724</v>
      </c>
      <c r="K45" s="97">
        <v>138877668.75</v>
      </c>
      <c r="L45" s="97">
        <v>102967054.65000001</v>
      </c>
      <c r="M45" s="20">
        <f t="shared" si="52"/>
        <v>74.142268931195616</v>
      </c>
      <c r="N45" s="97">
        <v>131742693.28</v>
      </c>
      <c r="O45" s="97">
        <v>131742693.28</v>
      </c>
      <c r="P45" s="20">
        <f t="shared" si="53"/>
        <v>100</v>
      </c>
      <c r="Q45" s="97">
        <v>14056134.01</v>
      </c>
      <c r="R45" s="97">
        <v>14056134.01</v>
      </c>
      <c r="S45" s="20">
        <f t="shared" si="54"/>
        <v>100</v>
      </c>
      <c r="T45" s="97">
        <v>0</v>
      </c>
      <c r="U45" s="97">
        <v>0</v>
      </c>
      <c r="V45" s="20" t="str">
        <f t="shared" si="55"/>
        <v>-</v>
      </c>
      <c r="W45" s="97">
        <v>0</v>
      </c>
      <c r="X45" s="97">
        <v>0</v>
      </c>
      <c r="Y45" s="20" t="str">
        <f t="shared" si="56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127048355.91</v>
      </c>
      <c r="C46" s="27">
        <v>0</v>
      </c>
      <c r="D46" s="20">
        <f t="shared" si="49"/>
        <v>0</v>
      </c>
      <c r="E46" s="27">
        <v>42226163.399999999</v>
      </c>
      <c r="F46" s="27">
        <v>0</v>
      </c>
      <c r="G46" s="20">
        <f t="shared" si="50"/>
        <v>0</v>
      </c>
      <c r="H46" s="97">
        <v>61607739.920000002</v>
      </c>
      <c r="I46" s="97">
        <v>0</v>
      </c>
      <c r="J46" s="20">
        <f t="shared" si="51"/>
        <v>0</v>
      </c>
      <c r="K46" s="97">
        <v>67603247.790000007</v>
      </c>
      <c r="L46" s="97">
        <v>0</v>
      </c>
      <c r="M46" s="20">
        <f t="shared" si="52"/>
        <v>0</v>
      </c>
      <c r="N46" s="97">
        <v>121498260.29000001</v>
      </c>
      <c r="O46" s="97">
        <v>0</v>
      </c>
      <c r="P46" s="20">
        <f t="shared" si="53"/>
        <v>0</v>
      </c>
      <c r="Q46" s="97">
        <v>134388876.86000001</v>
      </c>
      <c r="R46" s="97">
        <v>0</v>
      </c>
      <c r="S46" s="20">
        <f t="shared" si="54"/>
        <v>0</v>
      </c>
      <c r="T46" s="1">
        <v>19306150.280000001</v>
      </c>
      <c r="U46" s="97">
        <v>0</v>
      </c>
      <c r="V46" s="20">
        <f t="shared" si="55"/>
        <v>0</v>
      </c>
      <c r="W46" s="1">
        <v>30956409.359999999</v>
      </c>
      <c r="X46" s="97">
        <v>0</v>
      </c>
      <c r="Y46" s="20">
        <f t="shared" si="56"/>
        <v>0</v>
      </c>
      <c r="Z46" s="13">
        <f t="shared" si="8"/>
        <v>60.344806763826739</v>
      </c>
      <c r="AA46" s="13" t="str">
        <f t="shared" si="8"/>
        <v>-</v>
      </c>
    </row>
    <row r="47" spans="1:27" x14ac:dyDescent="0.3">
      <c r="A47" s="5" t="s">
        <v>62</v>
      </c>
      <c r="B47" s="27">
        <v>2847004.05</v>
      </c>
      <c r="C47" s="27">
        <v>0</v>
      </c>
      <c r="D47" s="20">
        <f t="shared" si="49"/>
        <v>0</v>
      </c>
      <c r="E47" s="27">
        <v>3238342.42</v>
      </c>
      <c r="F47" s="27">
        <v>0</v>
      </c>
      <c r="G47" s="20">
        <f t="shared" si="50"/>
        <v>0</v>
      </c>
      <c r="H47" s="97">
        <v>4583589.1900000004</v>
      </c>
      <c r="I47" s="97">
        <v>0</v>
      </c>
      <c r="J47" s="20">
        <f t="shared" si="51"/>
        <v>0</v>
      </c>
      <c r="K47" s="97">
        <v>3881251.7</v>
      </c>
      <c r="L47" s="97">
        <v>0</v>
      </c>
      <c r="M47" s="20">
        <f t="shared" si="52"/>
        <v>0</v>
      </c>
      <c r="N47" s="97">
        <v>2848870.43</v>
      </c>
      <c r="O47" s="97">
        <v>0</v>
      </c>
      <c r="P47" s="20">
        <f t="shared" si="53"/>
        <v>0</v>
      </c>
      <c r="Q47" s="97">
        <v>1931504.51</v>
      </c>
      <c r="R47" s="97">
        <v>0</v>
      </c>
      <c r="S47" s="20">
        <f t="shared" si="54"/>
        <v>0</v>
      </c>
      <c r="T47" s="1">
        <v>1084934.56</v>
      </c>
      <c r="U47" s="97">
        <v>0</v>
      </c>
      <c r="V47" s="20">
        <f t="shared" si="55"/>
        <v>0</v>
      </c>
      <c r="W47" s="1">
        <v>1176950.8999999999</v>
      </c>
      <c r="X47" s="97">
        <v>0</v>
      </c>
      <c r="Y47" s="20">
        <f t="shared" si="56"/>
        <v>0</v>
      </c>
      <c r="Z47" s="13">
        <f t="shared" si="8"/>
        <v>8.4812801981346979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57">SUM(B23:B30)</f>
        <v>151031790.94</v>
      </c>
      <c r="C48" s="27">
        <f t="shared" si="57"/>
        <v>103763781.25</v>
      </c>
      <c r="D48" s="20">
        <f t="shared" si="49"/>
        <v>68.703271413382069</v>
      </c>
      <c r="E48" s="27">
        <f t="shared" ref="E48:F48" si="58">SUM(E23:E30)</f>
        <v>153828210.25</v>
      </c>
      <c r="F48" s="27">
        <f t="shared" si="58"/>
        <v>94554855.079999983</v>
      </c>
      <c r="G48" s="20">
        <f t="shared" si="50"/>
        <v>61.467825001883867</v>
      </c>
      <c r="H48" s="97">
        <f t="shared" ref="H48:I48" si="59">SUM(H23:H30)</f>
        <v>154615032.61999997</v>
      </c>
      <c r="I48" s="97">
        <f t="shared" si="59"/>
        <v>84043518.600000009</v>
      </c>
      <c r="J48" s="20">
        <f t="shared" si="51"/>
        <v>54.356628314761089</v>
      </c>
      <c r="K48" s="97">
        <f t="shared" ref="K48:L48" si="60">SUM(K23:K30)</f>
        <v>147193427.24000001</v>
      </c>
      <c r="L48" s="97">
        <f t="shared" si="60"/>
        <v>81300777.459999993</v>
      </c>
      <c r="M48" s="20">
        <f t="shared" si="52"/>
        <v>55.233972728577385</v>
      </c>
      <c r="N48" s="97">
        <f t="shared" ref="N48:O48" si="61">SUM(N23:N30)</f>
        <v>145027299.34999999</v>
      </c>
      <c r="O48" s="97">
        <f t="shared" si="61"/>
        <v>103608251.87</v>
      </c>
      <c r="P48" s="20">
        <f t="shared" si="53"/>
        <v>71.440516602297194</v>
      </c>
      <c r="Q48" s="97">
        <f t="shared" ref="Q48:R48" si="62">SUM(Q23:Q30)</f>
        <v>156854886.67000002</v>
      </c>
      <c r="R48" s="97">
        <f t="shared" si="62"/>
        <v>113053180.90000001</v>
      </c>
      <c r="S48" s="20">
        <f t="shared" si="54"/>
        <v>72.07501360021223</v>
      </c>
      <c r="T48" s="97">
        <f t="shared" ref="T48:U48" si="63">SUM(T23:T30)</f>
        <v>171801120.62</v>
      </c>
      <c r="U48" s="97">
        <f t="shared" si="63"/>
        <v>122204500.23999998</v>
      </c>
      <c r="V48" s="20">
        <f t="shared" si="55"/>
        <v>71.131375510814749</v>
      </c>
      <c r="W48" s="97">
        <v>157637285.30000001</v>
      </c>
      <c r="X48" s="97">
        <v>123335775.40999998</v>
      </c>
      <c r="Y48" s="20">
        <f t="shared" si="56"/>
        <v>78.240230523685611</v>
      </c>
      <c r="Z48" s="13">
        <f t="shared" si="8"/>
        <v>-8.2443206824758875</v>
      </c>
      <c r="AA48" s="13">
        <f t="shared" si="8"/>
        <v>0.92572300347227099</v>
      </c>
    </row>
    <row r="49" spans="1:27" x14ac:dyDescent="0.3">
      <c r="A49" s="5" t="s">
        <v>64</v>
      </c>
      <c r="B49" s="27">
        <f t="shared" ref="B49:C49" si="64">SUM(B31:B35)</f>
        <v>29577601.780000001</v>
      </c>
      <c r="C49" s="27">
        <f t="shared" si="64"/>
        <v>6752002.959999999</v>
      </c>
      <c r="D49" s="20">
        <f t="shared" si="49"/>
        <v>22.828094752988452</v>
      </c>
      <c r="E49" s="27">
        <f t="shared" ref="E49:F49" si="65">SUM(E31:E35)</f>
        <v>35895692.530000001</v>
      </c>
      <c r="F49" s="27">
        <f t="shared" si="65"/>
        <v>8261901.8300000001</v>
      </c>
      <c r="G49" s="20">
        <f t="shared" si="50"/>
        <v>23.016415752656325</v>
      </c>
      <c r="H49" s="97">
        <f t="shared" ref="H49:I49" si="66">SUM(H31:H35)</f>
        <v>27598406.240000002</v>
      </c>
      <c r="I49" s="97">
        <f t="shared" si="66"/>
        <v>12395702.299999999</v>
      </c>
      <c r="J49" s="20">
        <f t="shared" si="51"/>
        <v>44.914558442995066</v>
      </c>
      <c r="K49" s="97">
        <f t="shared" ref="K49:L49" si="67">SUM(K31:K35)</f>
        <v>36689433.940000005</v>
      </c>
      <c r="L49" s="97">
        <f t="shared" si="67"/>
        <v>13161990.48</v>
      </c>
      <c r="M49" s="20">
        <f t="shared" si="52"/>
        <v>35.874062547610947</v>
      </c>
      <c r="N49" s="97">
        <f t="shared" ref="N49:O49" si="68">SUM(N31:N35)</f>
        <v>44118397.630000003</v>
      </c>
      <c r="O49" s="97">
        <f t="shared" si="68"/>
        <v>7326076.6399999997</v>
      </c>
      <c r="P49" s="20">
        <f t="shared" si="53"/>
        <v>16.605491208997019</v>
      </c>
      <c r="Q49" s="97">
        <f t="shared" ref="Q49:R49" si="69">SUM(Q31:Q35)</f>
        <v>17330157.050000001</v>
      </c>
      <c r="R49" s="97">
        <f t="shared" si="69"/>
        <v>6263032.4300000006</v>
      </c>
      <c r="S49" s="20">
        <f t="shared" si="54"/>
        <v>36.139501863314045</v>
      </c>
      <c r="T49" s="97">
        <f t="shared" ref="T49:U49" si="70">SUM(T31:T35)</f>
        <v>24127430.52</v>
      </c>
      <c r="U49" s="97">
        <f t="shared" si="70"/>
        <v>6520408.2199999997</v>
      </c>
      <c r="V49" s="20">
        <f t="shared" si="55"/>
        <v>27.024876165719448</v>
      </c>
      <c r="W49" s="97">
        <v>86350224.470000014</v>
      </c>
      <c r="X49" s="97">
        <v>65670339.289999999</v>
      </c>
      <c r="Y49" s="20">
        <f t="shared" si="56"/>
        <v>76.05115064039623</v>
      </c>
      <c r="Z49" s="13">
        <f t="shared" si="8"/>
        <v>257.89233502681338</v>
      </c>
      <c r="AA49" s="13">
        <f t="shared" si="8"/>
        <v>907.15073465139574</v>
      </c>
    </row>
    <row r="50" spans="1:27" x14ac:dyDescent="0.3">
      <c r="A50" s="5" t="s">
        <v>65</v>
      </c>
      <c r="B50" s="27">
        <f t="shared" ref="B50:C50" si="71">SUM(B36:B39)</f>
        <v>0</v>
      </c>
      <c r="C50" s="27">
        <f t="shared" si="71"/>
        <v>0</v>
      </c>
      <c r="D50" s="20" t="str">
        <f t="shared" si="49"/>
        <v>-</v>
      </c>
      <c r="E50" s="27">
        <f t="shared" ref="E50:F50" si="72">SUM(E36:E39)</f>
        <v>0</v>
      </c>
      <c r="F50" s="27">
        <f t="shared" si="72"/>
        <v>0</v>
      </c>
      <c r="G50" s="20" t="str">
        <f t="shared" si="50"/>
        <v>-</v>
      </c>
      <c r="H50" s="97">
        <f t="shared" ref="H50:I50" si="73">SUM(H36:H39)</f>
        <v>0</v>
      </c>
      <c r="I50" s="97">
        <f t="shared" si="73"/>
        <v>0</v>
      </c>
      <c r="J50" s="20" t="str">
        <f t="shared" si="51"/>
        <v>-</v>
      </c>
      <c r="K50" s="97">
        <f t="shared" ref="K50:L50" si="74">SUM(K36:K39)</f>
        <v>0</v>
      </c>
      <c r="L50" s="97">
        <f t="shared" si="74"/>
        <v>0</v>
      </c>
      <c r="M50" s="20" t="str">
        <f t="shared" si="52"/>
        <v>-</v>
      </c>
      <c r="N50" s="97">
        <f t="shared" ref="N50:O50" si="75">SUM(N36:N39)</f>
        <v>0</v>
      </c>
      <c r="O50" s="97">
        <f t="shared" si="75"/>
        <v>0</v>
      </c>
      <c r="P50" s="20" t="str">
        <f t="shared" si="53"/>
        <v>-</v>
      </c>
      <c r="Q50" s="97">
        <f t="shared" ref="Q50:R50" si="76">SUM(Q36:Q39)</f>
        <v>0</v>
      </c>
      <c r="R50" s="97">
        <f t="shared" si="76"/>
        <v>0</v>
      </c>
      <c r="S50" s="20" t="str">
        <f t="shared" si="54"/>
        <v>-</v>
      </c>
      <c r="T50" s="97">
        <f t="shared" ref="T50:U50" si="77">SUM(T36:T39)</f>
        <v>0</v>
      </c>
      <c r="U50" s="97">
        <f t="shared" si="77"/>
        <v>0</v>
      </c>
      <c r="V50" s="20" t="str">
        <f t="shared" si="55"/>
        <v>-</v>
      </c>
      <c r="W50" s="97">
        <v>0</v>
      </c>
      <c r="X50" s="97">
        <v>0</v>
      </c>
      <c r="Y50" s="20" t="str">
        <f t="shared" si="56"/>
        <v>-</v>
      </c>
      <c r="Z50" s="13" t="str">
        <f t="shared" si="8"/>
        <v>-</v>
      </c>
      <c r="AA50" s="13" t="str">
        <f t="shared" si="8"/>
        <v>-</v>
      </c>
    </row>
    <row r="51" spans="1:27" x14ac:dyDescent="0.3">
      <c r="A51" s="5" t="s">
        <v>66</v>
      </c>
      <c r="B51" s="27">
        <f t="shared" ref="B51:C51" si="78">SUM(B40:B44)</f>
        <v>14167067.279999999</v>
      </c>
      <c r="C51" s="27">
        <f t="shared" si="78"/>
        <v>14167067.279999999</v>
      </c>
      <c r="D51" s="20">
        <f t="shared" si="49"/>
        <v>100</v>
      </c>
      <c r="E51" s="27">
        <f t="shared" ref="E51" si="79">SUM(E40:E44)</f>
        <v>14074543.719999999</v>
      </c>
      <c r="F51" s="29">
        <v>13389303.99</v>
      </c>
      <c r="G51" s="20">
        <f t="shared" si="50"/>
        <v>95.13135385677711</v>
      </c>
      <c r="H51" s="97">
        <f t="shared" ref="H51" si="80">SUM(H40:H44)</f>
        <v>14278280.709999999</v>
      </c>
      <c r="I51" s="98">
        <v>12772114.710000001</v>
      </c>
      <c r="J51" s="20">
        <f t="shared" si="51"/>
        <v>89.45134900629084</v>
      </c>
      <c r="K51" s="97">
        <f t="shared" ref="K51" si="81">SUM(K40:K44)</f>
        <v>20194793.77</v>
      </c>
      <c r="L51" s="98">
        <v>18803120.440000001</v>
      </c>
      <c r="M51" s="20">
        <f t="shared" si="52"/>
        <v>93.108751959292732</v>
      </c>
      <c r="N51" s="97">
        <f t="shared" ref="N51:O51" si="82">SUM(N40:N44)</f>
        <v>15911498.949999999</v>
      </c>
      <c r="O51" s="97">
        <f t="shared" si="82"/>
        <v>13895788.460000001</v>
      </c>
      <c r="P51" s="20">
        <f t="shared" si="53"/>
        <v>87.33173727796401</v>
      </c>
      <c r="Q51" s="97">
        <f t="shared" ref="Q51:R51" si="83">SUM(Q40:Q44)</f>
        <v>21256284.449999999</v>
      </c>
      <c r="R51" s="97">
        <f t="shared" si="83"/>
        <v>19239367.420000002</v>
      </c>
      <c r="S51" s="20">
        <f t="shared" si="54"/>
        <v>90.511431879149512</v>
      </c>
      <c r="T51" s="97">
        <f t="shared" ref="T51:U51" si="84">SUM(T40:T44)</f>
        <v>28258834.399999999</v>
      </c>
      <c r="U51" s="97">
        <f t="shared" si="84"/>
        <v>28258834.399999999</v>
      </c>
      <c r="V51" s="20">
        <f t="shared" si="55"/>
        <v>100</v>
      </c>
      <c r="W51" s="97">
        <v>25062538.73</v>
      </c>
      <c r="X51" s="97">
        <v>25062538.73</v>
      </c>
      <c r="Y51" s="20">
        <f t="shared" si="56"/>
        <v>100</v>
      </c>
      <c r="Z51" s="13">
        <f t="shared" si="8"/>
        <v>-11.310783823412038</v>
      </c>
      <c r="AA51" s="13">
        <f t="shared" si="8"/>
        <v>-11.310783823412038</v>
      </c>
    </row>
    <row r="52" spans="1:27" x14ac:dyDescent="0.3">
      <c r="A52" s="5" t="s">
        <v>67</v>
      </c>
      <c r="B52" s="27">
        <f t="shared" ref="B52:C52" si="85">B45</f>
        <v>127202807.81999999</v>
      </c>
      <c r="C52" s="27">
        <f t="shared" si="85"/>
        <v>102065696.89</v>
      </c>
      <c r="D52" s="20">
        <f t="shared" si="49"/>
        <v>80.238556553271536</v>
      </c>
      <c r="E52" s="27">
        <f t="shared" ref="E52:F52" si="86">E45</f>
        <v>113167169.73999999</v>
      </c>
      <c r="F52" s="27">
        <f t="shared" si="86"/>
        <v>80710029.299999997</v>
      </c>
      <c r="G52" s="20">
        <f t="shared" si="50"/>
        <v>71.31929647567415</v>
      </c>
      <c r="H52" s="97">
        <f t="shared" ref="H52" si="87">H45</f>
        <v>117880743.5</v>
      </c>
      <c r="I52" s="97">
        <v>83087702.879999995</v>
      </c>
      <c r="J52" s="20">
        <f t="shared" si="51"/>
        <v>70.484542608946128</v>
      </c>
      <c r="K52" s="97">
        <f t="shared" ref="K52:L52" si="88">K45</f>
        <v>138877668.75</v>
      </c>
      <c r="L52" s="97">
        <f t="shared" si="88"/>
        <v>102967054.65000001</v>
      </c>
      <c r="M52" s="20">
        <f t="shared" si="52"/>
        <v>74.142268931195616</v>
      </c>
      <c r="N52" s="97">
        <f t="shared" ref="N52:O52" si="89">N45</f>
        <v>131742693.28</v>
      </c>
      <c r="O52" s="97">
        <f t="shared" si="89"/>
        <v>131742693.28</v>
      </c>
      <c r="P52" s="20">
        <f t="shared" si="53"/>
        <v>100</v>
      </c>
      <c r="Q52" s="97">
        <f t="shared" ref="Q52:R52" si="90">Q45</f>
        <v>14056134.01</v>
      </c>
      <c r="R52" s="97">
        <f t="shared" si="90"/>
        <v>14056134.01</v>
      </c>
      <c r="S52" s="20">
        <f t="shared" si="54"/>
        <v>100</v>
      </c>
      <c r="T52" s="97">
        <f t="shared" ref="T52:U52" si="91">T45</f>
        <v>0</v>
      </c>
      <c r="U52" s="97">
        <f t="shared" si="91"/>
        <v>0</v>
      </c>
      <c r="V52" s="20" t="str">
        <f t="shared" si="55"/>
        <v>-</v>
      </c>
      <c r="W52" s="97">
        <v>0</v>
      </c>
      <c r="X52" s="97">
        <v>0</v>
      </c>
      <c r="Y52" s="20" t="str">
        <f t="shared" si="56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129895359.95999999</v>
      </c>
      <c r="C53" s="29">
        <v>124329576.88</v>
      </c>
      <c r="D53" s="20">
        <f t="shared" si="49"/>
        <v>95.715179447738606</v>
      </c>
      <c r="E53" s="27">
        <f>SUM(E46:E47)</f>
        <v>45464505.82</v>
      </c>
      <c r="F53" s="29">
        <v>40726270.729999997</v>
      </c>
      <c r="G53" s="20">
        <f t="shared" si="50"/>
        <v>89.578166517944126</v>
      </c>
      <c r="H53" s="97">
        <f>SUM(H46:H47)</f>
        <v>66191329.109999999</v>
      </c>
      <c r="I53" s="98">
        <v>62542068.100000001</v>
      </c>
      <c r="J53" s="20">
        <f t="shared" si="51"/>
        <v>94.486799012699265</v>
      </c>
      <c r="K53" s="97">
        <f>SUM(K46:K47)</f>
        <v>71484499.49000001</v>
      </c>
      <c r="L53" s="98">
        <v>68198696.590000004</v>
      </c>
      <c r="M53" s="20">
        <f t="shared" si="52"/>
        <v>95.403474986266559</v>
      </c>
      <c r="N53" s="97">
        <f>SUM(N46:N47)</f>
        <v>124347130.72000001</v>
      </c>
      <c r="O53" s="98">
        <v>121404722.13</v>
      </c>
      <c r="P53" s="20">
        <f t="shared" si="53"/>
        <v>97.633714125156928</v>
      </c>
      <c r="Q53" s="97">
        <f>SUM(Q46:Q47)</f>
        <v>136320381.37</v>
      </c>
      <c r="R53" s="98">
        <v>134554393.69</v>
      </c>
      <c r="S53" s="20">
        <f t="shared" si="54"/>
        <v>98.704531441115336</v>
      </c>
      <c r="T53" s="97">
        <f>SUM(T46:T47)</f>
        <v>20391084.84</v>
      </c>
      <c r="U53" s="98">
        <v>19484451.039999999</v>
      </c>
      <c r="V53" s="20">
        <f t="shared" si="55"/>
        <v>95.553773587261475</v>
      </c>
      <c r="W53" s="97">
        <v>32133360.259999998</v>
      </c>
      <c r="X53" s="98">
        <v>30582552.02</v>
      </c>
      <c r="Y53" s="20">
        <f t="shared" si="56"/>
        <v>95.173837322172432</v>
      </c>
      <c r="Z53" s="13">
        <f t="shared" si="8"/>
        <v>57.585339436996833</v>
      </c>
      <c r="AA53" s="13">
        <f t="shared" si="8"/>
        <v>56.958756278103493</v>
      </c>
    </row>
    <row r="54" spans="1:27" x14ac:dyDescent="0.3">
      <c r="A54" s="5" t="s">
        <v>69</v>
      </c>
      <c r="B54" s="19">
        <f t="shared" ref="B54:C54" si="92">SUM(B48:B53)</f>
        <v>451874627.77999997</v>
      </c>
      <c r="C54" s="19">
        <f t="shared" si="92"/>
        <v>351078125.25999999</v>
      </c>
      <c r="D54" s="20">
        <f t="shared" si="49"/>
        <v>77.693701676679709</v>
      </c>
      <c r="E54" s="24">
        <f t="shared" ref="E54:F54" si="93">SUM(E48:E53)</f>
        <v>362430122.06</v>
      </c>
      <c r="F54" s="19">
        <f t="shared" si="93"/>
        <v>237642360.92999998</v>
      </c>
      <c r="G54" s="20">
        <f t="shared" si="50"/>
        <v>65.569152911263402</v>
      </c>
      <c r="H54" s="24">
        <f t="shared" ref="H54:I54" si="94">SUM(H48:H53)</f>
        <v>380563792.18000001</v>
      </c>
      <c r="I54" s="19">
        <f t="shared" si="94"/>
        <v>254841106.59</v>
      </c>
      <c r="J54" s="20">
        <f t="shared" si="51"/>
        <v>66.964096907428498</v>
      </c>
      <c r="K54" s="24">
        <f t="shared" ref="K54:L54" si="95">SUM(K48:K53)</f>
        <v>414439823.19000006</v>
      </c>
      <c r="L54" s="19">
        <f t="shared" si="95"/>
        <v>284431639.62</v>
      </c>
      <c r="M54" s="20">
        <f t="shared" si="52"/>
        <v>68.630383400584122</v>
      </c>
      <c r="N54" s="24">
        <f t="shared" ref="N54:O54" si="96">SUM(N48:N53)</f>
        <v>461147019.93000001</v>
      </c>
      <c r="O54" s="19">
        <f t="shared" si="96"/>
        <v>377977532.38</v>
      </c>
      <c r="P54" s="20">
        <f t="shared" si="53"/>
        <v>81.964648158709835</v>
      </c>
      <c r="Q54" s="24">
        <f t="shared" ref="Q54:R54" si="97">SUM(Q48:Q53)</f>
        <v>345817843.55000001</v>
      </c>
      <c r="R54" s="19">
        <f t="shared" si="97"/>
        <v>287166108.44999999</v>
      </c>
      <c r="S54" s="20">
        <f t="shared" si="54"/>
        <v>83.039702492529159</v>
      </c>
      <c r="T54" s="24">
        <f t="shared" ref="T54:U54" si="98">SUM(T48:T53)</f>
        <v>244578470.38000003</v>
      </c>
      <c r="U54" s="19">
        <f t="shared" si="98"/>
        <v>176468193.89999998</v>
      </c>
      <c r="V54" s="20">
        <f t="shared" si="55"/>
        <v>72.15197381266735</v>
      </c>
      <c r="W54" s="24">
        <v>301183408.76000005</v>
      </c>
      <c r="X54" s="19">
        <v>244651205.44999999</v>
      </c>
      <c r="Y54" s="20">
        <f t="shared" si="56"/>
        <v>81.229974272902894</v>
      </c>
      <c r="Z54" s="13">
        <f t="shared" si="8"/>
        <v>23.143876193212449</v>
      </c>
      <c r="AA54" s="13">
        <f t="shared" si="8"/>
        <v>38.637564108939415</v>
      </c>
    </row>
    <row r="55" spans="1:27" x14ac:dyDescent="0.3">
      <c r="A55" s="14" t="s">
        <v>70</v>
      </c>
      <c r="B55" s="15">
        <f t="shared" ref="B55:F55" si="99">B54-B53</f>
        <v>321979267.81999999</v>
      </c>
      <c r="C55" s="15">
        <f t="shared" si="99"/>
        <v>226748548.38</v>
      </c>
      <c r="D55" s="21">
        <f t="shared" si="49"/>
        <v>70.423338097272165</v>
      </c>
      <c r="E55" s="25">
        <f t="shared" si="99"/>
        <v>316965616.24000001</v>
      </c>
      <c r="F55" s="15">
        <f t="shared" si="99"/>
        <v>196916090.19999999</v>
      </c>
      <c r="G55" s="21">
        <f t="shared" si="50"/>
        <v>62.125378940439738</v>
      </c>
      <c r="H55" s="25">
        <f t="shared" ref="H55:I55" si="100">H54-H53</f>
        <v>314372463.06999999</v>
      </c>
      <c r="I55" s="15">
        <f t="shared" si="100"/>
        <v>192299038.49000001</v>
      </c>
      <c r="J55" s="21">
        <f t="shared" si="51"/>
        <v>61.169173855784429</v>
      </c>
      <c r="K55" s="25">
        <f t="shared" ref="K55:L55" si="101">K54-K53</f>
        <v>342955323.70000005</v>
      </c>
      <c r="L55" s="15">
        <f t="shared" si="101"/>
        <v>216232943.03</v>
      </c>
      <c r="M55" s="21">
        <f t="shared" si="52"/>
        <v>63.049886701612955</v>
      </c>
      <c r="N55" s="25">
        <f t="shared" ref="N55:O55" si="102">N54-N53</f>
        <v>336799889.20999998</v>
      </c>
      <c r="O55" s="15">
        <f t="shared" si="102"/>
        <v>256572810.25</v>
      </c>
      <c r="P55" s="21">
        <f t="shared" si="53"/>
        <v>76.179600549103171</v>
      </c>
      <c r="Q55" s="25">
        <f t="shared" ref="Q55:R55" si="103">Q54-Q53</f>
        <v>209497462.18000001</v>
      </c>
      <c r="R55" s="15">
        <f t="shared" si="103"/>
        <v>152611714.75999999</v>
      </c>
      <c r="S55" s="21">
        <f t="shared" si="54"/>
        <v>72.846569677715792</v>
      </c>
      <c r="T55" s="25">
        <f t="shared" ref="T55:U55" si="104">T54-T53</f>
        <v>224187385.54000002</v>
      </c>
      <c r="U55" s="15">
        <f t="shared" si="104"/>
        <v>156983742.85999998</v>
      </c>
      <c r="V55" s="21">
        <f t="shared" si="55"/>
        <v>70.023450463938161</v>
      </c>
      <c r="W55" s="25">
        <v>269050048.50000006</v>
      </c>
      <c r="X55" s="15">
        <v>214068653.42999998</v>
      </c>
      <c r="Y55" s="21">
        <f t="shared" si="56"/>
        <v>79.564621758468078</v>
      </c>
      <c r="Z55" s="16">
        <f t="shared" si="8"/>
        <v>20.01123428596992</v>
      </c>
      <c r="AA55" s="16">
        <f t="shared" si="8"/>
        <v>36.363581049860073</v>
      </c>
    </row>
    <row r="56" spans="1:27" x14ac:dyDescent="0.3">
      <c r="A56" s="5" t="s">
        <v>71</v>
      </c>
      <c r="B56" s="28">
        <f t="shared" ref="B56:C57" si="105">B14-B48</f>
        <v>34809613.469999999</v>
      </c>
      <c r="C56" s="28">
        <f t="shared" si="105"/>
        <v>-8475210.3199999928</v>
      </c>
      <c r="D56" s="22"/>
      <c r="E56" s="28">
        <f t="shared" ref="E56:F57" si="106">E14-E48</f>
        <v>31632947.00999999</v>
      </c>
      <c r="F56" s="28">
        <f t="shared" si="106"/>
        <v>3598872.0100000203</v>
      </c>
      <c r="G56" s="22"/>
      <c r="H56" s="28">
        <f t="shared" ref="H56:I57" si="107">H14-H48</f>
        <v>35932277.940000027</v>
      </c>
      <c r="I56" s="28">
        <f t="shared" si="107"/>
        <v>14453481.889999986</v>
      </c>
      <c r="J56" s="22"/>
      <c r="K56" s="28">
        <f t="shared" ref="K56:L56" si="108">K14-K48</f>
        <v>51867582.699999988</v>
      </c>
      <c r="L56" s="28">
        <f t="shared" si="108"/>
        <v>12537034.230000019</v>
      </c>
      <c r="M56" s="22"/>
      <c r="N56" s="28">
        <f t="shared" ref="N56:O56" si="109">N14-N48</f>
        <v>130942181.87000003</v>
      </c>
      <c r="O56" s="28">
        <f t="shared" si="109"/>
        <v>81867691.00999999</v>
      </c>
      <c r="P56" s="22"/>
      <c r="Q56" s="28">
        <f t="shared" ref="Q56:R56" si="110">Q14-Q48</f>
        <v>97712403.669999987</v>
      </c>
      <c r="R56" s="28">
        <f t="shared" si="110"/>
        <v>24838310.439999998</v>
      </c>
      <c r="S56" s="22"/>
      <c r="T56" s="28">
        <f t="shared" ref="T56:U56" si="111">T14-T48</f>
        <v>84687433.860000014</v>
      </c>
      <c r="U56" s="28">
        <f t="shared" si="111"/>
        <v>23908549.830000013</v>
      </c>
      <c r="V56" s="22"/>
      <c r="W56" s="28">
        <f t="shared" ref="W56:X57" si="112">W14-W48</f>
        <v>72906147.98999998</v>
      </c>
      <c r="X56" s="28">
        <f t="shared" si="112"/>
        <v>2058722.1400000304</v>
      </c>
      <c r="Y56" s="22"/>
      <c r="Z56" s="13">
        <f t="shared" ref="Z56:AA59" si="113">IF(T56&gt;0,W56/T56*100-100,"-")</f>
        <v>-13.911492334832261</v>
      </c>
      <c r="AA56" s="13">
        <f t="shared" si="113"/>
        <v>-91.389180211102627</v>
      </c>
    </row>
    <row r="57" spans="1:27" x14ac:dyDescent="0.3">
      <c r="A57" s="5" t="s">
        <v>72</v>
      </c>
      <c r="B57" s="28">
        <f t="shared" si="105"/>
        <v>38198886.11999999</v>
      </c>
      <c r="C57" s="28">
        <f t="shared" si="105"/>
        <v>-1315876.3099999987</v>
      </c>
      <c r="D57" s="22"/>
      <c r="E57" s="28">
        <f t="shared" si="106"/>
        <v>2623965.1899999976</v>
      </c>
      <c r="F57" s="28">
        <f t="shared" si="106"/>
        <v>-2527777.3600000003</v>
      </c>
      <c r="G57" s="22"/>
      <c r="H57" s="28">
        <f t="shared" si="107"/>
        <v>-3558770.8100000024</v>
      </c>
      <c r="I57" s="28">
        <f t="shared" si="107"/>
        <v>5344310.3499999996</v>
      </c>
      <c r="J57" s="22"/>
      <c r="K57" s="28">
        <f t="shared" ref="K57:L57" si="114">K15-K49</f>
        <v>-8707784.3600000069</v>
      </c>
      <c r="L57" s="28">
        <f t="shared" si="114"/>
        <v>2289776.41</v>
      </c>
      <c r="M57" s="22"/>
      <c r="N57" s="28">
        <f t="shared" ref="N57:O57" si="115">N15-N49</f>
        <v>-5904687.4099999964</v>
      </c>
      <c r="O57" s="28">
        <f t="shared" si="115"/>
        <v>5778878.3000000017</v>
      </c>
      <c r="P57" s="22"/>
      <c r="Q57" s="28">
        <f t="shared" ref="Q57:R57" si="116">Q15-Q49</f>
        <v>57915694.88000001</v>
      </c>
      <c r="R57" s="28">
        <f t="shared" si="116"/>
        <v>58266146.599999994</v>
      </c>
      <c r="S57" s="22"/>
      <c r="T57" s="28">
        <f t="shared" ref="T57:U57" si="117">T15-T49</f>
        <v>35053895.359999999</v>
      </c>
      <c r="U57" s="28">
        <f t="shared" si="117"/>
        <v>36140292.399999999</v>
      </c>
      <c r="V57" s="22"/>
      <c r="W57" s="28">
        <f t="shared" si="112"/>
        <v>11607190.329999968</v>
      </c>
      <c r="X57" s="28">
        <f t="shared" si="112"/>
        <v>21066051.870000012</v>
      </c>
      <c r="Y57" s="22"/>
      <c r="Z57" s="13">
        <f t="shared" si="113"/>
        <v>-66.88758778219858</v>
      </c>
      <c r="AA57" s="13">
        <f t="shared" si="113"/>
        <v>-41.710344684427589</v>
      </c>
    </row>
    <row r="58" spans="1:27" x14ac:dyDescent="0.3">
      <c r="A58" s="5" t="s">
        <v>357</v>
      </c>
      <c r="B58" s="28">
        <f t="shared" ref="B58:C58" si="118">SUM(B14:B16)-SUM(B48:B50)</f>
        <v>73149139.590000004</v>
      </c>
      <c r="C58" s="28">
        <f t="shared" si="118"/>
        <v>-9650446.6299999803</v>
      </c>
      <c r="D58" s="22"/>
      <c r="E58" s="28">
        <f t="shared" ref="E58:F58" si="119">SUM(E14:E16)-SUM(E48:E50)</f>
        <v>34256912.199999988</v>
      </c>
      <c r="F58" s="28">
        <f t="shared" si="119"/>
        <v>1071094.6500000209</v>
      </c>
      <c r="G58" s="22"/>
      <c r="H58" s="28">
        <f t="shared" ref="H58:I58" si="120">SUM(H14:H16)-SUM(H48:H50)</f>
        <v>32373507.130000025</v>
      </c>
      <c r="I58" s="28">
        <f t="shared" si="120"/>
        <v>19797792.23999998</v>
      </c>
      <c r="J58" s="22"/>
      <c r="K58" s="28">
        <f t="shared" ref="K58:L58" si="121">SUM(K14:K16)-SUM(K48:K50)</f>
        <v>43159798.339999974</v>
      </c>
      <c r="L58" s="28">
        <f t="shared" si="121"/>
        <v>14826810.640000015</v>
      </c>
      <c r="M58" s="22"/>
      <c r="N58" s="28">
        <f t="shared" ref="N58:O58" si="122">SUM(N14:N16)-SUM(N48:N50)</f>
        <v>125087494.46000007</v>
      </c>
      <c r="O58" s="28">
        <f t="shared" si="122"/>
        <v>87696569.309999987</v>
      </c>
      <c r="P58" s="22"/>
      <c r="Q58" s="28">
        <f t="shared" ref="Q58:R58" si="123">SUM(Q14:Q16)-SUM(Q48:Q50)</f>
        <v>155628098.54999995</v>
      </c>
      <c r="R58" s="28">
        <f t="shared" si="123"/>
        <v>83104457.039999992</v>
      </c>
      <c r="S58" s="22"/>
      <c r="T58" s="28">
        <f t="shared" ref="T58:U58" si="124">SUM(T14:T16)-SUM(T48:T50)</f>
        <v>119741329.22</v>
      </c>
      <c r="U58" s="28">
        <f t="shared" si="124"/>
        <v>60048842.230000019</v>
      </c>
      <c r="V58" s="22"/>
      <c r="W58" s="28">
        <f t="shared" ref="W58:X58" si="125">SUM(W14:W16)-SUM(W48:W50)</f>
        <v>84513338.319999933</v>
      </c>
      <c r="X58" s="28">
        <f t="shared" si="125"/>
        <v>23124774.01000005</v>
      </c>
      <c r="Y58" s="22"/>
      <c r="Z58" s="13">
        <f t="shared" si="113"/>
        <v>-29.420076701567183</v>
      </c>
      <c r="AA58" s="13">
        <f t="shared" si="113"/>
        <v>-61.490058506994728</v>
      </c>
    </row>
    <row r="59" spans="1:27" x14ac:dyDescent="0.3">
      <c r="A59" s="5" t="s">
        <v>358</v>
      </c>
      <c r="B59" s="28">
        <f t="shared" ref="B59:C59" si="126">B21-B55</f>
        <v>66850058.910000026</v>
      </c>
      <c r="C59" s="28">
        <f t="shared" si="126"/>
        <v>9187583.6200000048</v>
      </c>
      <c r="D59" s="101"/>
      <c r="E59" s="28">
        <f t="shared" ref="E59:F59" si="127">E21-E55</f>
        <v>20182368.479999959</v>
      </c>
      <c r="F59" s="28">
        <f t="shared" si="127"/>
        <v>20138931.100000024</v>
      </c>
      <c r="G59" s="101"/>
      <c r="H59" s="28">
        <f t="shared" ref="H59:I59" si="128">H21-H55</f>
        <v>18095226.420000017</v>
      </c>
      <c r="I59" s="28">
        <f t="shared" si="128"/>
        <v>41818718.149999976</v>
      </c>
      <c r="J59" s="101"/>
      <c r="K59" s="28">
        <f t="shared" ref="K59:L59" si="129">K21-K55</f>
        <v>22965004.569999933</v>
      </c>
      <c r="L59" s="28">
        <f t="shared" si="129"/>
        <v>31934304.299999982</v>
      </c>
      <c r="M59" s="101"/>
      <c r="N59" s="28">
        <f t="shared" ref="N59:O59" si="130">N21-N55</f>
        <v>138346971.81000012</v>
      </c>
      <c r="O59" s="28">
        <f t="shared" si="130"/>
        <v>102971757.14999998</v>
      </c>
      <c r="P59" s="101"/>
      <c r="Q59" s="28">
        <f t="shared" ref="Q59:R59" si="131">Q21-Q55</f>
        <v>134371814.09999996</v>
      </c>
      <c r="R59" s="28">
        <f t="shared" si="131"/>
        <v>63865089.620000005</v>
      </c>
      <c r="S59" s="101"/>
      <c r="T59" s="28">
        <f t="shared" ref="T59:U59" si="132">T21-T55</f>
        <v>91482494.819999993</v>
      </c>
      <c r="U59" s="28">
        <f t="shared" si="132"/>
        <v>31790007.830000013</v>
      </c>
      <c r="V59" s="101"/>
      <c r="W59" s="28">
        <f t="shared" ref="W59:X59" si="133">W21-W55</f>
        <v>59450799.589999914</v>
      </c>
      <c r="X59" s="28">
        <f t="shared" si="133"/>
        <v>-1937764.7199999392</v>
      </c>
      <c r="Y59" s="101"/>
      <c r="Z59" s="13">
        <f t="shared" si="113"/>
        <v>-35.01401584316794</v>
      </c>
      <c r="AA59" s="13">
        <f t="shared" si="113"/>
        <v>-106.09551507619096</v>
      </c>
    </row>
    <row r="60" spans="1:27" x14ac:dyDescent="0.3">
      <c r="A60" s="5" t="s">
        <v>359</v>
      </c>
      <c r="C60" s="6">
        <f>SUM(C14:C16)/SUM(B14:B16)*100</f>
        <v>39.748550191321058</v>
      </c>
      <c r="D60" s="101"/>
      <c r="F60" s="6">
        <f>SUM(F14:F16)/SUM(E14:E16)*100</f>
        <v>46.382477699831796</v>
      </c>
      <c r="G60" s="101"/>
      <c r="I60" s="6">
        <f>SUM(I14:I16)/SUM(H14:H16)*100</f>
        <v>54.167793200904569</v>
      </c>
      <c r="J60" s="101"/>
      <c r="L60" s="6">
        <f>SUM(L14:L16)/SUM(K14:K16)*100</f>
        <v>48.136142701575778</v>
      </c>
      <c r="M60" s="101"/>
      <c r="O60" s="6">
        <f>SUM(O14:O16)/SUM(N14:N16)*100</f>
        <v>63.211303971345991</v>
      </c>
      <c r="P60" s="101"/>
      <c r="R60" s="6">
        <f>SUM(R14:R16)/SUM(Q14:Q16)*100</f>
        <v>61.374349420038968</v>
      </c>
      <c r="S60" s="101"/>
      <c r="U60" s="6">
        <f>SUM(U14:U16)/SUM(T14:T16)*100</f>
        <v>59.801001753704341</v>
      </c>
      <c r="V60" s="101"/>
      <c r="X60" s="6">
        <f>SUM(X14:X16)/SUM(W14:W16)*100</f>
        <v>64.575446286787724</v>
      </c>
      <c r="Y60" s="101"/>
    </row>
    <row r="61" spans="1:27" x14ac:dyDescent="0.3">
      <c r="A61" s="5" t="s">
        <v>360</v>
      </c>
      <c r="C61" s="6">
        <f>SUM(C48:C50)/SUM(B48:B50)*100</f>
        <v>61.190496543739215</v>
      </c>
      <c r="D61" s="101"/>
      <c r="F61" s="6">
        <f>SUM(F48:F50)/SUM(E48:E50)*100</f>
        <v>54.192832533718338</v>
      </c>
      <c r="G61" s="101"/>
      <c r="I61" s="6">
        <f>SUM(I48:I50)/SUM(H48:H50)*100</f>
        <v>52.926513819925837</v>
      </c>
      <c r="J61" s="101"/>
      <c r="L61" s="6">
        <f>SUM(L48:L50)/SUM(K48:K50)*100</f>
        <v>51.371164954591329</v>
      </c>
      <c r="M61" s="101"/>
      <c r="O61" s="6">
        <f>SUM(O48:O50)/SUM(N48:N50)*100</f>
        <v>58.65019943949877</v>
      </c>
      <c r="P61" s="101"/>
      <c r="R61" s="6">
        <f>SUM(R48:R50)/SUM(Q48:Q50)*100</f>
        <v>68.499689055852073</v>
      </c>
      <c r="S61" s="101"/>
      <c r="U61" s="6">
        <f>SUM(U48:U50)/SUM(T48:T50)*100</f>
        <v>65.699923625740524</v>
      </c>
      <c r="V61" s="101"/>
      <c r="X61" s="6">
        <f>SUM(X48:X50)/SUM(W48:W50)*100</f>
        <v>77.465487835082442</v>
      </c>
      <c r="Y61" s="101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9" t="s">
        <v>328</v>
      </c>
      <c r="E2" s="82">
        <f>Piano_indicatori!D3</f>
        <v>37.83</v>
      </c>
      <c r="F2" s="82">
        <f>Piano_indicatori!E3</f>
        <v>37.14</v>
      </c>
      <c r="G2" s="82">
        <f>Piano_indicatori!F3</f>
        <v>35.57</v>
      </c>
      <c r="H2" s="82">
        <f>Piano_indicatori!G3</f>
        <v>33.953706894160852</v>
      </c>
      <c r="I2" s="82">
        <f>Piano_indicatori!H3</f>
        <v>43.79</v>
      </c>
      <c r="J2" s="82">
        <f>Piano_indicatori!I3</f>
        <v>56.65</v>
      </c>
      <c r="K2" s="82">
        <f>Piano_indicatori!J3</f>
        <v>37.86</v>
      </c>
      <c r="L2" s="82">
        <f>Piano_indicatori!K3</f>
        <v>36.26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90" t="s">
        <v>329</v>
      </c>
      <c r="E3" s="83">
        <f>Piano_indicatori!D12</f>
        <v>28.82</v>
      </c>
      <c r="F3" s="83">
        <f>Piano_indicatori!E12</f>
        <v>48.54</v>
      </c>
      <c r="G3" s="83">
        <f>Piano_indicatori!F12</f>
        <v>42.77</v>
      </c>
      <c r="H3" s="83">
        <f>Piano_indicatori!G12</f>
        <v>42.77</v>
      </c>
      <c r="I3" s="83">
        <f>Piano_indicatori!H12</f>
        <v>36.25</v>
      </c>
      <c r="J3" s="83">
        <f>Piano_indicatori!I12</f>
        <v>41.47</v>
      </c>
      <c r="K3" s="83">
        <f>Piano_indicatori!J12</f>
        <v>52.48</v>
      </c>
      <c r="L3" s="83">
        <f>Piano_indicatori!K12</f>
        <v>40.78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9" t="s">
        <v>330</v>
      </c>
      <c r="E4" s="84">
        <f>Piano_indicatori!D15</f>
        <v>110.93</v>
      </c>
      <c r="F4" s="84">
        <f>Piano_indicatori!E15</f>
        <v>140.44</v>
      </c>
      <c r="G4" s="84">
        <f>Piano_indicatori!F15</f>
        <v>40.619999999999997</v>
      </c>
      <c r="H4" s="84">
        <f>Piano_indicatori!G15</f>
        <v>40.619999999999997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1" t="s">
        <v>331</v>
      </c>
      <c r="E5" s="85">
        <f>Piano_indicatori!D51</f>
        <v>12.67</v>
      </c>
      <c r="F5" s="85">
        <f>Piano_indicatori!E51</f>
        <v>12.34</v>
      </c>
      <c r="G5" s="85">
        <f>Piano_indicatori!F51</f>
        <v>11.89</v>
      </c>
      <c r="H5" s="85">
        <f>Piano_indicatori!G51</f>
        <v>11.89</v>
      </c>
      <c r="I5" s="85">
        <f>Piano_indicatori!H51</f>
        <v>10.76</v>
      </c>
      <c r="J5" s="85">
        <f>Piano_indicatori!I51</f>
        <v>13.72</v>
      </c>
      <c r="K5" s="85">
        <f>Piano_indicatori!J51</f>
        <v>15.89</v>
      </c>
      <c r="L5" s="85">
        <f>Piano_indicatori!K51</f>
        <v>15.15</v>
      </c>
    </row>
    <row r="6" spans="1:12" ht="29.25" customHeight="1" x14ac:dyDescent="0.3">
      <c r="A6" s="75" t="s">
        <v>317</v>
      </c>
      <c r="B6" s="75" t="s">
        <v>185</v>
      </c>
      <c r="C6" s="93" t="s">
        <v>186</v>
      </c>
      <c r="D6" s="92" t="s">
        <v>332</v>
      </c>
      <c r="E6" s="86">
        <f>Piano_indicatori!D62</f>
        <v>3.9369208779000751</v>
      </c>
      <c r="F6" s="86">
        <f>Piano_indicatori!E62</f>
        <v>3.9255429695144137</v>
      </c>
      <c r="G6" s="86">
        <f>Piano_indicatori!F62</f>
        <v>3.82</v>
      </c>
      <c r="H6" s="86">
        <f>Piano_indicatori!G62</f>
        <v>3.82</v>
      </c>
      <c r="I6" s="86">
        <f>Piano_indicatori!H62</f>
        <v>21.68</v>
      </c>
      <c r="J6" s="86">
        <f>Piano_indicatori!I62</f>
        <v>31.11</v>
      </c>
      <c r="K6" s="86">
        <f>Piano_indicatori!J62</f>
        <v>11.13</v>
      </c>
      <c r="L6" s="86">
        <f>Piano_indicatori!K62</f>
        <v>9.94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90" t="s">
        <v>333</v>
      </c>
      <c r="E7" s="87">
        <f>Piano_indicatori!D64</f>
        <v>4.46</v>
      </c>
      <c r="F7" s="87">
        <f>Piano_indicatori!E64</f>
        <v>1.41</v>
      </c>
      <c r="G7" s="87">
        <f>Piano_indicatori!F64</f>
        <v>2.99</v>
      </c>
      <c r="H7" s="87">
        <f>Piano_indicatori!G64</f>
        <v>2.99</v>
      </c>
      <c r="I7" s="87">
        <f>Piano_indicatori!H64</f>
        <v>2.85</v>
      </c>
      <c r="J7" s="87">
        <f>Piano_indicatori!I64</f>
        <v>1.28</v>
      </c>
      <c r="K7" s="87">
        <f>Piano_indicatori!J64</f>
        <v>2.57</v>
      </c>
      <c r="L7" s="87">
        <f>Piano_indicatori!K64</f>
        <v>0.86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9" t="s">
        <v>334</v>
      </c>
      <c r="E8" s="84">
        <f>Piano_indicatori!D65+Piano_indicatori!D66</f>
        <v>0.4</v>
      </c>
      <c r="F8" s="84">
        <f>Piano_indicatori!E65+Piano_indicatori!E66</f>
        <v>0.08</v>
      </c>
      <c r="G8" s="84">
        <f>Piano_indicatori!F65+Piano_indicatori!F66</f>
        <v>0.04</v>
      </c>
      <c r="H8" s="84">
        <f>Piano_indicatori!G65+Piano_indicatori!G66</f>
        <v>0.04</v>
      </c>
      <c r="I8" s="84">
        <f>Piano_indicatori!H65+Piano_indicatori!H66</f>
        <v>0.25</v>
      </c>
      <c r="J8" s="84">
        <f>Piano_indicatori!I65+Piano_indicatori!I66</f>
        <v>0.67999999999999994</v>
      </c>
      <c r="K8" s="84">
        <f>Piano_indicatori!J65+Piano_indicatori!J66</f>
        <v>0.15</v>
      </c>
      <c r="L8" s="84">
        <f>Piano_indicatori!K65+Piano_indicatori!K66</f>
        <v>1.04</v>
      </c>
    </row>
    <row r="9" spans="1:12" ht="29.25" customHeight="1" x14ac:dyDescent="0.3">
      <c r="A9" s="76" t="s">
        <v>320</v>
      </c>
      <c r="B9" s="76"/>
      <c r="C9" s="81" t="s">
        <v>327</v>
      </c>
      <c r="D9" s="91" t="s">
        <v>335</v>
      </c>
      <c r="E9" s="88">
        <f>Piano_indicatori!D76</f>
        <v>41.9216406555012</v>
      </c>
      <c r="F9" s="88">
        <f>Piano_indicatori!E76</f>
        <v>34.809319997882845</v>
      </c>
      <c r="G9" s="88">
        <f>Piano_indicatori!F76</f>
        <v>39.577252340018973</v>
      </c>
      <c r="H9" s="88">
        <f>Piano_indicatori!G76</f>
        <v>39.311085106742745</v>
      </c>
      <c r="I9" s="88">
        <f>Piano_indicatori!H76</f>
        <v>45.957058823916327</v>
      </c>
      <c r="J9" s="88">
        <f>Piano_indicatori!I76</f>
        <v>37.949492308988617</v>
      </c>
      <c r="K9" s="88">
        <f>Piano_indicatori!J76</f>
        <v>28.696185029210881</v>
      </c>
      <c r="L9" s="88">
        <f>Piano_indicatori!K76</f>
        <v>30.098577643797565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19" ht="43.2" x14ac:dyDescent="0.3">
      <c r="A1" s="95" t="s">
        <v>336</v>
      </c>
      <c r="B1" s="95" t="s">
        <v>337</v>
      </c>
      <c r="C1" s="95" t="s">
        <v>351</v>
      </c>
      <c r="D1" s="95" t="s">
        <v>352</v>
      </c>
      <c r="E1" s="95" t="s">
        <v>353</v>
      </c>
      <c r="F1" s="95" t="s">
        <v>365</v>
      </c>
      <c r="G1" s="95" t="s">
        <v>354</v>
      </c>
    </row>
    <row r="2" spans="1:19" x14ac:dyDescent="0.3">
      <c r="A2" s="31">
        <v>2024</v>
      </c>
      <c r="B2" s="1">
        <v>169795</v>
      </c>
      <c r="C2" s="1">
        <v>515046</v>
      </c>
      <c r="D2" s="95"/>
    </row>
    <row r="3" spans="1:19" x14ac:dyDescent="0.3">
      <c r="A3" s="31">
        <v>2023</v>
      </c>
      <c r="B3" s="1">
        <v>171181</v>
      </c>
      <c r="C3" s="1">
        <v>518699</v>
      </c>
      <c r="D3" s="95">
        <v>-851</v>
      </c>
      <c r="E3">
        <f>-1317+782</f>
        <v>-535</v>
      </c>
      <c r="G3" s="1">
        <f t="shared" ref="G3:G11" si="0">B2-B3-D3-E3-F3</f>
        <v>0</v>
      </c>
    </row>
    <row r="4" spans="1:19" x14ac:dyDescent="0.3">
      <c r="A4" s="31">
        <v>2022</v>
      </c>
      <c r="B4" s="1">
        <v>172479</v>
      </c>
      <c r="C4" s="1">
        <v>522127</v>
      </c>
      <c r="D4" s="1">
        <v>-1041</v>
      </c>
      <c r="E4">
        <v>-605</v>
      </c>
      <c r="F4" s="1">
        <v>348</v>
      </c>
      <c r="G4" s="1">
        <f t="shared" si="0"/>
        <v>0</v>
      </c>
    </row>
    <row r="5" spans="1:19" x14ac:dyDescent="0.3">
      <c r="A5" s="31">
        <v>2021</v>
      </c>
      <c r="B5" s="1">
        <v>173026</v>
      </c>
      <c r="C5" s="1">
        <v>523791</v>
      </c>
      <c r="D5" s="95">
        <v>-914</v>
      </c>
      <c r="E5">
        <v>-440</v>
      </c>
      <c r="F5" s="1">
        <v>807</v>
      </c>
      <c r="G5" s="1">
        <f t="shared" si="0"/>
        <v>0</v>
      </c>
    </row>
    <row r="6" spans="1:19" x14ac:dyDescent="0.3">
      <c r="A6" s="31">
        <v>2020</v>
      </c>
      <c r="B6" s="1">
        <v>174885</v>
      </c>
      <c r="C6" s="1">
        <v>530967</v>
      </c>
      <c r="D6">
        <v>-639</v>
      </c>
      <c r="E6" s="1">
        <v>-844</v>
      </c>
      <c r="F6" s="1">
        <v>-376</v>
      </c>
      <c r="G6" s="1">
        <f t="shared" si="0"/>
        <v>0</v>
      </c>
    </row>
    <row r="7" spans="1:19" x14ac:dyDescent="0.3">
      <c r="A7" s="31">
        <v>2019</v>
      </c>
      <c r="B7" s="1">
        <v>176299</v>
      </c>
      <c r="C7" s="1">
        <v>536487</v>
      </c>
      <c r="D7">
        <v>-515</v>
      </c>
      <c r="E7" s="1">
        <v>-926</v>
      </c>
      <c r="F7" s="1">
        <v>27</v>
      </c>
      <c r="G7" s="1">
        <f t="shared" si="0"/>
        <v>0</v>
      </c>
      <c r="J7" s="104"/>
      <c r="K7" s="105"/>
      <c r="L7" s="105"/>
      <c r="M7" s="105"/>
      <c r="N7" s="105"/>
      <c r="O7" s="105"/>
      <c r="P7" s="104"/>
      <c r="Q7" s="104"/>
      <c r="R7" s="105"/>
      <c r="S7" s="105"/>
    </row>
    <row r="8" spans="1:19" x14ac:dyDescent="0.3">
      <c r="A8" s="31">
        <v>2018</v>
      </c>
      <c r="B8" s="1">
        <v>177524</v>
      </c>
      <c r="C8" s="1">
        <v>540579</v>
      </c>
      <c r="D8">
        <v>-402</v>
      </c>
      <c r="E8">
        <v>-823</v>
      </c>
      <c r="F8" s="1"/>
      <c r="G8" s="1">
        <f t="shared" si="0"/>
        <v>0</v>
      </c>
      <c r="J8" s="104"/>
      <c r="K8" s="105"/>
      <c r="L8" s="105"/>
      <c r="M8" s="105"/>
      <c r="N8" s="105"/>
      <c r="O8" s="105"/>
      <c r="P8" s="104"/>
      <c r="Q8" s="104"/>
      <c r="R8" s="105"/>
      <c r="S8" s="105"/>
    </row>
    <row r="9" spans="1:19" x14ac:dyDescent="0.3">
      <c r="A9" s="31">
        <v>2017</v>
      </c>
      <c r="B9" s="1">
        <v>178827</v>
      </c>
      <c r="C9" s="1">
        <v>543930</v>
      </c>
      <c r="D9">
        <v>-481</v>
      </c>
      <c r="E9">
        <v>-822</v>
      </c>
      <c r="F9" s="1"/>
      <c r="G9" s="1">
        <f t="shared" si="0"/>
        <v>0</v>
      </c>
      <c r="J9" s="104"/>
      <c r="K9" s="105"/>
      <c r="L9" s="105"/>
      <c r="M9" s="105"/>
      <c r="N9" s="105"/>
      <c r="O9" s="105"/>
      <c r="P9" s="104"/>
      <c r="Q9" s="104"/>
      <c r="R9" s="105"/>
      <c r="S9" s="105"/>
    </row>
    <row r="10" spans="1:19" x14ac:dyDescent="0.3">
      <c r="A10" s="31">
        <v>2016</v>
      </c>
      <c r="B10" s="1">
        <v>179466</v>
      </c>
      <c r="C10" s="1">
        <v>546527</v>
      </c>
      <c r="D10">
        <v>-374</v>
      </c>
      <c r="E10">
        <v>-265</v>
      </c>
      <c r="F10" s="1"/>
      <c r="G10" s="1">
        <f t="shared" si="0"/>
        <v>0</v>
      </c>
      <c r="J10" s="104"/>
      <c r="K10" s="105"/>
      <c r="L10" s="105"/>
      <c r="M10" s="105"/>
      <c r="N10" s="105"/>
      <c r="O10" s="105"/>
      <c r="P10" s="104"/>
      <c r="Q10" s="104"/>
      <c r="R10" s="105"/>
      <c r="S10" s="105"/>
    </row>
    <row r="11" spans="1:19" x14ac:dyDescent="0.3">
      <c r="A11" s="31">
        <v>2015</v>
      </c>
      <c r="B11" s="1">
        <v>180614</v>
      </c>
      <c r="C11" s="1">
        <v>549202</v>
      </c>
      <c r="D11">
        <v>-365</v>
      </c>
      <c r="E11">
        <v>-783</v>
      </c>
      <c r="F11" s="1"/>
      <c r="G11" s="1">
        <f t="shared" si="0"/>
        <v>0</v>
      </c>
    </row>
    <row r="32" spans="6:6" x14ac:dyDescent="0.3">
      <c r="F32" s="104"/>
    </row>
    <row r="33" spans="6:6" x14ac:dyDescent="0.3">
      <c r="F33" s="104"/>
    </row>
    <row r="34" spans="6:6" x14ac:dyDescent="0.3">
      <c r="F34" s="104"/>
    </row>
    <row r="35" spans="6:6" x14ac:dyDescent="0.3">
      <c r="F35" s="104"/>
    </row>
    <row r="36" spans="6:6" x14ac:dyDescent="0.3">
      <c r="F36" s="104"/>
    </row>
    <row r="37" spans="6:6" x14ac:dyDescent="0.3">
      <c r="F37" s="104"/>
    </row>
    <row r="38" spans="6:6" x14ac:dyDescent="0.3">
      <c r="F38" s="104"/>
    </row>
    <row r="39" spans="6:6" x14ac:dyDescent="0.3">
      <c r="F39" s="104"/>
    </row>
    <row r="40" spans="6:6" x14ac:dyDescent="0.3">
      <c r="F40" s="104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9" width="12.44140625" bestFit="1" customWidth="1"/>
    <col min="10" max="10" width="8.44140625" customWidth="1"/>
    <col min="11" max="11" width="8.44140625" bestFit="1" customWidth="1"/>
    <col min="12" max="12" width="12.554687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367</v>
      </c>
      <c r="M1" s="42" t="s">
        <v>269</v>
      </c>
    </row>
    <row r="2" spans="1:13" x14ac:dyDescent="0.3">
      <c r="A2" s="55" t="s">
        <v>20</v>
      </c>
      <c r="B2" s="56">
        <f>Entrate_Uscite!B3</f>
        <v>117962662.06999999</v>
      </c>
      <c r="C2" s="56">
        <f>Entrate_Uscite!E3</f>
        <v>125918106.79000001</v>
      </c>
      <c r="D2" s="56">
        <f>Entrate_Uscite!H3</f>
        <v>120708642.44</v>
      </c>
      <c r="E2" s="56">
        <f>Entrate_Uscite!K3</f>
        <v>133441612.81</v>
      </c>
      <c r="F2" s="56">
        <f>Entrate_Uscite!N3</f>
        <v>111506303.53</v>
      </c>
      <c r="G2" s="56">
        <f>Entrate_Uscite!Q3</f>
        <v>127857128.05</v>
      </c>
      <c r="H2" s="56">
        <f>Entrate_Uscite!T3</f>
        <v>132067618.98999999</v>
      </c>
      <c r="I2" s="56">
        <f>Entrate_Uscite!W3</f>
        <v>141473832.31999999</v>
      </c>
      <c r="J2" s="56">
        <f>I2/I$21*100</f>
        <v>43.066504437528927</v>
      </c>
      <c r="K2" s="57">
        <f>IF(H2&gt;0,I2/H2*100-100,"-")</f>
        <v>7.1222706988548339</v>
      </c>
      <c r="L2" s="56">
        <f>Entrate_Uscite!X3</f>
        <v>75425373.730000004</v>
      </c>
      <c r="M2" s="58">
        <f>IF(I2&gt;0,L2/I2*100,"-")</f>
        <v>53.314010437912771</v>
      </c>
    </row>
    <row r="3" spans="1:13" x14ac:dyDescent="0.3">
      <c r="A3" s="55" t="s">
        <v>21</v>
      </c>
      <c r="B3" s="56">
        <f>Entrate_Uscite!B4</f>
        <v>17289840.41</v>
      </c>
      <c r="C3" s="56">
        <f>Entrate_Uscite!E4</f>
        <v>14481998.9</v>
      </c>
      <c r="D3" s="56">
        <f>Entrate_Uscite!H4</f>
        <v>22861425.710000001</v>
      </c>
      <c r="E3" s="56">
        <f>Entrate_Uscite!K4</f>
        <v>20023882.68</v>
      </c>
      <c r="F3" s="56">
        <f>Entrate_Uscite!N4</f>
        <v>108014599.2</v>
      </c>
      <c r="G3" s="56">
        <f>Entrate_Uscite!Q4</f>
        <v>68631351.549999997</v>
      </c>
      <c r="H3" s="56">
        <f>Entrate_Uscite!T4</f>
        <v>69790732.790000007</v>
      </c>
      <c r="I3" s="56">
        <f>Entrate_Uscite!W4</f>
        <v>47766109.850000001</v>
      </c>
      <c r="J3" s="56">
        <f t="shared" ref="J3:J21" si="0">I3/I$21*100</f>
        <v>14.540635169658204</v>
      </c>
      <c r="K3" s="57">
        <f t="shared" ref="K3:K21" si="1">IF(H3&gt;0,I3/H3*100-100,"-")</f>
        <v>-31.558090966420991</v>
      </c>
      <c r="L3" s="56">
        <f>Entrate_Uscite!X4</f>
        <v>32284272.34</v>
      </c>
      <c r="M3" s="58">
        <f t="shared" ref="M3:M21" si="2">IF(I3&gt;0,L3/I3*100,"-")</f>
        <v>67.588238693463538</v>
      </c>
    </row>
    <row r="4" spans="1:13" x14ac:dyDescent="0.3">
      <c r="A4" s="55" t="s">
        <v>22</v>
      </c>
      <c r="B4" s="56">
        <f>Entrate_Uscite!B5</f>
        <v>50588901.93</v>
      </c>
      <c r="C4" s="56">
        <f>Entrate_Uscite!E5</f>
        <v>45061051.57</v>
      </c>
      <c r="D4" s="56">
        <f>Entrate_Uscite!H5</f>
        <v>46977242.409999996</v>
      </c>
      <c r="E4" s="56">
        <f>Entrate_Uscite!K5</f>
        <v>45595514.450000003</v>
      </c>
      <c r="F4" s="56">
        <f>Entrate_Uscite!N5</f>
        <v>56448578.490000002</v>
      </c>
      <c r="G4" s="56">
        <f>Entrate_Uscite!Q5</f>
        <v>58078810.740000002</v>
      </c>
      <c r="H4" s="56">
        <f>Entrate_Uscite!T5</f>
        <v>54630202.700000003</v>
      </c>
      <c r="I4" s="56">
        <f>Entrate_Uscite!W5</f>
        <v>41303491.119999997</v>
      </c>
      <c r="J4" s="56">
        <f t="shared" si="0"/>
        <v>12.573328610915491</v>
      </c>
      <c r="K4" s="57">
        <f t="shared" si="1"/>
        <v>-24.394402585659819</v>
      </c>
      <c r="L4" s="56">
        <f>Entrate_Uscite!X5</f>
        <v>17684851.48</v>
      </c>
      <c r="M4" s="58">
        <f t="shared" si="2"/>
        <v>42.816844291974711</v>
      </c>
    </row>
    <row r="5" spans="1:13" x14ac:dyDescent="0.3">
      <c r="A5" s="4" t="s">
        <v>31</v>
      </c>
      <c r="B5" s="43">
        <f t="shared" ref="B5:I5" si="3">SUM(B2:B4)</f>
        <v>185841404.41</v>
      </c>
      <c r="C5" s="43">
        <f t="shared" si="3"/>
        <v>185461157.25999999</v>
      </c>
      <c r="D5" s="43">
        <f t="shared" si="3"/>
        <v>190547310.56</v>
      </c>
      <c r="E5" s="43">
        <f t="shared" si="3"/>
        <v>199061009.94</v>
      </c>
      <c r="F5" s="43">
        <f t="shared" si="3"/>
        <v>275969481.22000003</v>
      </c>
      <c r="G5" s="43">
        <f t="shared" ref="G5:H5" si="4">SUM(G2:G4)</f>
        <v>254567290.34</v>
      </c>
      <c r="H5" s="43">
        <f t="shared" si="4"/>
        <v>256488554.48000002</v>
      </c>
      <c r="I5" s="43">
        <f t="shared" si="3"/>
        <v>230543433.28999999</v>
      </c>
      <c r="J5" s="43">
        <f t="shared" si="0"/>
        <v>70.180468218102618</v>
      </c>
      <c r="K5" s="44">
        <f t="shared" si="1"/>
        <v>-10.115508367459384</v>
      </c>
      <c r="L5" s="43">
        <f>SUM(L2:L4)</f>
        <v>125394497.55000001</v>
      </c>
      <c r="M5" s="45">
        <f>IF(I5&gt;0,L5/I5*100,"-")</f>
        <v>54.390834629527959</v>
      </c>
    </row>
    <row r="6" spans="1:13" x14ac:dyDescent="0.3">
      <c r="A6" s="55" t="s">
        <v>23</v>
      </c>
      <c r="B6" s="56">
        <f>Entrate_Uscite!B6</f>
        <v>0</v>
      </c>
      <c r="C6" s="56">
        <f>Entrate_Uscite!E6</f>
        <v>0</v>
      </c>
      <c r="D6" s="56">
        <f>Entrate_Uscite!H6</f>
        <v>0</v>
      </c>
      <c r="E6" s="56">
        <f>Entrate_Uscite!K6</f>
        <v>0</v>
      </c>
      <c r="F6" s="56">
        <f>Entrate_Uscite!N6</f>
        <v>323613.02</v>
      </c>
      <c r="G6" s="56">
        <f>Entrate_Uscite!Q6</f>
        <v>605503.28</v>
      </c>
      <c r="H6" s="56">
        <f>Entrate_Uscite!T6</f>
        <v>419992.7</v>
      </c>
      <c r="I6" s="56">
        <f>Entrate_Uscite!W6</f>
        <v>145950.94</v>
      </c>
      <c r="J6" s="56">
        <f t="shared" si="0"/>
        <v>4.4429395189875903E-2</v>
      </c>
      <c r="K6" s="57">
        <f t="shared" si="1"/>
        <v>-65.249172187992798</v>
      </c>
      <c r="L6" s="56">
        <f>Entrate_Uscite!X6</f>
        <v>66506.78</v>
      </c>
      <c r="M6" s="58">
        <f t="shared" si="2"/>
        <v>45.567901104302585</v>
      </c>
    </row>
    <row r="7" spans="1:13" x14ac:dyDescent="0.3">
      <c r="A7" s="55" t="s">
        <v>24</v>
      </c>
      <c r="B7" s="56">
        <f>Entrate_Uscite!B7</f>
        <v>63258843.359999999</v>
      </c>
      <c r="C7" s="56">
        <f>Entrate_Uscite!E7</f>
        <v>34951467.469999999</v>
      </c>
      <c r="D7" s="56">
        <f>Entrate_Uscite!H7</f>
        <v>18744861.57</v>
      </c>
      <c r="E7" s="56">
        <f>Entrate_Uscite!K7</f>
        <v>24960001.27</v>
      </c>
      <c r="F7" s="56">
        <f>Entrate_Uscite!N7</f>
        <v>35901269.229999997</v>
      </c>
      <c r="G7" s="56">
        <f>Entrate_Uscite!Q7</f>
        <v>16344847.960000001</v>
      </c>
      <c r="H7" s="56">
        <f>Entrate_Uscite!T7</f>
        <v>34599029.859999999</v>
      </c>
      <c r="I7" s="56">
        <f>Entrate_Uscite!W7</f>
        <v>72463446.989999995</v>
      </c>
      <c r="J7" s="56">
        <f t="shared" si="0"/>
        <v>22.058831023214605</v>
      </c>
      <c r="K7" s="57">
        <f t="shared" si="1"/>
        <v>109.43780008634033</v>
      </c>
      <c r="L7" s="56">
        <f>Entrate_Uscite!X7</f>
        <v>61971049.020000003</v>
      </c>
      <c r="M7" s="58">
        <f t="shared" si="2"/>
        <v>85.520426634620421</v>
      </c>
    </row>
    <row r="8" spans="1:13" x14ac:dyDescent="0.3">
      <c r="A8" s="55" t="s">
        <v>25</v>
      </c>
      <c r="B8" s="56">
        <f>Entrate_Uscite!B8</f>
        <v>252413.05</v>
      </c>
      <c r="C8" s="56">
        <f>Entrate_Uscite!E8</f>
        <v>120645.11</v>
      </c>
      <c r="D8" s="56">
        <f>Entrate_Uscite!H8</f>
        <v>38273.54</v>
      </c>
      <c r="E8" s="56">
        <f>Entrate_Uscite!K8</f>
        <v>0</v>
      </c>
      <c r="F8" s="56">
        <f>Entrate_Uscite!N8</f>
        <v>10832</v>
      </c>
      <c r="G8" s="56">
        <f>Entrate_Uscite!Q8</f>
        <v>55942278.229999997</v>
      </c>
      <c r="H8" s="56">
        <f>Entrate_Uscite!T8</f>
        <v>22185315.41</v>
      </c>
      <c r="I8" s="56">
        <f>Entrate_Uscite!W8</f>
        <v>23589976.379999999</v>
      </c>
      <c r="J8" s="56">
        <f t="shared" si="0"/>
        <v>7.1811006020712043</v>
      </c>
      <c r="K8" s="57">
        <f t="shared" si="1"/>
        <v>6.3314897446391569</v>
      </c>
      <c r="L8" s="56">
        <f>Entrate_Uscite!X8</f>
        <v>23589976.379999999</v>
      </c>
      <c r="M8" s="58">
        <f t="shared" si="2"/>
        <v>100</v>
      </c>
    </row>
    <row r="9" spans="1:13" x14ac:dyDescent="0.3">
      <c r="A9" s="55" t="s">
        <v>26</v>
      </c>
      <c r="B9" s="56">
        <f>Entrate_Uscite!B9</f>
        <v>2969874.94</v>
      </c>
      <c r="C9" s="56">
        <f>Entrate_Uscite!E9</f>
        <v>1918856.52</v>
      </c>
      <c r="D9" s="56">
        <f>Entrate_Uscite!H9</f>
        <v>3542705.89</v>
      </c>
      <c r="E9" s="56">
        <f>Entrate_Uscite!K9</f>
        <v>2078811.84</v>
      </c>
      <c r="F9" s="56">
        <f>Entrate_Uscite!N9</f>
        <v>847491.45</v>
      </c>
      <c r="G9" s="56">
        <f>Entrate_Uscite!Q9</f>
        <v>1237038.43</v>
      </c>
      <c r="H9" s="56">
        <f>Entrate_Uscite!T9</f>
        <v>715662.08</v>
      </c>
      <c r="I9" s="56">
        <f>Entrate_Uscite!W9</f>
        <v>910933.21</v>
      </c>
      <c r="J9" s="56">
        <f t="shared" si="0"/>
        <v>0.27730010905494828</v>
      </c>
      <c r="K9" s="57">
        <f t="shared" si="1"/>
        <v>27.28538167063428</v>
      </c>
      <c r="L9" s="56">
        <f>Entrate_Uscite!X9</f>
        <v>690416.34</v>
      </c>
      <c r="M9" s="58">
        <f t="shared" si="2"/>
        <v>75.792202152779126</v>
      </c>
    </row>
    <row r="10" spans="1:13" x14ac:dyDescent="0.3">
      <c r="A10" s="55" t="s">
        <v>27</v>
      </c>
      <c r="B10" s="56">
        <f>Entrate_Uscite!B10</f>
        <v>1295356.55</v>
      </c>
      <c r="C10" s="56">
        <f>Entrate_Uscite!E10</f>
        <v>1528688.62</v>
      </c>
      <c r="D10" s="56">
        <f>Entrate_Uscite!H10</f>
        <v>1713794.43</v>
      </c>
      <c r="E10" s="56">
        <f>Entrate_Uscite!K10</f>
        <v>942836.47</v>
      </c>
      <c r="F10" s="56">
        <f>Entrate_Uscite!N10</f>
        <v>1130504.52</v>
      </c>
      <c r="G10" s="56">
        <f>Entrate_Uscite!Q10</f>
        <v>1116184.03</v>
      </c>
      <c r="H10" s="56">
        <f>Entrate_Uscite!T10</f>
        <v>1261325.83</v>
      </c>
      <c r="I10" s="56">
        <f>Entrate_Uscite!W10</f>
        <v>847107.28</v>
      </c>
      <c r="J10" s="56">
        <f t="shared" si="0"/>
        <v>0.25787065236675327</v>
      </c>
      <c r="K10" s="57">
        <f t="shared" si="1"/>
        <v>-32.839932406680362</v>
      </c>
      <c r="L10" s="56">
        <f>Entrate_Uscite!X10</f>
        <v>418442.64</v>
      </c>
      <c r="M10" s="58">
        <f t="shared" si="2"/>
        <v>49.396652570380461</v>
      </c>
    </row>
    <row r="11" spans="1:13" x14ac:dyDescent="0.3">
      <c r="A11" s="4" t="s">
        <v>32</v>
      </c>
      <c r="B11" s="46">
        <f t="shared" ref="B11:I11" si="5">SUM(B6:B10)</f>
        <v>67776487.899999991</v>
      </c>
      <c r="C11" s="46">
        <f t="shared" si="5"/>
        <v>38519657.719999999</v>
      </c>
      <c r="D11" s="46">
        <f t="shared" si="5"/>
        <v>24039635.43</v>
      </c>
      <c r="E11" s="46">
        <f t="shared" si="5"/>
        <v>27981649.579999998</v>
      </c>
      <c r="F11" s="46">
        <f t="shared" si="5"/>
        <v>38213710.220000006</v>
      </c>
      <c r="G11" s="46">
        <f t="shared" ref="G11" si="6">SUM(G6:G10)</f>
        <v>75245851.930000007</v>
      </c>
      <c r="H11" s="46">
        <f t="shared" ref="H11" si="7">SUM(H6:H10)</f>
        <v>59181325.879999995</v>
      </c>
      <c r="I11" s="46">
        <f t="shared" si="5"/>
        <v>97957414.799999982</v>
      </c>
      <c r="J11" s="46">
        <f t="shared" si="0"/>
        <v>29.819531781897386</v>
      </c>
      <c r="K11" s="44">
        <f t="shared" si="1"/>
        <v>65.520818169273497</v>
      </c>
      <c r="L11" s="46">
        <f>SUM(L6:L10)</f>
        <v>86736391.160000011</v>
      </c>
      <c r="M11" s="45">
        <f>IF(I11&gt;0,L11/I11*100,"-")</f>
        <v>88.544998188335228</v>
      </c>
    </row>
    <row r="12" spans="1:13" x14ac:dyDescent="0.3">
      <c r="A12" s="55" t="s">
        <v>28</v>
      </c>
      <c r="B12" s="56">
        <f>Entrate_Uscite!B11</f>
        <v>140640</v>
      </c>
      <c r="C12" s="56">
        <f>Entrate_Uscite!E11</f>
        <v>0</v>
      </c>
      <c r="D12" s="56">
        <f>Entrate_Uscite!H11</f>
        <v>0</v>
      </c>
      <c r="E12" s="56">
        <f>Entrate_Uscite!K11</f>
        <v>0</v>
      </c>
      <c r="F12" s="56">
        <f>Entrate_Uscite!N11</f>
        <v>50000</v>
      </c>
      <c r="G12" s="56">
        <f>Entrate_Uscite!Q11</f>
        <v>0</v>
      </c>
      <c r="H12" s="56">
        <f>Entrate_Uscite!T11</f>
        <v>0</v>
      </c>
      <c r="I12" s="56">
        <f>Entrate_Uscite!W11</f>
        <v>0</v>
      </c>
      <c r="J12" s="56">
        <f t="shared" si="0"/>
        <v>0</v>
      </c>
      <c r="K12" s="57" t="str">
        <f t="shared" si="1"/>
        <v>-</v>
      </c>
      <c r="L12" s="56">
        <f>Entrate_Uscite!X11</f>
        <v>0</v>
      </c>
      <c r="M12" s="58" t="str">
        <f t="shared" si="2"/>
        <v>-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0</v>
      </c>
      <c r="D13" s="56">
        <f>Entrate_Uscite!H12</f>
        <v>0</v>
      </c>
      <c r="E13" s="56">
        <f>Entrate_Uscite!K12</f>
        <v>0</v>
      </c>
      <c r="F13" s="56">
        <f>Entrate_Uscite!N12</f>
        <v>0</v>
      </c>
      <c r="G13" s="56">
        <f>Entrate_Uscite!Q12</f>
        <v>0</v>
      </c>
      <c r="H13" s="56">
        <f>Entrate_Uscite!T12</f>
        <v>0</v>
      </c>
      <c r="I13" s="56">
        <f>Entrate_Uscite!W12</f>
        <v>0</v>
      </c>
      <c r="J13" s="56">
        <f t="shared" si="0"/>
        <v>0</v>
      </c>
      <c r="K13" s="57" t="str">
        <f t="shared" si="1"/>
        <v>-</v>
      </c>
      <c r="L13" s="56">
        <f>Entrate_Uscite!X12</f>
        <v>0</v>
      </c>
      <c r="M13" s="58" t="str">
        <f t="shared" si="2"/>
        <v>-</v>
      </c>
    </row>
    <row r="14" spans="1:13" x14ac:dyDescent="0.3">
      <c r="A14" s="55" t="s">
        <v>30</v>
      </c>
      <c r="B14" s="56">
        <f>Entrate_Uscite!B13</f>
        <v>0</v>
      </c>
      <c r="C14" s="56">
        <f>Entrate_Uscite!E13</f>
        <v>0</v>
      </c>
      <c r="D14" s="56">
        <f>Entrate_Uscite!H13</f>
        <v>0</v>
      </c>
      <c r="E14" s="56">
        <f>Entrate_Uscite!K13</f>
        <v>0</v>
      </c>
      <c r="F14" s="56">
        <f>Entrate_Uscite!N13</f>
        <v>0</v>
      </c>
      <c r="G14" s="56">
        <f>Entrate_Uscite!Q13</f>
        <v>0</v>
      </c>
      <c r="H14" s="56">
        <f>Entrate_Uscite!T13</f>
        <v>0</v>
      </c>
      <c r="I14" s="56">
        <f>Entrate_Uscite!W13</f>
        <v>0</v>
      </c>
      <c r="J14" s="56">
        <f t="shared" si="0"/>
        <v>0</v>
      </c>
      <c r="K14" s="57" t="str">
        <f t="shared" si="1"/>
        <v>-</v>
      </c>
      <c r="L14" s="56">
        <f>Entrate_Uscite!X13</f>
        <v>0</v>
      </c>
      <c r="M14" s="58" t="str">
        <f t="shared" si="2"/>
        <v>-</v>
      </c>
    </row>
    <row r="15" spans="1:13" x14ac:dyDescent="0.3">
      <c r="A15" s="4" t="s">
        <v>33</v>
      </c>
      <c r="B15" s="43">
        <f t="shared" ref="B15:I15" si="8">SUM(B12:B14)</f>
        <v>140640</v>
      </c>
      <c r="C15" s="43">
        <f t="shared" si="8"/>
        <v>0</v>
      </c>
      <c r="D15" s="43">
        <f t="shared" si="8"/>
        <v>0</v>
      </c>
      <c r="E15" s="43">
        <f t="shared" si="8"/>
        <v>0</v>
      </c>
      <c r="F15" s="43">
        <f t="shared" si="8"/>
        <v>50000</v>
      </c>
      <c r="G15" s="43">
        <f t="shared" ref="G15" si="9">SUM(G12:G14)</f>
        <v>0</v>
      </c>
      <c r="H15" s="43">
        <f t="shared" ref="H15" si="10">SUM(H12:H14)</f>
        <v>0</v>
      </c>
      <c r="I15" s="43">
        <f t="shared" si="8"/>
        <v>0</v>
      </c>
      <c r="J15" s="43">
        <f t="shared" si="0"/>
        <v>0</v>
      </c>
      <c r="K15" s="44" t="str">
        <f t="shared" si="1"/>
        <v>-</v>
      </c>
      <c r="L15" s="43">
        <f>SUM(L12:L14)</f>
        <v>0</v>
      </c>
      <c r="M15" s="45" t="str">
        <f t="shared" si="2"/>
        <v>-</v>
      </c>
    </row>
    <row r="16" spans="1:13" x14ac:dyDescent="0.3">
      <c r="A16" s="47" t="s">
        <v>348</v>
      </c>
      <c r="B16" s="48">
        <f>B5+B11+B15</f>
        <v>253758532.31</v>
      </c>
      <c r="C16" s="48">
        <f t="shared" ref="C16:I16" si="11">C5+C11+C15</f>
        <v>223980814.97999999</v>
      </c>
      <c r="D16" s="48">
        <f t="shared" si="11"/>
        <v>214586945.99000001</v>
      </c>
      <c r="E16" s="48">
        <f t="shared" ref="E16:H16" si="12">E5+E11+E15</f>
        <v>227042659.51999998</v>
      </c>
      <c r="F16" s="48">
        <f t="shared" si="12"/>
        <v>314233191.44000006</v>
      </c>
      <c r="G16" s="48">
        <f t="shared" si="12"/>
        <v>329813142.26999998</v>
      </c>
      <c r="H16" s="48">
        <f t="shared" si="12"/>
        <v>315669880.36000001</v>
      </c>
      <c r="I16" s="48">
        <f t="shared" si="11"/>
        <v>328500848.08999997</v>
      </c>
      <c r="J16" s="48">
        <f t="shared" si="0"/>
        <v>100</v>
      </c>
      <c r="K16" s="49">
        <f t="shared" si="1"/>
        <v>4.0646791247131802</v>
      </c>
      <c r="L16" s="48">
        <f t="shared" ref="L16" si="13">L5+L11+L15</f>
        <v>212130888.71000004</v>
      </c>
      <c r="M16" s="50">
        <f t="shared" si="2"/>
        <v>64.575446286787724</v>
      </c>
    </row>
    <row r="17" spans="1:13" x14ac:dyDescent="0.3">
      <c r="A17" s="4" t="s">
        <v>34</v>
      </c>
      <c r="B17" s="43">
        <f>Entrate_Uscite!B17</f>
        <v>7867986.5999999996</v>
      </c>
      <c r="C17" s="43">
        <f>Entrate_Uscite!E17</f>
        <v>0</v>
      </c>
      <c r="D17" s="43">
        <f>Entrate_Uscite!H17</f>
        <v>0</v>
      </c>
      <c r="E17" s="43">
        <f>Entrate_Uscite!K17</f>
        <v>0</v>
      </c>
      <c r="F17" s="43">
        <f>Entrate_Uscite!N17</f>
        <v>29170976.300000001</v>
      </c>
      <c r="G17" s="43">
        <f>Entrate_Uscite!Q17</f>
        <v>0</v>
      </c>
      <c r="H17" s="43">
        <f>Entrate_Uscite!T17</f>
        <v>0</v>
      </c>
      <c r="I17" s="43">
        <f>Entrate_Uscite!W17</f>
        <v>0</v>
      </c>
      <c r="J17" s="43">
        <f t="shared" si="0"/>
        <v>0</v>
      </c>
      <c r="K17" s="44" t="str">
        <f t="shared" si="1"/>
        <v>-</v>
      </c>
      <c r="L17" s="43">
        <f>Entrate_Uscite!X17</f>
        <v>0</v>
      </c>
      <c r="M17" s="45" t="str">
        <f t="shared" si="2"/>
        <v>-</v>
      </c>
    </row>
    <row r="18" spans="1:13" x14ac:dyDescent="0.3">
      <c r="A18" s="4" t="s">
        <v>35</v>
      </c>
      <c r="B18" s="43">
        <f>Entrate_Uscite!B18</f>
        <v>127202807.81999999</v>
      </c>
      <c r="C18" s="43">
        <f>Entrate_Uscite!E18</f>
        <v>113167169.73999999</v>
      </c>
      <c r="D18" s="43">
        <f>Entrate_Uscite!H18</f>
        <v>117880743.5</v>
      </c>
      <c r="E18" s="43">
        <f>Entrate_Uscite!K18</f>
        <v>138877668.75</v>
      </c>
      <c r="F18" s="43">
        <f>Entrate_Uscite!N18</f>
        <v>131742693.28</v>
      </c>
      <c r="G18" s="43">
        <f>Entrate_Uscite!Q18</f>
        <v>14056134.01</v>
      </c>
      <c r="H18" s="43">
        <f>Entrate_Uscite!T18</f>
        <v>0</v>
      </c>
      <c r="I18" s="43">
        <f>Entrate_Uscite!W18</f>
        <v>0</v>
      </c>
      <c r="J18" s="43">
        <f t="shared" si="0"/>
        <v>0</v>
      </c>
      <c r="K18" s="44" t="str">
        <f t="shared" si="1"/>
        <v>-</v>
      </c>
      <c r="L18" s="43">
        <f>Entrate_Uscite!X18</f>
        <v>0</v>
      </c>
      <c r="M18" s="45" t="str">
        <f t="shared" si="2"/>
        <v>-</v>
      </c>
    </row>
    <row r="19" spans="1:13" x14ac:dyDescent="0.3">
      <c r="A19" s="4" t="s">
        <v>36</v>
      </c>
      <c r="B19" s="43">
        <f>Entrate_Uscite!B19</f>
        <v>129895359.95999999</v>
      </c>
      <c r="C19" s="43">
        <f>Entrate_Uscite!E19</f>
        <v>45464505.82</v>
      </c>
      <c r="D19" s="43">
        <f>Entrate_Uscite!H19</f>
        <v>66191329.109999999</v>
      </c>
      <c r="E19" s="43">
        <f>Entrate_Uscite!K19</f>
        <v>71484499.489999995</v>
      </c>
      <c r="F19" s="43">
        <f>Entrate_Uscite!N19</f>
        <v>124347130.72</v>
      </c>
      <c r="G19" s="43">
        <f>Entrate_Uscite!Q19</f>
        <v>136320381.37</v>
      </c>
      <c r="H19" s="43">
        <f>Entrate_Uscite!T19</f>
        <v>20391084.84</v>
      </c>
      <c r="I19" s="43">
        <f>Entrate_Uscite!W19</f>
        <v>32133360.260000002</v>
      </c>
      <c r="J19" s="43"/>
      <c r="K19" s="44">
        <f t="shared" si="1"/>
        <v>57.585339436996833</v>
      </c>
      <c r="L19" s="43">
        <f>Entrate_Uscite!X19</f>
        <v>31779441.579999998</v>
      </c>
      <c r="M19" s="45">
        <f t="shared" si="2"/>
        <v>98.898594242443522</v>
      </c>
    </row>
    <row r="20" spans="1:13" x14ac:dyDescent="0.3">
      <c r="A20" s="47" t="s">
        <v>37</v>
      </c>
      <c r="B20" s="48">
        <f t="shared" ref="B20:I20" si="14">B5+B11+B15+B17+B18+B19</f>
        <v>518724686.69</v>
      </c>
      <c r="C20" s="48">
        <f t="shared" si="14"/>
        <v>382612490.53999996</v>
      </c>
      <c r="D20" s="48">
        <f t="shared" si="14"/>
        <v>398659018.60000002</v>
      </c>
      <c r="E20" s="48">
        <f t="shared" si="14"/>
        <v>437404827.75999999</v>
      </c>
      <c r="F20" s="48">
        <f t="shared" si="14"/>
        <v>599493991.74000013</v>
      </c>
      <c r="G20" s="48">
        <f t="shared" ref="G20:H20" si="15">G5+G11+G15+G17+G18+G19</f>
        <v>480189657.64999998</v>
      </c>
      <c r="H20" s="48">
        <f t="shared" si="15"/>
        <v>336060965.19999999</v>
      </c>
      <c r="I20" s="48">
        <f t="shared" si="14"/>
        <v>360634208.34999996</v>
      </c>
      <c r="J20" s="48"/>
      <c r="K20" s="49">
        <f t="shared" si="1"/>
        <v>7.3121384792118533</v>
      </c>
      <c r="L20" s="48">
        <f>L5+L11+L15+L17+L18+L19</f>
        <v>243910330.29000002</v>
      </c>
      <c r="M20" s="50">
        <f t="shared" si="2"/>
        <v>67.633719886406894</v>
      </c>
    </row>
    <row r="21" spans="1:13" x14ac:dyDescent="0.3">
      <c r="A21" s="38" t="s">
        <v>38</v>
      </c>
      <c r="B21" s="51">
        <f t="shared" ref="B21:I21" si="16">B20-B19</f>
        <v>388829326.73000002</v>
      </c>
      <c r="C21" s="51">
        <f t="shared" si="16"/>
        <v>337147984.71999997</v>
      </c>
      <c r="D21" s="51">
        <f t="shared" si="16"/>
        <v>332467689.49000001</v>
      </c>
      <c r="E21" s="51">
        <f t="shared" si="16"/>
        <v>365920328.26999998</v>
      </c>
      <c r="F21" s="51">
        <f t="shared" si="16"/>
        <v>475146861.0200001</v>
      </c>
      <c r="G21" s="51">
        <f t="shared" ref="G21:H21" si="17">G20-G19</f>
        <v>343869276.27999997</v>
      </c>
      <c r="H21" s="51">
        <f t="shared" si="17"/>
        <v>315669880.36000001</v>
      </c>
      <c r="I21" s="51">
        <f t="shared" si="16"/>
        <v>328500848.08999997</v>
      </c>
      <c r="J21" s="51">
        <f t="shared" si="0"/>
        <v>100</v>
      </c>
      <c r="K21" s="52">
        <f t="shared" si="1"/>
        <v>4.0646791247131802</v>
      </c>
      <c r="L21" s="51">
        <f>L20-L19</f>
        <v>212130888.71000004</v>
      </c>
      <c r="M21" s="53">
        <f t="shared" si="2"/>
        <v>64.575446286787724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9" width="12.5546875" bestFit="1" customWidth="1"/>
    <col min="10" max="10" width="8.5546875" customWidth="1"/>
    <col min="11" max="11" width="8.4414062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368</v>
      </c>
      <c r="M1" s="42" t="s">
        <v>339</v>
      </c>
    </row>
    <row r="2" spans="1:13" x14ac:dyDescent="0.3">
      <c r="A2" s="59" t="s">
        <v>270</v>
      </c>
      <c r="B2" s="56">
        <f>Entrate_Uscite!B23</f>
        <v>35500190.420000002</v>
      </c>
      <c r="C2" s="56">
        <f>Entrate_Uscite!E23</f>
        <v>35019455.689999998</v>
      </c>
      <c r="D2" s="56">
        <f>Entrate_Uscite!H23</f>
        <v>35106884.289999999</v>
      </c>
      <c r="E2" s="56">
        <f>Entrate_Uscite!K23</f>
        <v>30972739.84</v>
      </c>
      <c r="F2" s="56">
        <f>Entrate_Uscite!N23</f>
        <v>28263195.329999998</v>
      </c>
      <c r="G2" s="56">
        <f>Entrate_Uscite!Q23</f>
        <v>28280605.710000001</v>
      </c>
      <c r="H2" s="56">
        <f>Entrate_Uscite!T23</f>
        <v>31718343.199999999</v>
      </c>
      <c r="I2" s="56">
        <f>Entrate_Uscite!W23</f>
        <v>30084067.379999999</v>
      </c>
      <c r="J2" s="56">
        <f>I2/I$31*100</f>
        <v>11.181587792949234</v>
      </c>
      <c r="K2" s="57">
        <f>IF(H2&gt;0,I2/H2*100-100,"-")</f>
        <v>-5.1524627553686315</v>
      </c>
      <c r="L2" s="56">
        <f>Entrate_Uscite!X23</f>
        <v>26835767.949999999</v>
      </c>
      <c r="M2" s="58">
        <f>IF(I2&gt;0,L2/I2*100,"-")</f>
        <v>89.202592226078167</v>
      </c>
    </row>
    <row r="3" spans="1:13" x14ac:dyDescent="0.3">
      <c r="A3" s="59" t="s">
        <v>271</v>
      </c>
      <c r="B3" s="56">
        <f>Entrate_Uscite!B24</f>
        <v>2366628.2200000002</v>
      </c>
      <c r="C3" s="56">
        <f>Entrate_Uscite!E24</f>
        <v>2344996.39</v>
      </c>
      <c r="D3" s="56">
        <f>Entrate_Uscite!H24</f>
        <v>2354265.67</v>
      </c>
      <c r="E3" s="56">
        <f>Entrate_Uscite!K24</f>
        <v>2041750.86</v>
      </c>
      <c r="F3" s="56">
        <f>Entrate_Uscite!N24</f>
        <v>1706952.93</v>
      </c>
      <c r="G3" s="56">
        <f>Entrate_Uscite!Q24</f>
        <v>1765729.05</v>
      </c>
      <c r="H3" s="56">
        <f>Entrate_Uscite!T24</f>
        <v>1970626.67</v>
      </c>
      <c r="I3" s="56">
        <f>Entrate_Uscite!W24</f>
        <v>1890886.11</v>
      </c>
      <c r="J3" s="56">
        <f t="shared" ref="J3:J31" si="0">I3/I$31*100</f>
        <v>0.70280088055810175</v>
      </c>
      <c r="K3" s="57">
        <f t="shared" ref="K3:K31" si="1">IF(H3&gt;0,I3/H3*100-100,"-")</f>
        <v>-4.0464569577757743</v>
      </c>
      <c r="L3" s="56">
        <f>Entrate_Uscite!X24</f>
        <v>1637132.14</v>
      </c>
      <c r="M3" s="58">
        <f>IF(I3&gt;0,L3/I3*100,"-")</f>
        <v>86.580155797960771</v>
      </c>
    </row>
    <row r="4" spans="1:13" x14ac:dyDescent="0.3">
      <c r="A4" s="59" t="s">
        <v>272</v>
      </c>
      <c r="B4" s="56">
        <f>Entrate_Uscite!B25</f>
        <v>73390768.489999995</v>
      </c>
      <c r="C4" s="56">
        <f>Entrate_Uscite!E25</f>
        <v>78800925.989999995</v>
      </c>
      <c r="D4" s="56">
        <f>Entrate_Uscite!H25</f>
        <v>83703315.549999997</v>
      </c>
      <c r="E4" s="56">
        <f>Entrate_Uscite!K25</f>
        <v>80513869.390000001</v>
      </c>
      <c r="F4" s="56">
        <f>Entrate_Uscite!N25</f>
        <v>76612228.030000001</v>
      </c>
      <c r="G4" s="56">
        <f>Entrate_Uscite!Q25</f>
        <v>84669851.730000004</v>
      </c>
      <c r="H4" s="56">
        <f>Entrate_Uscite!T25</f>
        <v>102900991.48</v>
      </c>
      <c r="I4" s="56">
        <f>Entrate_Uscite!W25</f>
        <v>90991478.549999997</v>
      </c>
      <c r="J4" s="56">
        <f t="shared" si="0"/>
        <v>33.819536200529612</v>
      </c>
      <c r="K4" s="57">
        <f t="shared" si="1"/>
        <v>-11.573759162772262</v>
      </c>
      <c r="L4" s="56">
        <f>Entrate_Uscite!X25</f>
        <v>66675616.479999997</v>
      </c>
      <c r="M4" s="58">
        <f t="shared" ref="M4:M9" si="2">IF(I4&gt;0,L4/I4*100,"-")</f>
        <v>73.276770025625666</v>
      </c>
    </row>
    <row r="5" spans="1:13" x14ac:dyDescent="0.3">
      <c r="A5" s="59" t="s">
        <v>273</v>
      </c>
      <c r="B5" s="56">
        <f>Entrate_Uscite!B26</f>
        <v>12603262.85</v>
      </c>
      <c r="C5" s="56">
        <f>Entrate_Uscite!E26</f>
        <v>10159387.33</v>
      </c>
      <c r="D5" s="56">
        <f>Entrate_Uscite!H26</f>
        <v>13195190.66</v>
      </c>
      <c r="E5" s="56">
        <f>Entrate_Uscite!K26</f>
        <v>9943522.7599999998</v>
      </c>
      <c r="F5" s="56">
        <f>Entrate_Uscite!N26</f>
        <v>13895318.68</v>
      </c>
      <c r="G5" s="56">
        <f>Entrate_Uscite!Q26</f>
        <v>17225112.34</v>
      </c>
      <c r="H5" s="56">
        <f>Entrate_Uscite!T26</f>
        <v>16327350.02</v>
      </c>
      <c r="I5" s="56">
        <f>Entrate_Uscite!W26</f>
        <v>16628457.74</v>
      </c>
      <c r="J5" s="56">
        <f t="shared" si="0"/>
        <v>6.180432909306834</v>
      </c>
      <c r="K5" s="57">
        <f t="shared" si="1"/>
        <v>1.8441922273434699</v>
      </c>
      <c r="L5" s="56">
        <f>Entrate_Uscite!X26</f>
        <v>13975481.289999999</v>
      </c>
      <c r="M5" s="58">
        <f t="shared" si="2"/>
        <v>84.045565190220699</v>
      </c>
    </row>
    <row r="6" spans="1:13" x14ac:dyDescent="0.3">
      <c r="A6" s="59" t="s">
        <v>274</v>
      </c>
      <c r="B6" s="56">
        <f>Entrate_Uscite!B27</f>
        <v>9595713.5</v>
      </c>
      <c r="C6" s="56">
        <f>Entrate_Uscite!E27</f>
        <v>9242470.7699999996</v>
      </c>
      <c r="D6" s="56">
        <f>Entrate_Uscite!H27</f>
        <v>9013246.0899999999</v>
      </c>
      <c r="E6" s="56">
        <f>Entrate_Uscite!K27</f>
        <v>14791892.130000001</v>
      </c>
      <c r="F6" s="56">
        <f>Entrate_Uscite!N27</f>
        <v>14693150.039999999</v>
      </c>
      <c r="G6" s="56">
        <f>Entrate_Uscite!Q27</f>
        <v>13694643.57</v>
      </c>
      <c r="H6" s="56">
        <f>Entrate_Uscite!T27</f>
        <v>12501396.189999999</v>
      </c>
      <c r="I6" s="56">
        <f>Entrate_Uscite!W27</f>
        <v>9861635.3399999999</v>
      </c>
      <c r="J6" s="56">
        <f t="shared" si="0"/>
        <v>3.6653534890554007</v>
      </c>
      <c r="K6" s="57">
        <f t="shared" si="1"/>
        <v>-21.115728274507234</v>
      </c>
      <c r="L6" s="56">
        <f>Entrate_Uscite!X27</f>
        <v>9858442.4700000007</v>
      </c>
      <c r="M6" s="58">
        <f t="shared" si="2"/>
        <v>99.967623321184391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0"/>
        <v>0</v>
      </c>
      <c r="K7" s="57" t="str">
        <f t="shared" si="1"/>
        <v>-</v>
      </c>
      <c r="L7" s="56">
        <f>Entrate_Uscite!X28</f>
        <v>0</v>
      </c>
      <c r="M7" s="58" t="str">
        <f t="shared" si="2"/>
        <v>-</v>
      </c>
    </row>
    <row r="8" spans="1:13" x14ac:dyDescent="0.3">
      <c r="A8" s="59" t="s">
        <v>276</v>
      </c>
      <c r="B8" s="56">
        <f>Entrate_Uscite!B29</f>
        <v>456327.72</v>
      </c>
      <c r="C8" s="56">
        <f>Entrate_Uscite!E29</f>
        <v>575787.30000000005</v>
      </c>
      <c r="D8" s="56">
        <f>Entrate_Uscite!H29</f>
        <v>388719.26</v>
      </c>
      <c r="E8" s="56">
        <f>Entrate_Uscite!K29</f>
        <v>334512.01</v>
      </c>
      <c r="F8" s="56">
        <f>Entrate_Uscite!N29</f>
        <v>907957.47</v>
      </c>
      <c r="G8" s="56">
        <f>Entrate_Uscite!Q29</f>
        <v>335441.90999999997</v>
      </c>
      <c r="H8" s="56">
        <f>Entrate_Uscite!T29</f>
        <v>435239.65</v>
      </c>
      <c r="I8" s="56">
        <f>Entrate_Uscite!W29</f>
        <v>472040.78</v>
      </c>
      <c r="J8" s="56">
        <f t="shared" si="0"/>
        <v>0.17544720122955113</v>
      </c>
      <c r="K8" s="57">
        <f t="shared" si="1"/>
        <v>8.4553716555924865</v>
      </c>
      <c r="L8" s="56">
        <f>Entrate_Uscite!X29</f>
        <v>228057.11</v>
      </c>
      <c r="M8" s="58">
        <f t="shared" si="2"/>
        <v>48.313010159842541</v>
      </c>
    </row>
    <row r="9" spans="1:13" x14ac:dyDescent="0.3">
      <c r="A9" s="59" t="s">
        <v>277</v>
      </c>
      <c r="B9" s="56">
        <f>Entrate_Uscite!B30</f>
        <v>17118899.739999998</v>
      </c>
      <c r="C9" s="56">
        <f>Entrate_Uscite!E30</f>
        <v>17685186.780000001</v>
      </c>
      <c r="D9" s="56">
        <f>Entrate_Uscite!H30</f>
        <v>10853411.1</v>
      </c>
      <c r="E9" s="56">
        <f>Entrate_Uscite!K30</f>
        <v>8595140.25</v>
      </c>
      <c r="F9" s="56">
        <f>Entrate_Uscite!N30</f>
        <v>8948496.8699999992</v>
      </c>
      <c r="G9" s="56">
        <f>Entrate_Uscite!Q30</f>
        <v>10883502.359999999</v>
      </c>
      <c r="H9" s="56">
        <f>Entrate_Uscite!T30</f>
        <v>5947173.4100000001</v>
      </c>
      <c r="I9" s="56">
        <f>Entrate_Uscite!W30</f>
        <v>7708719.4000000004</v>
      </c>
      <c r="J9" s="56">
        <f t="shared" si="0"/>
        <v>2.8651618696883445</v>
      </c>
      <c r="K9" s="57">
        <f t="shared" si="1"/>
        <v>29.619886096443935</v>
      </c>
      <c r="L9" s="56">
        <f>Entrate_Uscite!X30</f>
        <v>4125277.97</v>
      </c>
      <c r="M9" s="58">
        <f t="shared" si="2"/>
        <v>53.51443937627306</v>
      </c>
    </row>
    <row r="10" spans="1:13" x14ac:dyDescent="0.3">
      <c r="A10" s="4" t="s">
        <v>282</v>
      </c>
      <c r="B10" s="43">
        <f t="shared" ref="B10:I10" si="3">SUM(B2:B9)</f>
        <v>151031790.94</v>
      </c>
      <c r="C10" s="43">
        <f t="shared" si="3"/>
        <v>153828210.25</v>
      </c>
      <c r="D10" s="43">
        <f t="shared" si="3"/>
        <v>154615032.61999997</v>
      </c>
      <c r="E10" s="43">
        <f t="shared" si="3"/>
        <v>147193427.24000001</v>
      </c>
      <c r="F10" s="43">
        <f t="shared" si="3"/>
        <v>145027299.34999999</v>
      </c>
      <c r="G10" s="43">
        <f t="shared" ref="G10:H10" si="4">SUM(G2:G9)</f>
        <v>156854886.67000002</v>
      </c>
      <c r="H10" s="43">
        <f t="shared" si="4"/>
        <v>171801120.62</v>
      </c>
      <c r="I10" s="43">
        <f t="shared" si="3"/>
        <v>157637285.30000001</v>
      </c>
      <c r="J10" s="43">
        <f t="shared" si="0"/>
        <v>58.590320343317082</v>
      </c>
      <c r="K10" s="44">
        <f t="shared" si="1"/>
        <v>-8.2443206824758875</v>
      </c>
      <c r="L10" s="43">
        <f>SUM(L2:L9)</f>
        <v>123335775.40999998</v>
      </c>
      <c r="M10" s="45">
        <f t="shared" ref="M10:M17" si="5">IF(I10&gt;0,L10/I10*100,"-")</f>
        <v>78.240230523685611</v>
      </c>
    </row>
    <row r="11" spans="1:13" x14ac:dyDescent="0.3">
      <c r="A11" s="59" t="s">
        <v>278</v>
      </c>
      <c r="B11" s="56">
        <f>Entrate_Uscite!B32</f>
        <v>29284912.949999999</v>
      </c>
      <c r="C11" s="56">
        <f>Entrate_Uscite!E32</f>
        <v>35737247.390000001</v>
      </c>
      <c r="D11" s="56">
        <f>Entrate_Uscite!H32</f>
        <v>27484388.449999999</v>
      </c>
      <c r="E11" s="56">
        <f>Entrate_Uscite!K32</f>
        <v>36174275.740000002</v>
      </c>
      <c r="F11" s="56">
        <f>Entrate_Uscite!N32</f>
        <v>44106756.289999999</v>
      </c>
      <c r="G11" s="56">
        <f>Entrate_Uscite!Q32</f>
        <v>15683484.08</v>
      </c>
      <c r="H11" s="56">
        <f>Entrate_Uscite!T32</f>
        <v>23872574.48</v>
      </c>
      <c r="I11" s="56">
        <f>Entrate_Uscite!W32</f>
        <v>82140908.870000005</v>
      </c>
      <c r="J11" s="56">
        <f t="shared" si="0"/>
        <v>30.529973634254887</v>
      </c>
      <c r="K11" s="57">
        <f t="shared" si="1"/>
        <v>244.08064760177473</v>
      </c>
      <c r="L11" s="56">
        <f>Entrate_Uscite!X32</f>
        <v>61687164.189999998</v>
      </c>
      <c r="M11" s="58">
        <f t="shared" si="5"/>
        <v>75.099198485408721</v>
      </c>
    </row>
    <row r="12" spans="1:13" x14ac:dyDescent="0.3">
      <c r="A12" s="59" t="s">
        <v>279</v>
      </c>
      <c r="B12" s="56">
        <f>Entrate_Uscite!B33</f>
        <v>264583.98</v>
      </c>
      <c r="C12" s="56">
        <f>Entrate_Uscite!E33</f>
        <v>123433.99</v>
      </c>
      <c r="D12" s="56">
        <f>Entrate_Uscite!H33</f>
        <v>8724.6200000000008</v>
      </c>
      <c r="E12" s="56">
        <f>Entrate_Uscite!K33</f>
        <v>0</v>
      </c>
      <c r="F12" s="56">
        <f>Entrate_Uscite!N33</f>
        <v>10832</v>
      </c>
      <c r="G12" s="56">
        <f>Entrate_Uscite!Q33</f>
        <v>284000</v>
      </c>
      <c r="H12" s="56">
        <f>Entrate_Uscite!T33</f>
        <v>68580.320000000007</v>
      </c>
      <c r="I12" s="56">
        <f>Entrate_Uscite!W33</f>
        <v>3139848.31</v>
      </c>
      <c r="J12" s="56">
        <f t="shared" si="0"/>
        <v>1.1670127277453359</v>
      </c>
      <c r="K12" s="57">
        <f t="shared" si="1"/>
        <v>4478.3517924675762</v>
      </c>
      <c r="L12" s="56">
        <f>Entrate_Uscite!X33</f>
        <v>3051544.42</v>
      </c>
      <c r="M12" s="58">
        <f t="shared" si="5"/>
        <v>97.187638341675182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4499.78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0"/>
        <v>0</v>
      </c>
      <c r="K13" s="57" t="str">
        <f t="shared" si="1"/>
        <v>-</v>
      </c>
      <c r="L13" s="56">
        <f>Entrate_Uscite!X34</f>
        <v>0</v>
      </c>
      <c r="M13" s="58" t="str">
        <f t="shared" si="5"/>
        <v>-</v>
      </c>
    </row>
    <row r="14" spans="1:13" x14ac:dyDescent="0.3">
      <c r="A14" s="59" t="s">
        <v>281</v>
      </c>
      <c r="B14" s="56">
        <f>Entrate_Uscite!B35</f>
        <v>28104.85</v>
      </c>
      <c r="C14" s="56">
        <f>Entrate_Uscite!E35</f>
        <v>35011.15</v>
      </c>
      <c r="D14" s="56">
        <f>Entrate_Uscite!H35</f>
        <v>100793.39</v>
      </c>
      <c r="E14" s="56">
        <f>Entrate_Uscite!K35</f>
        <v>515158.2</v>
      </c>
      <c r="F14" s="56">
        <f>Entrate_Uscite!N35</f>
        <v>809.34</v>
      </c>
      <c r="G14" s="56">
        <f>Entrate_Uscite!Q35</f>
        <v>1362672.97</v>
      </c>
      <c r="H14" s="56">
        <f>Entrate_Uscite!T35</f>
        <v>186275.72</v>
      </c>
      <c r="I14" s="56">
        <f>Entrate_Uscite!W35</f>
        <v>1069467.29</v>
      </c>
      <c r="J14" s="56">
        <f t="shared" si="0"/>
        <v>0.39749752730485011</v>
      </c>
      <c r="K14" s="57">
        <f t="shared" si="1"/>
        <v>474.13134143301124</v>
      </c>
      <c r="L14" s="56">
        <f>Entrate_Uscite!X35</f>
        <v>931630.68</v>
      </c>
      <c r="M14" s="58">
        <f t="shared" si="5"/>
        <v>87.111657243860165</v>
      </c>
    </row>
    <row r="15" spans="1:13" x14ac:dyDescent="0.3">
      <c r="A15" s="4" t="s">
        <v>283</v>
      </c>
      <c r="B15" s="46">
        <f t="shared" ref="B15:I15" si="6">SUM(B11:B14)</f>
        <v>29577601.780000001</v>
      </c>
      <c r="C15" s="46">
        <f t="shared" si="6"/>
        <v>35895692.530000001</v>
      </c>
      <c r="D15" s="46">
        <f t="shared" si="6"/>
        <v>27598406.240000002</v>
      </c>
      <c r="E15" s="46">
        <f t="shared" si="6"/>
        <v>36689433.940000005</v>
      </c>
      <c r="F15" s="46">
        <f t="shared" si="6"/>
        <v>44118397.630000003</v>
      </c>
      <c r="G15" s="46">
        <f t="shared" ref="G15" si="7">SUM(G11:G14)</f>
        <v>17330157.050000001</v>
      </c>
      <c r="H15" s="46">
        <f t="shared" ref="H15" si="8">SUM(H11:H14)</f>
        <v>24127430.52</v>
      </c>
      <c r="I15" s="46">
        <f t="shared" si="6"/>
        <v>86350224.470000014</v>
      </c>
      <c r="J15" s="46">
        <f t="shared" si="0"/>
        <v>32.094483889305074</v>
      </c>
      <c r="K15" s="44">
        <f t="shared" si="1"/>
        <v>257.89233502681338</v>
      </c>
      <c r="L15" s="46">
        <f>SUM(L11:L14)</f>
        <v>65670339.289999999</v>
      </c>
      <c r="M15" s="45">
        <f t="shared" si="5"/>
        <v>76.05115064039623</v>
      </c>
    </row>
    <row r="16" spans="1:13" x14ac:dyDescent="0.3">
      <c r="A16" s="59" t="s">
        <v>284</v>
      </c>
      <c r="B16" s="56">
        <f>Entrate_Uscite!B36</f>
        <v>0</v>
      </c>
      <c r="C16" s="56">
        <f>Entrate_Uscite!E36</f>
        <v>0</v>
      </c>
      <c r="D16" s="56">
        <f>Entrate_Uscite!H36</f>
        <v>0</v>
      </c>
      <c r="E16" s="56">
        <f>Entrate_Uscite!K36</f>
        <v>0</v>
      </c>
      <c r="F16" s="56">
        <f>Entrate_Uscite!N36</f>
        <v>0</v>
      </c>
      <c r="G16" s="56">
        <f>Entrate_Uscite!Q36</f>
        <v>0</v>
      </c>
      <c r="H16" s="56">
        <f>Entrate_Uscite!T36</f>
        <v>0</v>
      </c>
      <c r="I16" s="56">
        <f>Entrate_Uscite!W36</f>
        <v>0</v>
      </c>
      <c r="J16" s="56">
        <f t="shared" si="0"/>
        <v>0</v>
      </c>
      <c r="K16" s="57" t="str">
        <f t="shared" si="1"/>
        <v>-</v>
      </c>
      <c r="L16" s="56">
        <f>Entrate_Uscite!X36</f>
        <v>0</v>
      </c>
      <c r="M16" s="58" t="str">
        <f t="shared" si="5"/>
        <v>-</v>
      </c>
    </row>
    <row r="17" spans="1:13" x14ac:dyDescent="0.3">
      <c r="A17" s="59" t="s">
        <v>285</v>
      </c>
      <c r="B17" s="56">
        <f>Entrate_Uscite!B37</f>
        <v>0</v>
      </c>
      <c r="C17" s="56">
        <f>Entrate_Uscite!E37</f>
        <v>0</v>
      </c>
      <c r="D17" s="56">
        <f>Entrate_Uscite!H37</f>
        <v>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0"/>
        <v>0</v>
      </c>
      <c r="K17" s="57" t="str">
        <f t="shared" si="1"/>
        <v>-</v>
      </c>
      <c r="L17" s="56">
        <f>Entrate_Uscite!X37</f>
        <v>0</v>
      </c>
      <c r="M17" s="58" t="str">
        <f t="shared" si="5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0</v>
      </c>
      <c r="D18" s="56">
        <f>Entrate_Uscite!H38</f>
        <v>0</v>
      </c>
      <c r="E18" s="56">
        <f>Entrate_Uscite!K38</f>
        <v>0</v>
      </c>
      <c r="F18" s="56">
        <f>Entrate_Uscite!N38</f>
        <v>0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0"/>
        <v>0</v>
      </c>
      <c r="K18" s="57" t="str">
        <f t="shared" si="1"/>
        <v>-</v>
      </c>
      <c r="L18" s="56">
        <f>Entrate_Uscite!X38</f>
        <v>0</v>
      </c>
      <c r="M18" s="58" t="str">
        <f t="shared" ref="M18:M26" si="9">IF(I18&gt;0,L18/I18*100,"-")</f>
        <v>-</v>
      </c>
    </row>
    <row r="19" spans="1:13" x14ac:dyDescent="0.3">
      <c r="A19" s="59" t="s">
        <v>287</v>
      </c>
      <c r="B19" s="56">
        <f>Entrate_Uscite!B39</f>
        <v>0</v>
      </c>
      <c r="C19" s="56">
        <f>Entrate_Uscite!E39</f>
        <v>0</v>
      </c>
      <c r="D19" s="56">
        <f>Entrate_Uscite!H39</f>
        <v>0</v>
      </c>
      <c r="E19" s="56">
        <f>Entrate_Uscite!K39</f>
        <v>0</v>
      </c>
      <c r="F19" s="56">
        <f>Entrate_Uscite!N39</f>
        <v>0</v>
      </c>
      <c r="G19" s="56">
        <f>Entrate_Uscite!Q39</f>
        <v>0</v>
      </c>
      <c r="H19" s="56">
        <f>Entrate_Uscite!T39</f>
        <v>0</v>
      </c>
      <c r="I19" s="56">
        <f>Entrate_Uscite!W39</f>
        <v>0</v>
      </c>
      <c r="J19" s="56">
        <f t="shared" si="0"/>
        <v>0</v>
      </c>
      <c r="K19" s="57" t="str">
        <f t="shared" si="1"/>
        <v>-</v>
      </c>
      <c r="L19" s="56">
        <f>Entrate_Uscite!X39</f>
        <v>0</v>
      </c>
      <c r="M19" s="58" t="str">
        <f t="shared" si="9"/>
        <v>-</v>
      </c>
    </row>
    <row r="20" spans="1:13" x14ac:dyDescent="0.3">
      <c r="A20" s="4" t="s">
        <v>288</v>
      </c>
      <c r="B20" s="43">
        <f t="shared" ref="B20:I20" si="10">SUM(B16:B19)</f>
        <v>0</v>
      </c>
      <c r="C20" s="43">
        <f t="shared" si="10"/>
        <v>0</v>
      </c>
      <c r="D20" s="43">
        <f t="shared" si="10"/>
        <v>0</v>
      </c>
      <c r="E20" s="43">
        <f t="shared" si="10"/>
        <v>0</v>
      </c>
      <c r="F20" s="43">
        <f t="shared" si="10"/>
        <v>0</v>
      </c>
      <c r="G20" s="43">
        <f t="shared" ref="G20:H20" si="11">SUM(G16:G19)</f>
        <v>0</v>
      </c>
      <c r="H20" s="43">
        <f t="shared" si="11"/>
        <v>0</v>
      </c>
      <c r="I20" s="43">
        <f t="shared" si="10"/>
        <v>0</v>
      </c>
      <c r="J20" s="43">
        <f t="shared" si="0"/>
        <v>0</v>
      </c>
      <c r="K20" s="44" t="str">
        <f t="shared" si="1"/>
        <v>-</v>
      </c>
      <c r="L20" s="43">
        <f>SUM(L16:L19)</f>
        <v>0</v>
      </c>
      <c r="M20" s="40" t="str">
        <f t="shared" si="9"/>
        <v>-</v>
      </c>
    </row>
    <row r="21" spans="1:13" x14ac:dyDescent="0.3">
      <c r="A21" s="47" t="s">
        <v>349</v>
      </c>
      <c r="B21" s="48">
        <f t="shared" ref="B21:I21" si="12">B10+B15+B20</f>
        <v>180609392.72</v>
      </c>
      <c r="C21" s="48">
        <f t="shared" si="12"/>
        <v>189723902.78</v>
      </c>
      <c r="D21" s="48">
        <f t="shared" si="12"/>
        <v>182213438.85999998</v>
      </c>
      <c r="E21" s="48">
        <f t="shared" si="12"/>
        <v>183882861.18000001</v>
      </c>
      <c r="F21" s="48">
        <f t="shared" si="12"/>
        <v>189145696.97999999</v>
      </c>
      <c r="G21" s="48">
        <f t="shared" ref="G21:H21" si="13">G10+G15+G20</f>
        <v>174185043.72000003</v>
      </c>
      <c r="H21" s="48">
        <f t="shared" si="13"/>
        <v>195928551.14000002</v>
      </c>
      <c r="I21" s="48">
        <f t="shared" si="12"/>
        <v>243987509.77000004</v>
      </c>
      <c r="J21" s="48">
        <f>I21/I$31*100</f>
        <v>90.684804232622156</v>
      </c>
      <c r="K21" s="49">
        <f t="shared" si="1"/>
        <v>24.528818464879933</v>
      </c>
      <c r="L21" s="48">
        <f>L10+L15+L20</f>
        <v>189006114.69999999</v>
      </c>
      <c r="M21" s="50">
        <f>IF(I21&gt;0,L21/I21*100,"-")</f>
        <v>77.465487835082442</v>
      </c>
    </row>
    <row r="22" spans="1:13" x14ac:dyDescent="0.3">
      <c r="A22" s="59" t="s">
        <v>289</v>
      </c>
      <c r="B22" s="60">
        <f>Entrate_Uscite!B40</f>
        <v>0</v>
      </c>
      <c r="C22" s="60">
        <f>Entrate_Uscite!E40</f>
        <v>0</v>
      </c>
      <c r="D22" s="60">
        <f>Entrate_Uscite!H40</f>
        <v>0</v>
      </c>
      <c r="E22" s="60">
        <f>Entrate_Uscite!K40</f>
        <v>0</v>
      </c>
      <c r="F22" s="60">
        <f>Entrate_Uscite!N40</f>
        <v>0</v>
      </c>
      <c r="G22" s="60">
        <f>Entrate_Uscite!Q40</f>
        <v>0</v>
      </c>
      <c r="H22" s="60">
        <f>Entrate_Uscite!T40</f>
        <v>0</v>
      </c>
      <c r="I22" s="60">
        <f>Entrate_Uscite!W40</f>
        <v>0</v>
      </c>
      <c r="J22" s="60">
        <f t="shared" si="0"/>
        <v>0</v>
      </c>
      <c r="K22" s="61" t="str">
        <f t="shared" si="1"/>
        <v>-</v>
      </c>
      <c r="L22" s="60">
        <f>Entrate_Uscite!X40</f>
        <v>0</v>
      </c>
      <c r="M22" s="58" t="str">
        <f t="shared" si="9"/>
        <v>-</v>
      </c>
    </row>
    <row r="23" spans="1:13" x14ac:dyDescent="0.3">
      <c r="A23" s="59" t="s">
        <v>290</v>
      </c>
      <c r="B23" s="60">
        <f>Entrate_Uscite!B41</f>
        <v>1370479.44</v>
      </c>
      <c r="C23" s="60">
        <f>Entrate_Uscite!E41</f>
        <v>1370479.44</v>
      </c>
      <c r="D23" s="60">
        <f>Entrate_Uscite!H41</f>
        <v>1370479.44</v>
      </c>
      <c r="E23" s="60">
        <f>Entrate_Uscite!K41</f>
        <v>1370479.44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0"/>
        <v>0</v>
      </c>
      <c r="K23" s="61" t="str">
        <f t="shared" si="1"/>
        <v>-</v>
      </c>
      <c r="L23" s="60">
        <f>Entrate_Uscite!X41</f>
        <v>0</v>
      </c>
      <c r="M23" s="58" t="str">
        <f t="shared" si="9"/>
        <v>-</v>
      </c>
    </row>
    <row r="24" spans="1:13" x14ac:dyDescent="0.3">
      <c r="A24" s="59" t="s">
        <v>291</v>
      </c>
      <c r="B24" s="60">
        <f>Entrate_Uscite!B42</f>
        <v>12796587.84</v>
      </c>
      <c r="C24" s="60">
        <f>Entrate_Uscite!E42</f>
        <v>12704064.279999999</v>
      </c>
      <c r="D24" s="60">
        <f>Entrate_Uscite!H42</f>
        <v>12907801.27</v>
      </c>
      <c r="E24" s="60">
        <f>Entrate_Uscite!K42</f>
        <v>18824314.329999998</v>
      </c>
      <c r="F24" s="60">
        <f>Entrate_Uscite!N42</f>
        <v>15911498.949999999</v>
      </c>
      <c r="G24" s="60">
        <f>Entrate_Uscite!Q42</f>
        <v>21256284.449999999</v>
      </c>
      <c r="H24" s="60">
        <f>Entrate_Uscite!T42</f>
        <v>28258834.399999999</v>
      </c>
      <c r="I24" s="60">
        <f>Entrate_Uscite!W42</f>
        <v>25062538.73</v>
      </c>
      <c r="J24" s="60">
        <f t="shared" si="0"/>
        <v>9.3151957673778298</v>
      </c>
      <c r="K24" s="61">
        <f t="shared" si="1"/>
        <v>-11.310783823412038</v>
      </c>
      <c r="L24" s="60">
        <f>Entrate_Uscite!X42</f>
        <v>25062538.73</v>
      </c>
      <c r="M24" s="58">
        <f t="shared" si="9"/>
        <v>100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0"/>
        <v>0</v>
      </c>
      <c r="K25" s="61" t="str">
        <f t="shared" si="1"/>
        <v>-</v>
      </c>
      <c r="L25" s="60">
        <f>Entrate_Uscite!X43</f>
        <v>0</v>
      </c>
      <c r="M25" s="58" t="str">
        <f t="shared" si="9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0"/>
        <v>0</v>
      </c>
      <c r="K26" s="61" t="str">
        <f t="shared" si="1"/>
        <v>-</v>
      </c>
      <c r="L26" s="60">
        <f>Entrate_Uscite!X44</f>
        <v>0</v>
      </c>
      <c r="M26" s="58" t="str">
        <f t="shared" si="9"/>
        <v>-</v>
      </c>
    </row>
    <row r="27" spans="1:13" x14ac:dyDescent="0.3">
      <c r="A27" s="4" t="s">
        <v>294</v>
      </c>
      <c r="B27" s="43">
        <f t="shared" ref="B27:I27" si="14">SUM(B22:B26)</f>
        <v>14167067.279999999</v>
      </c>
      <c r="C27" s="43">
        <f t="shared" si="14"/>
        <v>14074543.719999999</v>
      </c>
      <c r="D27" s="43">
        <f t="shared" si="14"/>
        <v>14278280.709999999</v>
      </c>
      <c r="E27" s="43">
        <f t="shared" si="14"/>
        <v>20194793.77</v>
      </c>
      <c r="F27" s="43">
        <f t="shared" si="14"/>
        <v>15911498.949999999</v>
      </c>
      <c r="G27" s="43">
        <f t="shared" ref="G27" si="15">SUM(G22:G26)</f>
        <v>21256284.449999999</v>
      </c>
      <c r="H27" s="43">
        <f t="shared" ref="H27" si="16">SUM(H22:H26)</f>
        <v>28258834.399999999</v>
      </c>
      <c r="I27" s="43">
        <f t="shared" si="14"/>
        <v>25062538.73</v>
      </c>
      <c r="J27" s="43">
        <f t="shared" si="0"/>
        <v>9.3151957673778298</v>
      </c>
      <c r="K27" s="44">
        <f t="shared" si="1"/>
        <v>-11.310783823412038</v>
      </c>
      <c r="L27" s="43">
        <f>SUM(L22:L26)</f>
        <v>25062538.73</v>
      </c>
      <c r="M27" s="45">
        <f>IF(I27&gt;0,L27/I27*100,"-")</f>
        <v>100</v>
      </c>
    </row>
    <row r="28" spans="1:13" x14ac:dyDescent="0.3">
      <c r="A28" s="4" t="s">
        <v>295</v>
      </c>
      <c r="B28" s="43">
        <f>Entrate_Uscite!B52</f>
        <v>127202807.81999999</v>
      </c>
      <c r="C28" s="43">
        <f>Entrate_Uscite!E52</f>
        <v>113167169.73999999</v>
      </c>
      <c r="D28" s="43">
        <f>Entrate_Uscite!H52</f>
        <v>117880743.5</v>
      </c>
      <c r="E28" s="43">
        <f>Entrate_Uscite!K52</f>
        <v>138877668.75</v>
      </c>
      <c r="F28" s="43">
        <f>Entrate_Uscite!N52</f>
        <v>131742693.28</v>
      </c>
      <c r="G28" s="43">
        <f>Entrate_Uscite!Q52</f>
        <v>14056134.01</v>
      </c>
      <c r="H28" s="43">
        <f>Entrate_Uscite!T52</f>
        <v>0</v>
      </c>
      <c r="I28" s="43">
        <f>Entrate_Uscite!W52</f>
        <v>0</v>
      </c>
      <c r="J28" s="43">
        <f t="shared" si="0"/>
        <v>0</v>
      </c>
      <c r="K28" s="44" t="str">
        <f t="shared" si="1"/>
        <v>-</v>
      </c>
      <c r="L28" s="43">
        <f>Entrate_Uscite!X52</f>
        <v>0</v>
      </c>
      <c r="M28" s="45" t="str">
        <f>IF(I28&gt;0,L28/I28*100,"-")</f>
        <v>-</v>
      </c>
    </row>
    <row r="29" spans="1:13" x14ac:dyDescent="0.3">
      <c r="A29" s="4" t="s">
        <v>296</v>
      </c>
      <c r="B29" s="43">
        <f>Entrate_Uscite!B53</f>
        <v>129895359.95999999</v>
      </c>
      <c r="C29" s="43">
        <f>Entrate_Uscite!E53</f>
        <v>45464505.82</v>
      </c>
      <c r="D29" s="43">
        <f>Entrate_Uscite!H53</f>
        <v>66191329.109999999</v>
      </c>
      <c r="E29" s="43">
        <f>Entrate_Uscite!K53</f>
        <v>71484499.49000001</v>
      </c>
      <c r="F29" s="43">
        <f>Entrate_Uscite!N53</f>
        <v>124347130.72000001</v>
      </c>
      <c r="G29" s="43">
        <f>Entrate_Uscite!Q53</f>
        <v>136320381.37</v>
      </c>
      <c r="H29" s="43">
        <f>Entrate_Uscite!T53</f>
        <v>20391084.84</v>
      </c>
      <c r="I29" s="43">
        <f>Entrate_Uscite!W53</f>
        <v>32133360.259999998</v>
      </c>
      <c r="J29" s="43"/>
      <c r="K29" s="44">
        <f t="shared" si="1"/>
        <v>57.585339436996833</v>
      </c>
      <c r="L29" s="43">
        <f>Entrate_Uscite!X53</f>
        <v>30582552.02</v>
      </c>
      <c r="M29" s="45">
        <f>IF(I29&gt;0,L29/I29*100,"-")</f>
        <v>95.173837322172432</v>
      </c>
    </row>
    <row r="30" spans="1:13" x14ac:dyDescent="0.3">
      <c r="A30" s="47" t="s">
        <v>69</v>
      </c>
      <c r="B30" s="48">
        <f t="shared" ref="B30:I30" si="17">B10+B15+B20+B27+B28+B29</f>
        <v>451874627.77999997</v>
      </c>
      <c r="C30" s="48">
        <f t="shared" si="17"/>
        <v>362430122.06</v>
      </c>
      <c r="D30" s="48">
        <f t="shared" si="17"/>
        <v>380563792.18000001</v>
      </c>
      <c r="E30" s="48">
        <f t="shared" si="17"/>
        <v>414439823.19000006</v>
      </c>
      <c r="F30" s="48">
        <f t="shared" si="17"/>
        <v>461147019.93000001</v>
      </c>
      <c r="G30" s="48">
        <f t="shared" ref="G30:H30" si="18">G10+G15+G20+G27+G28+G29</f>
        <v>345817843.55000001</v>
      </c>
      <c r="H30" s="48">
        <f t="shared" si="18"/>
        <v>244578470.38000003</v>
      </c>
      <c r="I30" s="48">
        <f t="shared" si="17"/>
        <v>301183408.76000005</v>
      </c>
      <c r="J30" s="48"/>
      <c r="K30" s="49">
        <f t="shared" si="1"/>
        <v>23.143876193212449</v>
      </c>
      <c r="L30" s="48">
        <f>L10+L15+L20+L27+L28+L29</f>
        <v>244651205.44999999</v>
      </c>
      <c r="M30" s="50">
        <f>IF(I30&gt;0,L30/I30*100,"-")</f>
        <v>81.229974272902894</v>
      </c>
    </row>
    <row r="31" spans="1:13" x14ac:dyDescent="0.3">
      <c r="A31" s="38" t="s">
        <v>70</v>
      </c>
      <c r="B31" s="51">
        <f t="shared" ref="B31:I31" si="19">B30-B29</f>
        <v>321979267.81999999</v>
      </c>
      <c r="C31" s="51">
        <f t="shared" si="19"/>
        <v>316965616.24000001</v>
      </c>
      <c r="D31" s="51">
        <f t="shared" si="19"/>
        <v>314372463.06999999</v>
      </c>
      <c r="E31" s="51">
        <f t="shared" si="19"/>
        <v>342955323.70000005</v>
      </c>
      <c r="F31" s="51">
        <f t="shared" si="19"/>
        <v>336799889.20999998</v>
      </c>
      <c r="G31" s="51">
        <f t="shared" ref="G31:H31" si="20">G30-G29</f>
        <v>209497462.18000001</v>
      </c>
      <c r="H31" s="51">
        <f t="shared" si="20"/>
        <v>224187385.54000002</v>
      </c>
      <c r="I31" s="51">
        <f t="shared" si="19"/>
        <v>269050048.50000006</v>
      </c>
      <c r="J31" s="51">
        <f t="shared" si="0"/>
        <v>100</v>
      </c>
      <c r="K31" s="52">
        <f t="shared" si="1"/>
        <v>20.01123428596992</v>
      </c>
      <c r="L31" s="51">
        <f>L30-L29</f>
        <v>214068653.42999998</v>
      </c>
      <c r="M31" s="53">
        <f>IF(I31&gt;0,L31/I31*100,"-")</f>
        <v>79.564621758468078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A30" sqref="A30"/>
    </sheetView>
  </sheetViews>
  <sheetFormatPr defaultRowHeight="14.4" x14ac:dyDescent="0.3"/>
  <cols>
    <col min="1" max="1" width="40.44140625" customWidth="1"/>
    <col min="2" max="10" width="12.5546875" bestFit="1" customWidth="1"/>
    <col min="11" max="11" width="11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34809613.469999999</v>
      </c>
      <c r="C2" s="64">
        <f>Entrate_Uscite!E56</f>
        <v>31632947.00999999</v>
      </c>
      <c r="D2" s="64">
        <f>Entrate_Uscite!H56</f>
        <v>35932277.940000027</v>
      </c>
      <c r="E2" s="64">
        <f>Entrate_Uscite!K56</f>
        <v>51867582.699999988</v>
      </c>
      <c r="F2" s="64">
        <f>Entrate_Uscite!N56</f>
        <v>130942181.87000003</v>
      </c>
      <c r="G2" s="64">
        <f>Entrate_Uscite!Q56</f>
        <v>97712403.669999987</v>
      </c>
      <c r="H2" s="64">
        <f>Entrate_Uscite!T56</f>
        <v>84687433.860000014</v>
      </c>
      <c r="I2" s="64">
        <f>Entrate_Uscite!W56</f>
        <v>72906147.98999998</v>
      </c>
      <c r="J2" s="64">
        <f>I2-H2</f>
        <v>-11781285.870000035</v>
      </c>
      <c r="K2" s="64">
        <f>Entrate_Uscite!X56</f>
        <v>2058722.1400000304</v>
      </c>
    </row>
    <row r="3" spans="1:11" x14ac:dyDescent="0.3">
      <c r="A3" s="62" t="s">
        <v>72</v>
      </c>
      <c r="B3" s="65">
        <f>Entrate_Uscite!B57</f>
        <v>38198886.11999999</v>
      </c>
      <c r="C3" s="65">
        <f>Entrate_Uscite!E57</f>
        <v>2623965.1899999976</v>
      </c>
      <c r="D3" s="65">
        <f>Entrate_Uscite!H57</f>
        <v>-3558770.8100000024</v>
      </c>
      <c r="E3" s="65">
        <f>Entrate_Uscite!K57</f>
        <v>-8707784.3600000069</v>
      </c>
      <c r="F3" s="65">
        <f>Entrate_Uscite!N57</f>
        <v>-5904687.4099999964</v>
      </c>
      <c r="G3" s="65">
        <f>Entrate_Uscite!Q57</f>
        <v>57915694.88000001</v>
      </c>
      <c r="H3" s="65">
        <f>Entrate_Uscite!T57</f>
        <v>35053895.359999999</v>
      </c>
      <c r="I3" s="65">
        <f>Entrate_Uscite!W57</f>
        <v>11607190.329999968</v>
      </c>
      <c r="J3" s="64">
        <f t="shared" ref="J3:J6" si="0">I3-H3</f>
        <v>-23446705.030000031</v>
      </c>
      <c r="K3" s="64">
        <f>Entrate_Uscite!X57</f>
        <v>21066051.870000012</v>
      </c>
    </row>
    <row r="4" spans="1:11" x14ac:dyDescent="0.3">
      <c r="A4" s="62" t="s">
        <v>301</v>
      </c>
      <c r="B4" s="65">
        <f>Entrate_Uscite!B16-Entrate_Uscite!B50</f>
        <v>140640</v>
      </c>
      <c r="C4" s="65">
        <f>Entrate_Uscite!E16-Entrate_Uscite!E50</f>
        <v>0</v>
      </c>
      <c r="D4" s="65">
        <f>Entrate_Uscite!H16-Entrate_Uscite!H50</f>
        <v>0</v>
      </c>
      <c r="E4" s="65">
        <f>Entrate_Uscite!K16-Entrate_Uscite!K50</f>
        <v>0</v>
      </c>
      <c r="F4" s="65">
        <f>Entrate_Uscite!N16-Entrate_Uscite!N50</f>
        <v>50000</v>
      </c>
      <c r="G4" s="65">
        <f>Entrate_Uscite!Q16-Entrate_Uscite!Q50</f>
        <v>0</v>
      </c>
      <c r="H4" s="65">
        <f>Entrate_Uscite!T16-Entrate_Uscite!T50</f>
        <v>0</v>
      </c>
      <c r="I4" s="65">
        <f>Entrate_Uscite!W16-Entrate_Uscite!W50</f>
        <v>0</v>
      </c>
      <c r="J4" s="64">
        <f t="shared" si="0"/>
        <v>0</v>
      </c>
      <c r="K4" s="65">
        <f>Entrate_Uscite!X16-Entrate_Uscite!X50</f>
        <v>0</v>
      </c>
    </row>
    <row r="5" spans="1:11" x14ac:dyDescent="0.3">
      <c r="A5" s="47" t="s">
        <v>299</v>
      </c>
      <c r="B5" s="66">
        <f>Entrate_Uscite!B58</f>
        <v>73149139.590000004</v>
      </c>
      <c r="C5" s="66">
        <f>Entrate_Uscite!E58</f>
        <v>34256912.199999988</v>
      </c>
      <c r="D5" s="66">
        <f>Entrate_Uscite!H58</f>
        <v>32373507.130000025</v>
      </c>
      <c r="E5" s="66">
        <f>Entrate_Uscite!K58</f>
        <v>43159798.339999974</v>
      </c>
      <c r="F5" s="66">
        <f>Entrate_Uscite!N58</f>
        <v>125087494.46000007</v>
      </c>
      <c r="G5" s="66">
        <f>Entrate_Uscite!Q58</f>
        <v>155628098.54999995</v>
      </c>
      <c r="H5" s="66">
        <f>Entrate_Uscite!T58</f>
        <v>119741329.22</v>
      </c>
      <c r="I5" s="66">
        <f>Entrate_Uscite!W58</f>
        <v>84513338.319999933</v>
      </c>
      <c r="J5" s="66">
        <f t="shared" si="0"/>
        <v>-35227990.900000066</v>
      </c>
      <c r="K5" s="66">
        <f>Entrate_Uscite!X58</f>
        <v>23124774.01000005</v>
      </c>
    </row>
    <row r="6" spans="1:11" x14ac:dyDescent="0.3">
      <c r="A6" s="38" t="s">
        <v>300</v>
      </c>
      <c r="B6" s="67">
        <f>Entrate_Uscite!B59</f>
        <v>66850058.910000026</v>
      </c>
      <c r="C6" s="67">
        <f>Entrate_Uscite!E59</f>
        <v>20182368.479999959</v>
      </c>
      <c r="D6" s="67">
        <f>Entrate_Uscite!H59</f>
        <v>18095226.420000017</v>
      </c>
      <c r="E6" s="67">
        <f>Entrate_Uscite!K59</f>
        <v>22965004.569999933</v>
      </c>
      <c r="F6" s="67">
        <f>Entrate_Uscite!N59</f>
        <v>138346971.81000012</v>
      </c>
      <c r="G6" s="67">
        <f>Entrate_Uscite!Q59</f>
        <v>134371814.09999996</v>
      </c>
      <c r="H6" s="67">
        <f>Entrate_Uscite!T59</f>
        <v>91482494.819999993</v>
      </c>
      <c r="I6" s="67">
        <f>Entrate_Uscite!W59</f>
        <v>59450799.589999914</v>
      </c>
      <c r="J6" s="67">
        <f t="shared" si="0"/>
        <v>-32031695.230000079</v>
      </c>
      <c r="K6" s="67">
        <f>Entrate_Uscite!X59</f>
        <v>-1937764.7199999392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10" width="13.5546875" bestFit="1" customWidth="1"/>
    <col min="13" max="13" width="10" bestFit="1" customWidth="1"/>
  </cols>
  <sheetData>
    <row r="1" spans="1:10" x14ac:dyDescent="0.3">
      <c r="A1" s="41"/>
      <c r="B1" s="96">
        <v>2015</v>
      </c>
      <c r="C1" s="96">
        <v>2016</v>
      </c>
      <c r="D1" s="96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0" x14ac:dyDescent="0.3">
      <c r="A2" t="s">
        <v>5</v>
      </c>
      <c r="B2" s="1">
        <v>1905065.65</v>
      </c>
      <c r="C2" s="1">
        <v>1148307.56</v>
      </c>
      <c r="D2" s="1">
        <v>864236.85</v>
      </c>
      <c r="E2" s="1">
        <v>2129172.21</v>
      </c>
      <c r="F2" s="1">
        <v>1384044.21</v>
      </c>
      <c r="G2" s="1">
        <v>21574145.710000001</v>
      </c>
      <c r="H2" s="1">
        <v>73651810.319999993</v>
      </c>
      <c r="I2" s="1">
        <v>127821049.58</v>
      </c>
      <c r="J2" s="1">
        <v>135271348.31999999</v>
      </c>
    </row>
    <row r="3" spans="1:10" x14ac:dyDescent="0.3">
      <c r="A3" t="s">
        <v>6</v>
      </c>
      <c r="B3" s="1">
        <v>556096016.52999997</v>
      </c>
      <c r="C3" s="1">
        <v>570250447.74000001</v>
      </c>
      <c r="D3" s="1">
        <v>583147880.58000004</v>
      </c>
      <c r="E3" s="1">
        <v>540317213.86000001</v>
      </c>
      <c r="F3" s="1">
        <v>574098811.25</v>
      </c>
      <c r="G3" s="1">
        <v>622813781.35000002</v>
      </c>
      <c r="H3" s="1">
        <v>675200536.30999994</v>
      </c>
      <c r="I3" s="1">
        <v>700370268.32000005</v>
      </c>
      <c r="J3" s="1">
        <v>715739494.48000002</v>
      </c>
    </row>
    <row r="4" spans="1:10" x14ac:dyDescent="0.3">
      <c r="A4" t="s">
        <v>7</v>
      </c>
      <c r="B4" s="1">
        <v>333523579.02999997</v>
      </c>
      <c r="C4" s="1">
        <v>242001182.47999999</v>
      </c>
      <c r="D4" s="1">
        <v>245369461.69</v>
      </c>
      <c r="E4" s="1">
        <v>247964841.58000001</v>
      </c>
      <c r="F4" s="1">
        <v>280927788.77999997</v>
      </c>
      <c r="G4" s="1">
        <v>214177510.02000001</v>
      </c>
      <c r="H4" s="1">
        <v>193803586.08000001</v>
      </c>
      <c r="I4" s="1">
        <v>185526771.03999999</v>
      </c>
      <c r="J4" s="1">
        <v>167817252.06</v>
      </c>
    </row>
    <row r="5" spans="1:10" x14ac:dyDescent="0.3">
      <c r="A5" t="s">
        <v>8</v>
      </c>
      <c r="B5" s="1">
        <v>9198898.6600000001</v>
      </c>
      <c r="C5" s="1">
        <v>13101987.91</v>
      </c>
      <c r="D5" s="1">
        <v>6481243.6100000003</v>
      </c>
      <c r="E5" s="1">
        <v>6828073.9400000004</v>
      </c>
      <c r="F5" s="1">
        <v>2701151.13</v>
      </c>
      <c r="G5" s="1">
        <v>4526266.7300000004</v>
      </c>
      <c r="H5" s="1">
        <v>2563808.52</v>
      </c>
      <c r="I5" s="1">
        <v>2339871.08</v>
      </c>
      <c r="J5" s="1">
        <v>4284908.07</v>
      </c>
    </row>
    <row r="6" spans="1:10" x14ac:dyDescent="0.3">
      <c r="A6" t="s">
        <v>9</v>
      </c>
      <c r="B6" s="1">
        <v>20393930.43</v>
      </c>
      <c r="C6" s="1">
        <v>39308715.039999999</v>
      </c>
      <c r="D6" s="1">
        <v>37927960.149999999</v>
      </c>
      <c r="E6" s="1">
        <v>26815680.460000001</v>
      </c>
      <c r="F6" s="1">
        <v>19622644.100000001</v>
      </c>
      <c r="G6" s="1">
        <v>4366069.6100000003</v>
      </c>
      <c r="H6" s="1">
        <v>6043924.3099999996</v>
      </c>
      <c r="I6" s="1">
        <v>11215697.289999999</v>
      </c>
      <c r="J6" s="1">
        <v>16819339.289999999</v>
      </c>
    </row>
    <row r="7" spans="1:10" x14ac:dyDescent="0.3">
      <c r="A7" s="4" t="s">
        <v>0</v>
      </c>
      <c r="B7" s="3">
        <f t="shared" ref="B7" si="0">B2+B3-B4-B5-B6</f>
        <v>194884674.05999997</v>
      </c>
      <c r="C7" s="3">
        <f t="shared" ref="C7:D7" si="1">C2+C3-C4-C5-C6</f>
        <v>276986869.86999989</v>
      </c>
      <c r="D7" s="3">
        <f t="shared" si="1"/>
        <v>294233451.98000008</v>
      </c>
      <c r="E7" s="3">
        <f t="shared" ref="E7:F7" si="2">E2+E3-E4-E5-E6</f>
        <v>260837790.09</v>
      </c>
      <c r="F7" s="3">
        <f t="shared" si="2"/>
        <v>272231271.45000005</v>
      </c>
      <c r="G7" s="3">
        <f t="shared" ref="G7:J7" si="3">G2+G3-G4-G5-G6</f>
        <v>421318080.70000005</v>
      </c>
      <c r="H7" s="3">
        <f t="shared" ref="H7:I7" si="4">H2+H3-H4-H5-H6</f>
        <v>546441027.71999991</v>
      </c>
      <c r="I7" s="3">
        <f t="shared" si="4"/>
        <v>629108978.49000013</v>
      </c>
      <c r="J7" s="3">
        <f t="shared" si="3"/>
        <v>662089343.38</v>
      </c>
    </row>
    <row r="8" spans="1:10" x14ac:dyDescent="0.3">
      <c r="A8" t="s">
        <v>10</v>
      </c>
      <c r="B8" s="1">
        <v>331247167.82999998</v>
      </c>
      <c r="C8" s="1">
        <v>289211936.94999999</v>
      </c>
      <c r="D8" s="1">
        <v>299747286.20999998</v>
      </c>
      <c r="E8" s="1">
        <v>299802178</v>
      </c>
      <c r="F8" s="1">
        <v>361338758.89999998</v>
      </c>
      <c r="G8" s="1">
        <v>398275531.52999997</v>
      </c>
      <c r="H8" s="1">
        <v>439743269.04000002</v>
      </c>
      <c r="I8" s="1">
        <v>484041581.36000001</v>
      </c>
      <c r="J8" s="1">
        <v>497287243.68000001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183633745.41999999</v>
      </c>
      <c r="G9" s="1">
        <v>251458541.80000001</v>
      </c>
      <c r="H9" s="1">
        <v>201124767.22</v>
      </c>
      <c r="I9" s="1">
        <v>195475483.00999999</v>
      </c>
      <c r="J9" s="1">
        <v>189747626.22999999</v>
      </c>
    </row>
    <row r="10" spans="1:10" x14ac:dyDescent="0.3">
      <c r="A10" t="s">
        <v>12</v>
      </c>
      <c r="B10" s="1">
        <v>0</v>
      </c>
      <c r="C10" s="1">
        <v>0</v>
      </c>
      <c r="D10" s="1">
        <v>0</v>
      </c>
      <c r="E10" s="1">
        <v>223670</v>
      </c>
      <c r="F10" s="1">
        <v>223670</v>
      </c>
      <c r="G10" s="1">
        <v>223670</v>
      </c>
      <c r="H10" s="1">
        <v>223670</v>
      </c>
      <c r="I10" s="1">
        <v>223670</v>
      </c>
      <c r="J10" s="1">
        <v>284367.46999999997</v>
      </c>
    </row>
    <row r="11" spans="1:10" x14ac:dyDescent="0.3">
      <c r="A11" t="s">
        <v>13</v>
      </c>
      <c r="B11" s="1">
        <v>0</v>
      </c>
      <c r="C11" s="1">
        <v>1481000</v>
      </c>
      <c r="D11" s="1">
        <v>3557000</v>
      </c>
      <c r="E11" s="1">
        <v>5293390.04</v>
      </c>
      <c r="F11" s="1">
        <v>6793390.04</v>
      </c>
      <c r="G11" s="1">
        <v>9873390.0399999991</v>
      </c>
      <c r="H11" s="1">
        <v>14723390.039999999</v>
      </c>
      <c r="I11" s="1">
        <v>22500000</v>
      </c>
      <c r="J11" s="1">
        <v>26691760.09</v>
      </c>
    </row>
    <row r="12" spans="1:10" x14ac:dyDescent="0.3">
      <c r="A12" t="s">
        <v>14</v>
      </c>
      <c r="B12" s="1">
        <v>0</v>
      </c>
      <c r="C12" s="1">
        <f>283860+51343903.9+8589.17</f>
        <v>51636353.07</v>
      </c>
      <c r="D12" s="1">
        <f>283860+49573424.46+12543.02</f>
        <v>49869827.480000004</v>
      </c>
      <c r="E12" s="1">
        <v>47879631.859999999</v>
      </c>
      <c r="F12" s="1">
        <v>46198676.549999997</v>
      </c>
      <c r="G12" s="1">
        <v>146597.44</v>
      </c>
      <c r="H12" s="1">
        <v>51981068.539999999</v>
      </c>
      <c r="I12" s="1">
        <v>45898632.399999999</v>
      </c>
      <c r="J12" s="1">
        <v>56569828.829999998</v>
      </c>
    </row>
    <row r="13" spans="1:10" x14ac:dyDescent="0.3">
      <c r="A13" s="4" t="s">
        <v>1</v>
      </c>
      <c r="B13" s="3">
        <f t="shared" ref="B13" si="5">SUM(B8:B12)</f>
        <v>331247167.82999998</v>
      </c>
      <c r="C13" s="3">
        <f t="shared" ref="C13:D13" si="6">SUM(C8:C12)</f>
        <v>342329290.01999998</v>
      </c>
      <c r="D13" s="3">
        <f t="shared" si="6"/>
        <v>353174113.69</v>
      </c>
      <c r="E13" s="3">
        <f t="shared" ref="E13:J13" si="7">SUM(E8:E12)</f>
        <v>353198869.90000004</v>
      </c>
      <c r="F13" s="3">
        <f t="shared" si="7"/>
        <v>598188240.90999985</v>
      </c>
      <c r="G13" s="3">
        <f t="shared" si="7"/>
        <v>659977730.80999994</v>
      </c>
      <c r="H13" s="3">
        <f t="shared" si="7"/>
        <v>707796164.83999991</v>
      </c>
      <c r="I13" s="3">
        <f t="shared" si="7"/>
        <v>748139366.76999998</v>
      </c>
      <c r="J13" s="3">
        <f t="shared" si="7"/>
        <v>770580826.30000007</v>
      </c>
    </row>
    <row r="14" spans="1:10" x14ac:dyDescent="0.3">
      <c r="A14" t="s">
        <v>16</v>
      </c>
      <c r="B14" s="1">
        <v>1393079.07</v>
      </c>
      <c r="C14" s="1">
        <v>5485311.8600000003</v>
      </c>
      <c r="D14" s="1">
        <v>5169613.58</v>
      </c>
      <c r="E14" s="1">
        <v>6958751.3600000003</v>
      </c>
      <c r="F14" s="1">
        <v>7525744.6399999997</v>
      </c>
      <c r="G14" s="1">
        <v>14183037.949999999</v>
      </c>
      <c r="H14" s="1">
        <v>17425698.609999999</v>
      </c>
      <c r="I14" s="1">
        <v>11217292.880000001</v>
      </c>
      <c r="J14" s="1">
        <v>11129546.640000001</v>
      </c>
    </row>
    <row r="15" spans="1:10" x14ac:dyDescent="0.3">
      <c r="A15" t="s">
        <v>15</v>
      </c>
      <c r="B15" s="1">
        <v>9781156.6899999995</v>
      </c>
      <c r="C15" s="1">
        <v>83362455.019999996</v>
      </c>
      <c r="D15" s="1">
        <v>77811589.980000004</v>
      </c>
      <c r="E15" s="1">
        <v>34533595.259999998</v>
      </c>
      <c r="F15" s="1">
        <v>31029321.91</v>
      </c>
      <c r="G15" s="1">
        <v>50002636.390000001</v>
      </c>
      <c r="H15" s="1">
        <v>55164434.770000003</v>
      </c>
      <c r="I15" s="1">
        <v>69035356.120000005</v>
      </c>
      <c r="J15" s="1">
        <v>55226187.68</v>
      </c>
    </row>
    <row r="16" spans="1:10" x14ac:dyDescent="0.3">
      <c r="A16" t="s">
        <v>17</v>
      </c>
      <c r="B16" s="1">
        <v>1819348.97</v>
      </c>
      <c r="C16" s="1">
        <v>33280018.57</v>
      </c>
      <c r="D16" s="1">
        <v>37857218.170000002</v>
      </c>
      <c r="E16" s="1">
        <v>38517832.600000001</v>
      </c>
      <c r="F16" s="1">
        <v>32874603.09</v>
      </c>
      <c r="G16" s="1">
        <v>33084566.190000001</v>
      </c>
      <c r="H16" s="1">
        <v>31973539.809999999</v>
      </c>
      <c r="I16" s="1">
        <v>34342675.299999997</v>
      </c>
      <c r="J16" s="1">
        <v>33588176.990000002</v>
      </c>
    </row>
    <row r="17" spans="1:10" x14ac:dyDescent="0.3">
      <c r="A17" t="s">
        <v>18</v>
      </c>
      <c r="B17" s="1">
        <v>0</v>
      </c>
      <c r="C17" s="1">
        <v>104892.52</v>
      </c>
      <c r="D17" s="1">
        <v>0</v>
      </c>
      <c r="E17" s="1">
        <v>0</v>
      </c>
      <c r="F17" s="1">
        <v>273832.40000000002</v>
      </c>
      <c r="G17" s="1">
        <v>1373832.4</v>
      </c>
      <c r="H17" s="1">
        <v>273832.40000000002</v>
      </c>
      <c r="I17" s="1">
        <v>273832.40000000002</v>
      </c>
      <c r="J17" s="1">
        <v>273832.40000000002</v>
      </c>
    </row>
    <row r="18" spans="1:10" x14ac:dyDescent="0.3">
      <c r="A18" t="s">
        <v>19</v>
      </c>
      <c r="B18" s="1">
        <v>53270273.93</v>
      </c>
      <c r="C18" s="1">
        <v>0</v>
      </c>
      <c r="D18" s="1">
        <v>156789.54</v>
      </c>
      <c r="E18" s="1">
        <v>154796.94</v>
      </c>
      <c r="F18" s="1">
        <v>154796.94</v>
      </c>
      <c r="G18" s="1">
        <v>154796.94</v>
      </c>
      <c r="H18" s="1">
        <v>154796.94</v>
      </c>
      <c r="I18" s="1">
        <v>315652.75</v>
      </c>
      <c r="J18" s="1">
        <v>245006.21</v>
      </c>
    </row>
    <row r="19" spans="1:10" x14ac:dyDescent="0.3">
      <c r="A19" s="4" t="s">
        <v>2</v>
      </c>
      <c r="B19" s="3">
        <f t="shared" ref="B19" si="8">SUM(B14:B18)</f>
        <v>66263858.659999996</v>
      </c>
      <c r="C19" s="3">
        <f t="shared" ref="C19:D19" si="9">SUM(C14:C18)</f>
        <v>122232677.96999998</v>
      </c>
      <c r="D19" s="3">
        <f t="shared" si="9"/>
        <v>120995211.27000001</v>
      </c>
      <c r="E19" s="3">
        <f t="shared" ref="E19:J19" si="10">SUM(E14:E18)</f>
        <v>80164976.159999996</v>
      </c>
      <c r="F19" s="3">
        <f t="shared" si="10"/>
        <v>71858298.980000004</v>
      </c>
      <c r="G19" s="3">
        <f t="shared" si="10"/>
        <v>98798869.870000005</v>
      </c>
      <c r="H19" s="3">
        <f t="shared" si="10"/>
        <v>104992302.53</v>
      </c>
      <c r="I19" s="3">
        <f t="shared" si="10"/>
        <v>115184809.45</v>
      </c>
      <c r="J19" s="3">
        <f t="shared" si="10"/>
        <v>100462749.92</v>
      </c>
    </row>
    <row r="20" spans="1:10" x14ac:dyDescent="0.3">
      <c r="A20" s="4" t="s">
        <v>3</v>
      </c>
      <c r="B20" s="3">
        <v>4113442.32</v>
      </c>
      <c r="C20" s="3">
        <v>1551992.11</v>
      </c>
      <c r="D20" s="3">
        <v>1383658.59</v>
      </c>
      <c r="E20" s="3">
        <v>1502762.81</v>
      </c>
      <c r="F20" s="3">
        <v>1623492.18</v>
      </c>
      <c r="G20" s="3">
        <v>1541973.81</v>
      </c>
      <c r="H20" s="3">
        <v>1041973.81</v>
      </c>
      <c r="I20" s="3">
        <v>2175504.2599999998</v>
      </c>
      <c r="J20" s="3">
        <v>2175504.2599999998</v>
      </c>
    </row>
    <row r="21" spans="1:10" x14ac:dyDescent="0.3">
      <c r="A21" s="70" t="s">
        <v>4</v>
      </c>
      <c r="B21" s="37">
        <f t="shared" ref="B21:C21" si="11">B7-B13-B19-B20</f>
        <v>-206739794.75</v>
      </c>
      <c r="C21" s="37">
        <f t="shared" si="11"/>
        <v>-189127090.23000008</v>
      </c>
      <c r="D21" s="37">
        <f t="shared" ref="D21:J21" si="12">D7-D13-D19-D20</f>
        <v>-181319531.56999993</v>
      </c>
      <c r="E21" s="37">
        <f t="shared" si="12"/>
        <v>-174028818.78000003</v>
      </c>
      <c r="F21" s="37">
        <f t="shared" si="12"/>
        <v>-399438760.61999983</v>
      </c>
      <c r="G21" s="37">
        <f t="shared" si="12"/>
        <v>-339000493.7899999</v>
      </c>
      <c r="H21" s="37">
        <f t="shared" si="12"/>
        <v>-267389413.46000001</v>
      </c>
      <c r="I21" s="37">
        <f t="shared" ref="I21" si="13">I7-I13-I19-I20</f>
        <v>-236390701.98999983</v>
      </c>
      <c r="J21" s="37">
        <f t="shared" si="12"/>
        <v>-211129737.10000008</v>
      </c>
    </row>
    <row r="22" spans="1:10" x14ac:dyDescent="0.3">
      <c r="A22" t="s">
        <v>355</v>
      </c>
      <c r="B22" s="1"/>
      <c r="C22" s="1">
        <v>-92941796.980000004</v>
      </c>
      <c r="D22" s="1">
        <v>-58336480.57</v>
      </c>
      <c r="E22" s="1">
        <v>-87578756.989999995</v>
      </c>
      <c r="F22" s="1">
        <v>-31752234.350000001</v>
      </c>
      <c r="G22" s="1">
        <v>-21150378.879999999</v>
      </c>
      <c r="H22" s="1">
        <v>-14856763.92</v>
      </c>
      <c r="I22" s="1">
        <v>-29027565.489999998</v>
      </c>
      <c r="J22" s="1">
        <v>-37077537.340000004</v>
      </c>
    </row>
    <row r="23" spans="1:10" x14ac:dyDescent="0.3">
      <c r="A23" t="s">
        <v>356</v>
      </c>
      <c r="B23" s="6">
        <f t="shared" ref="B23:F23" si="14">B8/B3*100</f>
        <v>59.566542104897458</v>
      </c>
      <c r="C23" s="6">
        <f t="shared" si="14"/>
        <v>50.716652322886603</v>
      </c>
      <c r="D23" s="6">
        <f t="shared" si="14"/>
        <v>51.40159060714938</v>
      </c>
      <c r="E23" s="6">
        <f t="shared" si="14"/>
        <v>55.486327348008722</v>
      </c>
      <c r="F23" s="6">
        <f t="shared" si="14"/>
        <v>62.94016845519117</v>
      </c>
      <c r="G23" s="6">
        <f t="shared" ref="G23:J23" si="15">G8/G3*100</f>
        <v>63.947771140629719</v>
      </c>
      <c r="H23" s="6">
        <f t="shared" ref="H23:I23" si="16">H8/H3*100</f>
        <v>65.1278020961322</v>
      </c>
      <c r="I23" s="6">
        <f t="shared" si="16"/>
        <v>69.112240089957794</v>
      </c>
      <c r="J23" s="6">
        <f t="shared" si="15"/>
        <v>69.47880444145251</v>
      </c>
    </row>
  </sheetData>
  <conditionalFormatting sqref="C21:F21 J21">
    <cfRule type="cellIs" dxfId="109" priority="24" operator="greaterThan">
      <formula>0</formula>
    </cfRule>
  </conditionalFormatting>
  <conditionalFormatting sqref="C21:F21 J21">
    <cfRule type="cellIs" dxfId="108" priority="21" operator="greaterThan">
      <formula>0</formula>
    </cfRule>
    <cfRule type="cellIs" dxfId="107" priority="22" operator="lessThan">
      <formula>0</formula>
    </cfRule>
  </conditionalFormatting>
  <conditionalFormatting sqref="B21">
    <cfRule type="cellIs" dxfId="106" priority="15" operator="greaterThan">
      <formula>0</formula>
    </cfRule>
  </conditionalFormatting>
  <conditionalFormatting sqref="B21">
    <cfRule type="cellIs" dxfId="105" priority="13" operator="greaterThan">
      <formula>0</formula>
    </cfRule>
    <cfRule type="cellIs" dxfId="104" priority="14" operator="lessThan">
      <formula>0</formula>
    </cfRule>
  </conditionalFormatting>
  <conditionalFormatting sqref="G21">
    <cfRule type="cellIs" dxfId="103" priority="9" operator="greaterThan">
      <formula>0</formula>
    </cfRule>
  </conditionalFormatting>
  <conditionalFormatting sqref="G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H21">
    <cfRule type="cellIs" dxfId="100" priority="6" operator="greaterThan">
      <formula>0</formula>
    </cfRule>
  </conditionalFormatting>
  <conditionalFormatting sqref="H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I21">
    <cfRule type="cellIs" dxfId="97" priority="3" operator="greaterThan">
      <formula>0</formula>
    </cfRule>
  </conditionalFormatting>
  <conditionalFormatting sqref="I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J2" sqref="J2:J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1.88671875" bestFit="1" customWidth="1"/>
    <col min="4" max="7" width="11.109375" bestFit="1" customWidth="1"/>
    <col min="8" max="10" width="11.5546875" bestFit="1" customWidth="1"/>
    <col min="11" max="11" width="12.33203125" bestFit="1" customWidth="1"/>
  </cols>
  <sheetData>
    <row r="1" spans="1:11" x14ac:dyDescent="0.3">
      <c r="C1" s="100">
        <v>2016</v>
      </c>
      <c r="D1" s="12">
        <v>2017</v>
      </c>
      <c r="E1" s="12">
        <v>2018</v>
      </c>
      <c r="F1" s="12">
        <v>2019</v>
      </c>
      <c r="G1" s="12">
        <v>2020</v>
      </c>
      <c r="H1" s="12">
        <v>2021</v>
      </c>
      <c r="I1" s="12">
        <v>2022</v>
      </c>
      <c r="J1" s="12">
        <v>2023</v>
      </c>
      <c r="K1" s="12" t="s">
        <v>266</v>
      </c>
    </row>
    <row r="2" spans="1:11" x14ac:dyDescent="0.3">
      <c r="A2" t="s">
        <v>236</v>
      </c>
      <c r="B2" s="26" t="s">
        <v>260</v>
      </c>
      <c r="C2" s="1">
        <v>92406754.609999999</v>
      </c>
      <c r="D2" s="1">
        <v>99856765.299999997</v>
      </c>
      <c r="E2" s="1">
        <v>95043741.439999998</v>
      </c>
      <c r="F2" s="1">
        <v>107776711.81</v>
      </c>
      <c r="G2" s="1">
        <v>85591507.980000004</v>
      </c>
      <c r="H2" s="1">
        <v>99735280.400000006</v>
      </c>
      <c r="I2" s="1">
        <v>102808973.3</v>
      </c>
      <c r="J2" s="1">
        <v>110656484.04000001</v>
      </c>
      <c r="K2" s="1">
        <f>J2-I2</f>
        <v>7847510.7400000095</v>
      </c>
    </row>
    <row r="3" spans="1:11" x14ac:dyDescent="0.3">
      <c r="A3" t="s">
        <v>237</v>
      </c>
      <c r="B3" s="26" t="s">
        <v>260</v>
      </c>
      <c r="C3" s="1">
        <v>25555907.460000001</v>
      </c>
      <c r="D3" s="1">
        <v>26061341.489999998</v>
      </c>
      <c r="E3" s="1">
        <v>25664901</v>
      </c>
      <c r="F3" s="1">
        <v>25664901</v>
      </c>
      <c r="G3" s="1">
        <v>26238408.57</v>
      </c>
      <c r="H3" s="1">
        <v>28727350.93</v>
      </c>
      <c r="I3" s="1">
        <v>29678638.370000001</v>
      </c>
      <c r="J3" s="1">
        <v>30963299.219999999</v>
      </c>
      <c r="K3" s="1">
        <f t="shared" ref="K3:K29" si="0">J3-I3</f>
        <v>1284660.8499999978</v>
      </c>
    </row>
    <row r="4" spans="1:11" x14ac:dyDescent="0.3">
      <c r="A4" t="s">
        <v>238</v>
      </c>
      <c r="B4" s="26" t="s">
        <v>260</v>
      </c>
      <c r="C4" s="1">
        <v>80548683.769999996</v>
      </c>
      <c r="D4" s="1">
        <v>49433466.369999997</v>
      </c>
      <c r="E4" s="1">
        <v>41606287.280000001</v>
      </c>
      <c r="F4" s="1">
        <v>44983883.950000003</v>
      </c>
      <c r="G4" s="1">
        <v>136472053.41</v>
      </c>
      <c r="H4" s="1">
        <v>81120151.230000004</v>
      </c>
      <c r="I4" s="1">
        <v>77758083.079999998</v>
      </c>
      <c r="J4" s="1">
        <v>115386324.76000001</v>
      </c>
      <c r="K4" s="1">
        <f t="shared" si="0"/>
        <v>37628241.680000007</v>
      </c>
    </row>
    <row r="5" spans="1:11" x14ac:dyDescent="0.3">
      <c r="A5" t="s">
        <v>239</v>
      </c>
      <c r="B5" s="26" t="s">
        <v>260</v>
      </c>
      <c r="C5" s="1">
        <v>35971321.579999998</v>
      </c>
      <c r="D5" s="1">
        <v>32915330.199999999</v>
      </c>
      <c r="E5" s="1">
        <v>36943636.07</v>
      </c>
      <c r="F5" s="1">
        <v>37506763.799999997</v>
      </c>
      <c r="G5" s="1">
        <v>34061526.82</v>
      </c>
      <c r="H5" s="1">
        <v>37997798.710000001</v>
      </c>
      <c r="I5" s="1">
        <v>36743658.960000001</v>
      </c>
      <c r="J5" s="1">
        <v>18143219.440000001</v>
      </c>
      <c r="K5" s="1">
        <f t="shared" si="0"/>
        <v>-18600439.52</v>
      </c>
    </row>
    <row r="6" spans="1:11" x14ac:dyDescent="0.3">
      <c r="A6" t="s">
        <v>240</v>
      </c>
      <c r="B6" s="26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6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6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32" t="s">
        <v>243</v>
      </c>
      <c r="B9" s="33" t="s">
        <v>260</v>
      </c>
      <c r="C9" s="34">
        <v>14427638.960000001</v>
      </c>
      <c r="D9" s="34">
        <v>7460653.9199999999</v>
      </c>
      <c r="E9" s="34">
        <v>8978518.9499999993</v>
      </c>
      <c r="F9" s="34">
        <v>6474581.7199999997</v>
      </c>
      <c r="G9" s="34">
        <v>20852727.890000001</v>
      </c>
      <c r="H9" s="1">
        <v>16907211.280000001</v>
      </c>
      <c r="I9" s="1">
        <v>16092035.77</v>
      </c>
      <c r="J9" s="1">
        <v>19738920</v>
      </c>
      <c r="K9" s="1">
        <f t="shared" si="0"/>
        <v>3646884.2300000004</v>
      </c>
    </row>
    <row r="10" spans="1:11" x14ac:dyDescent="0.3">
      <c r="A10" s="35" t="s">
        <v>264</v>
      </c>
      <c r="B10" s="36" t="s">
        <v>260</v>
      </c>
      <c r="C10" s="94">
        <f t="shared" ref="C10:E10" si="1">SUM(C2:C9)</f>
        <v>248910306.37999997</v>
      </c>
      <c r="D10" s="94">
        <f t="shared" si="1"/>
        <v>215727557.27999997</v>
      </c>
      <c r="E10" s="94">
        <f t="shared" si="1"/>
        <v>208237084.73999998</v>
      </c>
      <c r="F10" s="94">
        <f t="shared" ref="F10" si="2">SUM(F2:F9)</f>
        <v>222406842.28</v>
      </c>
      <c r="G10" s="94">
        <f t="shared" ref="G10:J10" si="3">SUM(G2:G9)</f>
        <v>303216224.67000002</v>
      </c>
      <c r="H10" s="94">
        <f t="shared" ref="H10:I10" si="4">SUM(H2:H9)</f>
        <v>264487792.55000001</v>
      </c>
      <c r="I10" s="94">
        <f t="shared" si="4"/>
        <v>263081389.48000002</v>
      </c>
      <c r="J10" s="94">
        <f t="shared" si="3"/>
        <v>294888247.45999998</v>
      </c>
      <c r="K10" s="11">
        <f t="shared" si="0"/>
        <v>31806857.979999959</v>
      </c>
    </row>
    <row r="11" spans="1:11" x14ac:dyDescent="0.3">
      <c r="A11" t="s">
        <v>244</v>
      </c>
      <c r="B11" s="26" t="s">
        <v>261</v>
      </c>
      <c r="C11" s="1">
        <v>1567402.87</v>
      </c>
      <c r="D11" s="1">
        <v>1034177.03</v>
      </c>
      <c r="E11" s="1">
        <v>777652.2</v>
      </c>
      <c r="F11" s="1">
        <v>636495.74</v>
      </c>
      <c r="G11" s="1">
        <v>607628.21</v>
      </c>
      <c r="H11" s="1">
        <v>633427.81000000006</v>
      </c>
      <c r="I11" s="1">
        <v>759293.62</v>
      </c>
      <c r="J11" s="1">
        <v>890535.3</v>
      </c>
      <c r="K11" s="1">
        <f t="shared" si="0"/>
        <v>131241.68000000005</v>
      </c>
    </row>
    <row r="12" spans="1:11" x14ac:dyDescent="0.3">
      <c r="A12" t="s">
        <v>245</v>
      </c>
      <c r="B12" s="26" t="s">
        <v>261</v>
      </c>
      <c r="C12" s="1">
        <v>70859100.609999999</v>
      </c>
      <c r="D12" s="1">
        <v>76713174.530000001</v>
      </c>
      <c r="E12" s="1">
        <v>82130518.840000004</v>
      </c>
      <c r="F12" s="1">
        <v>79151499.019999996</v>
      </c>
      <c r="G12" s="1">
        <v>75325382.189999998</v>
      </c>
      <c r="H12" s="1">
        <v>83362911.570000008</v>
      </c>
      <c r="I12" s="1">
        <v>101027039.59999999</v>
      </c>
      <c r="J12" s="1">
        <v>89389094.420000002</v>
      </c>
      <c r="K12" s="1">
        <f t="shared" si="0"/>
        <v>-11637945.179999992</v>
      </c>
    </row>
    <row r="13" spans="1:11" x14ac:dyDescent="0.3">
      <c r="A13" t="s">
        <v>246</v>
      </c>
      <c r="B13" s="26" t="s">
        <v>261</v>
      </c>
      <c r="C13" s="1">
        <v>964411.41</v>
      </c>
      <c r="D13" s="1">
        <v>1020514.45</v>
      </c>
      <c r="E13" s="1">
        <v>795144.51</v>
      </c>
      <c r="F13" s="1">
        <v>725874.63</v>
      </c>
      <c r="G13" s="1">
        <v>679217.63</v>
      </c>
      <c r="H13" s="1">
        <f>413894.43+90411.62+3056.44+2094.95+70450.32+93604.59</f>
        <v>673512.35</v>
      </c>
      <c r="I13" s="1">
        <v>1114658.21</v>
      </c>
      <c r="J13" s="1">
        <v>711848.83</v>
      </c>
      <c r="K13" s="1">
        <f t="shared" si="0"/>
        <v>-402809.38</v>
      </c>
    </row>
    <row r="14" spans="1:11" x14ac:dyDescent="0.3">
      <c r="A14" t="s">
        <v>247</v>
      </c>
      <c r="B14" s="26" t="s">
        <v>261</v>
      </c>
      <c r="C14" s="1">
        <v>12867846.83</v>
      </c>
      <c r="D14" s="1">
        <v>10282821.32</v>
      </c>
      <c r="E14" s="1">
        <v>13203915.279999999</v>
      </c>
      <c r="F14" s="1">
        <v>9943522.7599999998</v>
      </c>
      <c r="G14" s="1">
        <v>13906150.68</v>
      </c>
      <c r="H14" s="1">
        <f>17225112.34+284000</f>
        <v>17509112.34</v>
      </c>
      <c r="I14" s="1">
        <v>16395930.34</v>
      </c>
      <c r="J14" s="1">
        <v>19768306.050000001</v>
      </c>
      <c r="K14" s="1">
        <f t="shared" si="0"/>
        <v>3372375.7100000009</v>
      </c>
    </row>
    <row r="15" spans="1:11" x14ac:dyDescent="0.3">
      <c r="A15" t="s">
        <v>248</v>
      </c>
      <c r="B15" s="26" t="s">
        <v>261</v>
      </c>
      <c r="C15" s="1">
        <v>35446687.549999997</v>
      </c>
      <c r="D15" s="1">
        <v>35019455.689999998</v>
      </c>
      <c r="E15" s="1">
        <v>34747751.420000002</v>
      </c>
      <c r="F15" s="1">
        <v>30972739.84</v>
      </c>
      <c r="G15" s="1">
        <v>28263195.329999998</v>
      </c>
      <c r="H15" s="1">
        <v>28282101.600000001</v>
      </c>
      <c r="I15" s="1">
        <v>30961073.149999999</v>
      </c>
      <c r="J15" s="1">
        <v>30084067.379999999</v>
      </c>
      <c r="K15" s="1">
        <f t="shared" si="0"/>
        <v>-877005.76999999955</v>
      </c>
    </row>
    <row r="16" spans="1:11" x14ac:dyDescent="0.3">
      <c r="A16" t="s">
        <v>249</v>
      </c>
      <c r="B16" s="26" t="s">
        <v>261</v>
      </c>
      <c r="C16" s="1">
        <v>292725489.22000003</v>
      </c>
      <c r="D16" s="1">
        <v>14142901.4</v>
      </c>
      <c r="E16" s="1">
        <v>4298945.09</v>
      </c>
      <c r="F16" s="1">
        <v>78637539.390000001</v>
      </c>
      <c r="G16" s="1">
        <v>46382369.579999998</v>
      </c>
      <c r="H16" s="107">
        <v>49137093.479999997</v>
      </c>
      <c r="I16" s="1">
        <v>44542928.060000002</v>
      </c>
      <c r="J16" s="1">
        <v>26719656.870000001</v>
      </c>
      <c r="K16" s="1">
        <f t="shared" si="0"/>
        <v>-17823271.190000001</v>
      </c>
    </row>
    <row r="17" spans="1:12" x14ac:dyDescent="0.3">
      <c r="A17" t="s">
        <v>250</v>
      </c>
      <c r="B17" s="26" t="s">
        <v>261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f t="shared" si="0"/>
        <v>0</v>
      </c>
    </row>
    <row r="18" spans="1:12" x14ac:dyDescent="0.3">
      <c r="A18" t="s">
        <v>251</v>
      </c>
      <c r="B18" s="26" t="s">
        <v>261</v>
      </c>
      <c r="C18" s="1">
        <v>1481000</v>
      </c>
      <c r="D18" s="1">
        <v>2076000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0</v>
      </c>
    </row>
    <row r="19" spans="1:12" x14ac:dyDescent="0.3">
      <c r="A19" t="s">
        <v>14</v>
      </c>
      <c r="B19" s="26" t="s">
        <v>261</v>
      </c>
      <c r="C19" s="1">
        <v>288154.58</v>
      </c>
      <c r="D19" s="1">
        <v>3953.85</v>
      </c>
      <c r="E19" s="1">
        <v>53173021.899999999</v>
      </c>
      <c r="F19" s="1">
        <v>0</v>
      </c>
      <c r="G19" s="1">
        <v>1239744.6299999999</v>
      </c>
      <c r="H19" s="1">
        <v>8807726.6500000004</v>
      </c>
      <c r="I19" s="1">
        <v>11399150.800000001</v>
      </c>
      <c r="J19" s="1">
        <v>19657788.989999998</v>
      </c>
      <c r="K19" s="1">
        <f t="shared" si="0"/>
        <v>8258638.1899999976</v>
      </c>
    </row>
    <row r="20" spans="1:12" x14ac:dyDescent="0.3">
      <c r="A20" s="32" t="s">
        <v>252</v>
      </c>
      <c r="B20" s="33" t="s">
        <v>261</v>
      </c>
      <c r="C20" s="34">
        <v>17639687.420000002</v>
      </c>
      <c r="D20" s="34">
        <v>18096018.329999998</v>
      </c>
      <c r="E20" s="34">
        <v>11363458.26</v>
      </c>
      <c r="F20" s="34">
        <v>7875486.2000000002</v>
      </c>
      <c r="G20" s="34">
        <v>8756691.3399999999</v>
      </c>
      <c r="H20" s="1">
        <v>10104292.18</v>
      </c>
      <c r="I20" s="1">
        <v>6380957.1200000001</v>
      </c>
      <c r="J20" s="1">
        <v>8231676.3799999999</v>
      </c>
      <c r="K20" s="1">
        <f t="shared" si="0"/>
        <v>1850719.2599999998</v>
      </c>
    </row>
    <row r="21" spans="1:12" x14ac:dyDescent="0.3">
      <c r="A21" s="35" t="s">
        <v>265</v>
      </c>
      <c r="B21" s="36" t="s">
        <v>261</v>
      </c>
      <c r="C21" s="94">
        <f>SUM(C11:C20)</f>
        <v>433839780.49000001</v>
      </c>
      <c r="D21" s="94">
        <f t="shared" ref="D21:E21" si="5">SUM(D11:D20)</f>
        <v>158389016.60000002</v>
      </c>
      <c r="E21" s="94">
        <f t="shared" si="5"/>
        <v>200490407.5</v>
      </c>
      <c r="F21" s="94">
        <f t="shared" ref="F21" si="6">SUM(F11:F20)</f>
        <v>207943157.57999998</v>
      </c>
      <c r="G21" s="94">
        <f t="shared" ref="G21:J21" si="7">SUM(G11:G20)</f>
        <v>175160379.58999997</v>
      </c>
      <c r="H21" s="94">
        <f t="shared" ref="H21:I21" si="8">SUM(H11:H20)</f>
        <v>198510177.98000002</v>
      </c>
      <c r="I21" s="94">
        <f t="shared" si="8"/>
        <v>212581030.90000001</v>
      </c>
      <c r="J21" s="94">
        <f t="shared" si="7"/>
        <v>195452974.22</v>
      </c>
      <c r="K21" s="11">
        <f t="shared" si="0"/>
        <v>-17128056.680000007</v>
      </c>
    </row>
    <row r="22" spans="1:12" x14ac:dyDescent="0.3">
      <c r="A22" t="s">
        <v>253</v>
      </c>
      <c r="B22" s="26" t="s">
        <v>260</v>
      </c>
      <c r="C22" s="1">
        <v>189941.39</v>
      </c>
      <c r="D22" s="1">
        <v>125254.92</v>
      </c>
      <c r="E22" s="1">
        <v>108698.81</v>
      </c>
      <c r="F22" s="1">
        <v>339292.85</v>
      </c>
      <c r="G22" s="1">
        <v>1113425.76</v>
      </c>
      <c r="H22" s="107">
        <v>499588.52</v>
      </c>
      <c r="I22" s="1">
        <v>828449.5</v>
      </c>
      <c r="J22" s="1">
        <v>2506442.81</v>
      </c>
      <c r="K22" s="1">
        <f t="shared" si="0"/>
        <v>1677993.31</v>
      </c>
    </row>
    <row r="23" spans="1:12" x14ac:dyDescent="0.3">
      <c r="A23" t="s">
        <v>254</v>
      </c>
      <c r="B23" s="26" t="s">
        <v>261</v>
      </c>
      <c r="C23" s="1">
        <v>9595713.5</v>
      </c>
      <c r="D23" s="1">
        <v>9242470.7699999996</v>
      </c>
      <c r="E23" s="1">
        <v>9013246.0899999999</v>
      </c>
      <c r="F23" s="1">
        <v>14791892.130000001</v>
      </c>
      <c r="G23" s="1">
        <v>14693150.039999999</v>
      </c>
      <c r="H23" s="1">
        <v>13694643.57</v>
      </c>
      <c r="I23" s="1">
        <v>12501396.189999999</v>
      </c>
      <c r="J23" s="1">
        <v>9861635.3399999999</v>
      </c>
      <c r="K23" s="1">
        <f t="shared" si="0"/>
        <v>-2639760.8499999996</v>
      </c>
    </row>
    <row r="24" spans="1:12" x14ac:dyDescent="0.3">
      <c r="A24" t="s">
        <v>255</v>
      </c>
      <c r="B24" s="26" t="s">
        <v>260</v>
      </c>
      <c r="C24" s="1">
        <v>0</v>
      </c>
      <c r="D24" s="1">
        <v>0</v>
      </c>
      <c r="E24" s="1">
        <v>-14644857.09</v>
      </c>
      <c r="F24" s="1">
        <v>0</v>
      </c>
      <c r="G24" s="1">
        <v>0</v>
      </c>
      <c r="H24" s="1">
        <v>0</v>
      </c>
      <c r="I24" s="1">
        <v>0</v>
      </c>
      <c r="J24" s="1">
        <v>-1760640.63</v>
      </c>
      <c r="K24" s="1">
        <f t="shared" si="0"/>
        <v>-1760640.63</v>
      </c>
    </row>
    <row r="25" spans="1:12" x14ac:dyDescent="0.3">
      <c r="A25" t="s">
        <v>256</v>
      </c>
      <c r="B25" s="26" t="s">
        <v>260</v>
      </c>
      <c r="C25" s="1">
        <v>16528211.93</v>
      </c>
      <c r="D25" s="1">
        <v>9611204.6999999993</v>
      </c>
      <c r="E25" s="1">
        <v>77340030.689999998</v>
      </c>
      <c r="F25" s="1">
        <v>41724472.189999998</v>
      </c>
      <c r="G25" s="1">
        <v>53721652.299999997</v>
      </c>
      <c r="H25" s="107">
        <v>75071874.670000002</v>
      </c>
      <c r="I25" s="1">
        <v>36842359.659999996</v>
      </c>
      <c r="J25" s="1">
        <v>36514016.810000002</v>
      </c>
      <c r="K25" s="1">
        <f t="shared" si="0"/>
        <v>-328342.84999999404</v>
      </c>
    </row>
    <row r="26" spans="1:12" x14ac:dyDescent="0.3">
      <c r="A26" t="s">
        <v>257</v>
      </c>
      <c r="B26" s="26" t="s">
        <v>261</v>
      </c>
      <c r="C26" s="1">
        <v>97510629.159999996</v>
      </c>
      <c r="D26" s="1">
        <v>59909425.780000001</v>
      </c>
      <c r="E26" s="1">
        <v>151957906.06999999</v>
      </c>
      <c r="F26" s="1">
        <v>56136924.700000003</v>
      </c>
      <c r="G26" s="1">
        <v>31203870.100000001</v>
      </c>
      <c r="H26" s="107">
        <v>33041665.449999999</v>
      </c>
      <c r="I26" s="1">
        <v>40072405.68</v>
      </c>
      <c r="J26" s="1">
        <v>41446471.789999999</v>
      </c>
      <c r="K26" s="1">
        <f t="shared" si="0"/>
        <v>1374066.1099999994</v>
      </c>
    </row>
    <row r="27" spans="1:12" x14ac:dyDescent="0.3">
      <c r="A27" t="s">
        <v>258</v>
      </c>
      <c r="B27" s="26" t="s">
        <v>261</v>
      </c>
      <c r="C27" s="1">
        <v>2140182.96</v>
      </c>
      <c r="D27" s="1">
        <v>2016373.02</v>
      </c>
      <c r="E27" s="1">
        <v>2103688.12</v>
      </c>
      <c r="F27" s="1">
        <v>1844484.56</v>
      </c>
      <c r="G27" s="1">
        <v>1694879.43</v>
      </c>
      <c r="H27" s="1">
        <v>1732637.91</v>
      </c>
      <c r="I27" s="1">
        <v>1922790.07</v>
      </c>
      <c r="J27" s="1">
        <v>1844101.41</v>
      </c>
      <c r="K27" s="1">
        <f t="shared" si="0"/>
        <v>-78688.660000000149</v>
      </c>
    </row>
    <row r="28" spans="1:12" x14ac:dyDescent="0.3">
      <c r="A28" s="10" t="s">
        <v>259</v>
      </c>
      <c r="B28" s="36" t="s">
        <v>262</v>
      </c>
      <c r="C28" s="37">
        <f>C10-C21+C22-C23+C24+C25-C26-C27</f>
        <v>-277457846.41000003</v>
      </c>
      <c r="D28" s="37">
        <f t="shared" ref="D28:E28" si="9">D10-D21+D22-D23+D24+D25-D26-D27</f>
        <v>-4093269.2700000447</v>
      </c>
      <c r="E28" s="37">
        <f t="shared" si="9"/>
        <v>-92524290.630000025</v>
      </c>
      <c r="F28" s="37">
        <f t="shared" ref="F28" si="10">F10-F21+F22-F23+F24+F25-F26-F27</f>
        <v>-16245851.649999989</v>
      </c>
      <c r="G28" s="37">
        <f t="shared" ref="G28:J28" si="11">G10-G21+G22-G23+G24+G25-G26-G27</f>
        <v>135299023.57000002</v>
      </c>
      <c r="H28" s="37">
        <f t="shared" ref="H28:I28" si="12">H10-H21+H22-H23+H24+H25-H26-H27</f>
        <v>93080130.829999998</v>
      </c>
      <c r="I28" s="37">
        <f t="shared" si="12"/>
        <v>33674575.800000012</v>
      </c>
      <c r="J28" s="37">
        <f t="shared" si="11"/>
        <v>83542883.689999998</v>
      </c>
      <c r="K28" s="37">
        <f t="shared" si="0"/>
        <v>49868307.889999986</v>
      </c>
    </row>
    <row r="29" spans="1:12" x14ac:dyDescent="0.3">
      <c r="A29" s="72" t="s">
        <v>366</v>
      </c>
      <c r="B29" s="108"/>
      <c r="C29" s="109">
        <f>C10-SUM(C11:C15)+C17</f>
        <v>127204857.10999997</v>
      </c>
      <c r="D29" s="109">
        <f t="shared" ref="D29:J29" si="13">D10-SUM(D11:D15)+D17</f>
        <v>91657414.259999961</v>
      </c>
      <c r="E29" s="109">
        <f t="shared" si="13"/>
        <v>76582102.489999965</v>
      </c>
      <c r="F29" s="109">
        <f t="shared" si="13"/>
        <v>100976710.29000001</v>
      </c>
      <c r="G29" s="109">
        <f t="shared" si="13"/>
        <v>184434650.63000005</v>
      </c>
      <c r="H29" s="109">
        <f t="shared" si="13"/>
        <v>134026726.88</v>
      </c>
      <c r="I29" s="109">
        <f t="shared" ref="I29" si="14">I10-SUM(I11:I15)+I17</f>
        <v>112823394.56000003</v>
      </c>
      <c r="J29" s="109">
        <f t="shared" si="13"/>
        <v>154044395.47999999</v>
      </c>
      <c r="K29" s="109">
        <f t="shared" si="0"/>
        <v>41221000.919999957</v>
      </c>
      <c r="L29" s="109"/>
    </row>
  </sheetData>
  <conditionalFormatting sqref="C28:F28 K28">
    <cfRule type="cellIs" dxfId="94" priority="21" operator="greaterThan">
      <formula>0</formula>
    </cfRule>
  </conditionalFormatting>
  <conditionalFormatting sqref="G28 J28">
    <cfRule type="cellIs" dxfId="93" priority="11" operator="greaterThan">
      <formula>0</formula>
    </cfRule>
  </conditionalFormatting>
  <conditionalFormatting sqref="H28">
    <cfRule type="cellIs" dxfId="92" priority="10" operator="greaterThan">
      <formula>0</formula>
    </cfRule>
  </conditionalFormatting>
  <conditionalFormatting sqref="C29:H29 J29:L29">
    <cfRule type="cellIs" dxfId="91" priority="9" operator="greaterThan">
      <formula>0</formula>
    </cfRule>
  </conditionalFormatting>
  <conditionalFormatting sqref="C29:H29 J29:K29">
    <cfRule type="cellIs" dxfId="90" priority="8" operator="greaterThan">
      <formula>0</formula>
    </cfRule>
  </conditionalFormatting>
  <conditionalFormatting sqref="C29:H29 J29:K29">
    <cfRule type="cellIs" dxfId="89" priority="7" operator="greaterThan">
      <formula>0</formula>
    </cfRule>
  </conditionalFormatting>
  <conditionalFormatting sqref="C29:H29 J29:K29">
    <cfRule type="cellIs" dxfId="88" priority="6" operator="greaterThan">
      <formula>0</formula>
    </cfRule>
  </conditionalFormatting>
  <conditionalFormatting sqref="I28">
    <cfRule type="cellIs" dxfId="87" priority="5" operator="greaterThan">
      <formula>0</formula>
    </cfRule>
  </conditionalFormatting>
  <conditionalFormatting sqref="I29">
    <cfRule type="cellIs" dxfId="86" priority="4" operator="greaterThan">
      <formula>0</formula>
    </cfRule>
  </conditionalFormatting>
  <conditionalFormatting sqref="I29">
    <cfRule type="cellIs" dxfId="85" priority="3" operator="greaterThan">
      <formula>0</formula>
    </cfRule>
  </conditionalFormatting>
  <conditionalFormatting sqref="I29">
    <cfRule type="cellIs" dxfId="84" priority="2" operator="greaterThan">
      <formula>0</formula>
    </cfRule>
  </conditionalFormatting>
  <conditionalFormatting sqref="I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9" width="13.33203125" bestFit="1" customWidth="1"/>
    <col min="10" max="10" width="12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</row>
    <row r="2" spans="1:11" x14ac:dyDescent="0.3">
      <c r="A2" s="71" t="s">
        <v>346</v>
      </c>
      <c r="B2" s="64">
        <f>Conto_economico!C10</f>
        <v>248910306.37999997</v>
      </c>
      <c r="C2" s="64">
        <f>Conto_economico!D10</f>
        <v>215727557.27999997</v>
      </c>
      <c r="D2" s="64">
        <f>Conto_economico!E10</f>
        <v>208237084.73999998</v>
      </c>
      <c r="E2" s="64">
        <f>Conto_economico!F10</f>
        <v>222406842.28</v>
      </c>
      <c r="F2" s="64">
        <f>Conto_economico!G10</f>
        <v>303216224.67000002</v>
      </c>
      <c r="G2" s="64">
        <f>Conto_economico!H10</f>
        <v>264487792.55000001</v>
      </c>
      <c r="H2" s="64">
        <f>Conto_economico!I10</f>
        <v>263081389.48000002</v>
      </c>
      <c r="I2" s="64">
        <f>Conto_economico!J10</f>
        <v>294888247.45999998</v>
      </c>
      <c r="J2" s="64">
        <f t="shared" ref="J2:J16" si="0">I2-H2</f>
        <v>31806857.979999959</v>
      </c>
    </row>
    <row r="3" spans="1:11" x14ac:dyDescent="0.3">
      <c r="A3" s="71" t="s">
        <v>341</v>
      </c>
      <c r="B3" s="64">
        <f>Conto_economico!C2</f>
        <v>92406754.609999999</v>
      </c>
      <c r="C3" s="64">
        <f>Conto_economico!D2</f>
        <v>99856765.299999997</v>
      </c>
      <c r="D3" s="64">
        <f>Conto_economico!E2</f>
        <v>95043741.439999998</v>
      </c>
      <c r="E3" s="64">
        <f>Conto_economico!F2</f>
        <v>107776711.81</v>
      </c>
      <c r="F3" s="64">
        <f>Conto_economico!G2</f>
        <v>85591507.980000004</v>
      </c>
      <c r="G3" s="64">
        <f>Conto_economico!H2</f>
        <v>99735280.400000006</v>
      </c>
      <c r="H3" s="64">
        <f>Conto_economico!I2</f>
        <v>102808973.3</v>
      </c>
      <c r="I3" s="64">
        <f>Conto_economico!J2</f>
        <v>110656484.04000001</v>
      </c>
      <c r="J3" s="64">
        <f t="shared" si="0"/>
        <v>7847510.7400000095</v>
      </c>
    </row>
    <row r="4" spans="1:11" x14ac:dyDescent="0.3">
      <c r="A4" s="71" t="s">
        <v>342</v>
      </c>
      <c r="B4" s="64">
        <f>Conto_economico!C4</f>
        <v>80548683.769999996</v>
      </c>
      <c r="C4" s="64">
        <f>Conto_economico!D4</f>
        <v>49433466.369999997</v>
      </c>
      <c r="D4" s="64">
        <f>Conto_economico!E4</f>
        <v>41606287.280000001</v>
      </c>
      <c r="E4" s="64">
        <f>Conto_economico!F4</f>
        <v>44983883.950000003</v>
      </c>
      <c r="F4" s="64">
        <f>Conto_economico!G4</f>
        <v>136472053.41</v>
      </c>
      <c r="G4" s="64">
        <f>Conto_economico!H4</f>
        <v>81120151.230000004</v>
      </c>
      <c r="H4" s="64">
        <f>Conto_economico!I4</f>
        <v>77758083.079999998</v>
      </c>
      <c r="I4" s="64">
        <f>Conto_economico!J4</f>
        <v>115386324.76000001</v>
      </c>
      <c r="J4" s="64">
        <f t="shared" si="0"/>
        <v>37628241.680000007</v>
      </c>
    </row>
    <row r="5" spans="1:11" x14ac:dyDescent="0.3">
      <c r="A5" s="71" t="s">
        <v>347</v>
      </c>
      <c r="B5" s="65">
        <f>Conto_economico!C21</f>
        <v>433839780.49000001</v>
      </c>
      <c r="C5" s="65">
        <f>Conto_economico!D21</f>
        <v>158389016.60000002</v>
      </c>
      <c r="D5" s="65">
        <f>Conto_economico!E21</f>
        <v>200490407.5</v>
      </c>
      <c r="E5" s="65">
        <f>Conto_economico!F21</f>
        <v>207943157.57999998</v>
      </c>
      <c r="F5" s="65">
        <f>Conto_economico!G21</f>
        <v>175160379.58999997</v>
      </c>
      <c r="G5" s="65">
        <f>Conto_economico!H21</f>
        <v>198510177.98000002</v>
      </c>
      <c r="H5" s="65">
        <f>Conto_economico!I21</f>
        <v>212581030.90000001</v>
      </c>
      <c r="I5" s="65">
        <f>Conto_economico!J21</f>
        <v>195452974.22</v>
      </c>
      <c r="J5" s="64">
        <f t="shared" si="0"/>
        <v>-17128056.680000007</v>
      </c>
    </row>
    <row r="6" spans="1:11" x14ac:dyDescent="0.3">
      <c r="A6" s="71" t="s">
        <v>343</v>
      </c>
      <c r="B6" s="64">
        <f>Conto_economico!C12</f>
        <v>70859100.609999999</v>
      </c>
      <c r="C6" s="64">
        <f>Conto_economico!D12</f>
        <v>76713174.530000001</v>
      </c>
      <c r="D6" s="64">
        <f>Conto_economico!E12</f>
        <v>82130518.840000004</v>
      </c>
      <c r="E6" s="64">
        <f>Conto_economico!F12</f>
        <v>79151499.019999996</v>
      </c>
      <c r="F6" s="64">
        <f>Conto_economico!G12</f>
        <v>75325382.189999998</v>
      </c>
      <c r="G6" s="64">
        <f>Conto_economico!H12</f>
        <v>83362911.570000008</v>
      </c>
      <c r="H6" s="64">
        <f>Conto_economico!I12</f>
        <v>101027039.59999999</v>
      </c>
      <c r="I6" s="64">
        <f>Conto_economico!J12</f>
        <v>89389094.420000002</v>
      </c>
      <c r="J6" s="64">
        <f t="shared" si="0"/>
        <v>-11637945.179999992</v>
      </c>
    </row>
    <row r="7" spans="1:11" x14ac:dyDescent="0.3">
      <c r="A7" s="71" t="s">
        <v>344</v>
      </c>
      <c r="B7" s="64">
        <f>Conto_economico!C15</f>
        <v>35446687.549999997</v>
      </c>
      <c r="C7" s="64">
        <f>Conto_economico!D15</f>
        <v>35019455.689999998</v>
      </c>
      <c r="D7" s="64">
        <f>Conto_economico!E15</f>
        <v>34747751.420000002</v>
      </c>
      <c r="E7" s="64">
        <f>Conto_economico!F15</f>
        <v>30972739.84</v>
      </c>
      <c r="F7" s="64">
        <f>Conto_economico!G15</f>
        <v>28263195.329999998</v>
      </c>
      <c r="G7" s="64">
        <f>Conto_economico!H15</f>
        <v>28282101.600000001</v>
      </c>
      <c r="H7" s="64">
        <f>Conto_economico!I15</f>
        <v>30961073.149999999</v>
      </c>
      <c r="I7" s="64">
        <f>Conto_economico!J15</f>
        <v>30084067.379999999</v>
      </c>
      <c r="J7" s="64">
        <f t="shared" si="0"/>
        <v>-877005.76999999955</v>
      </c>
    </row>
    <row r="8" spans="1:11" x14ac:dyDescent="0.3">
      <c r="A8" s="71" t="s">
        <v>345</v>
      </c>
      <c r="B8" s="64">
        <f>Conto_economico!C16</f>
        <v>292725489.22000003</v>
      </c>
      <c r="C8" s="64">
        <f>Conto_economico!D16</f>
        <v>14142901.4</v>
      </c>
      <c r="D8" s="64">
        <f>Conto_economico!E16</f>
        <v>4298945.09</v>
      </c>
      <c r="E8" s="64">
        <f>Conto_economico!F16</f>
        <v>78637539.390000001</v>
      </c>
      <c r="F8" s="64">
        <f>Conto_economico!G16</f>
        <v>46382369.579999998</v>
      </c>
      <c r="G8" s="64">
        <f>Conto_economico!H16</f>
        <v>49137093.479999997</v>
      </c>
      <c r="H8" s="64">
        <f>Conto_economico!I16</f>
        <v>44542928.060000002</v>
      </c>
      <c r="I8" s="64">
        <f>Conto_economico!J16</f>
        <v>26719656.870000001</v>
      </c>
      <c r="J8" s="64">
        <f t="shared" si="0"/>
        <v>-17823271.190000001</v>
      </c>
    </row>
    <row r="9" spans="1:11" x14ac:dyDescent="0.3">
      <c r="A9" s="47" t="s">
        <v>366</v>
      </c>
      <c r="B9" s="66">
        <f>Conto_economico!C29</f>
        <v>127204857.10999997</v>
      </c>
      <c r="C9" s="66">
        <f>Conto_economico!D29</f>
        <v>91657414.259999961</v>
      </c>
      <c r="D9" s="66">
        <f>Conto_economico!E29</f>
        <v>76582102.489999965</v>
      </c>
      <c r="E9" s="66">
        <f>Conto_economico!F29</f>
        <v>100976710.29000001</v>
      </c>
      <c r="F9" s="66">
        <f>Conto_economico!G29</f>
        <v>184434650.63000005</v>
      </c>
      <c r="G9" s="66">
        <f>Conto_economico!H29</f>
        <v>134026726.88</v>
      </c>
      <c r="H9" s="66">
        <f>Conto_economico!I29</f>
        <v>112823394.56000003</v>
      </c>
      <c r="I9" s="66">
        <f>Conto_economico!J29</f>
        <v>154044395.47999999</v>
      </c>
      <c r="J9" s="66">
        <f t="shared" si="0"/>
        <v>41221000.919999957</v>
      </c>
      <c r="K9" s="66"/>
    </row>
    <row r="10" spans="1:11" x14ac:dyDescent="0.3">
      <c r="A10" s="47" t="s">
        <v>307</v>
      </c>
      <c r="B10" s="66">
        <f t="shared" ref="B10:D10" si="1">B2-B5</f>
        <v>-184929474.11000004</v>
      </c>
      <c r="C10" s="66">
        <f t="shared" si="1"/>
        <v>57338540.679999948</v>
      </c>
      <c r="D10" s="66">
        <f t="shared" si="1"/>
        <v>7746677.2399999797</v>
      </c>
      <c r="E10" s="66">
        <f t="shared" ref="E10:I10" si="2">E2-E5</f>
        <v>14463684.700000018</v>
      </c>
      <c r="F10" s="66">
        <f t="shared" ref="F10:H10" si="3">F2-F5</f>
        <v>128055845.08000004</v>
      </c>
      <c r="G10" s="66">
        <f t="shared" si="3"/>
        <v>65977614.569999993</v>
      </c>
      <c r="H10" s="66">
        <f t="shared" si="3"/>
        <v>50500358.580000013</v>
      </c>
      <c r="I10" s="66">
        <f t="shared" si="2"/>
        <v>99435273.23999998</v>
      </c>
      <c r="J10" s="66">
        <f t="shared" si="0"/>
        <v>48934914.659999967</v>
      </c>
    </row>
    <row r="11" spans="1:11" x14ac:dyDescent="0.3">
      <c r="A11" s="71" t="s">
        <v>308</v>
      </c>
      <c r="B11" s="64">
        <f>Conto_economico!C22-Conto_economico!C23</f>
        <v>-9405772.1099999994</v>
      </c>
      <c r="C11" s="64">
        <f>Conto_economico!D22-Conto_economico!D23</f>
        <v>-9117215.8499999996</v>
      </c>
      <c r="D11" s="64">
        <f>Conto_economico!E22-Conto_economico!E23</f>
        <v>-8904547.2799999993</v>
      </c>
      <c r="E11" s="64">
        <f>Conto_economico!F22-Conto_economico!F23</f>
        <v>-14452599.280000001</v>
      </c>
      <c r="F11" s="64">
        <f>Conto_economico!G22-Conto_economico!G23</f>
        <v>-13579724.279999999</v>
      </c>
      <c r="G11" s="64">
        <f>Conto_economico!H22-Conto_economico!H23</f>
        <v>-13195055.050000001</v>
      </c>
      <c r="H11" s="64">
        <f>Conto_economico!I22-Conto_economico!I23</f>
        <v>-11672946.689999999</v>
      </c>
      <c r="I11" s="64">
        <f>Conto_economico!J22-Conto_economico!J23</f>
        <v>-7355192.5299999993</v>
      </c>
      <c r="J11" s="64">
        <f t="shared" si="0"/>
        <v>4317754.16</v>
      </c>
    </row>
    <row r="12" spans="1:11" x14ac:dyDescent="0.3">
      <c r="A12" s="71" t="s">
        <v>309</v>
      </c>
      <c r="B12" s="65">
        <f>Conto_economico!C25-Conto_economico!C26</f>
        <v>-80982417.229999989</v>
      </c>
      <c r="C12" s="65">
        <f>Conto_economico!D25-Conto_economico!D26</f>
        <v>-50298221.079999998</v>
      </c>
      <c r="D12" s="65">
        <f>Conto_economico!E25-Conto_economico!E26</f>
        <v>-74617875.379999995</v>
      </c>
      <c r="E12" s="65">
        <f>Conto_economico!F25-Conto_economico!F26</f>
        <v>-14412452.510000005</v>
      </c>
      <c r="F12" s="65">
        <f>Conto_economico!G25-Conto_economico!G26</f>
        <v>22517782.199999996</v>
      </c>
      <c r="G12" s="65">
        <f>Conto_economico!H25-Conto_economico!H26</f>
        <v>42030209.219999999</v>
      </c>
      <c r="H12" s="65">
        <f>Conto_economico!I25-Conto_economico!I26</f>
        <v>-3230046.0200000033</v>
      </c>
      <c r="I12" s="65">
        <f>Conto_economico!J25-Conto_economico!J26</f>
        <v>-4932454.9799999967</v>
      </c>
      <c r="J12" s="64">
        <f t="shared" si="0"/>
        <v>-1702408.9599999934</v>
      </c>
    </row>
    <row r="13" spans="1:11" x14ac:dyDescent="0.3">
      <c r="A13" s="71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-14644857.09</v>
      </c>
      <c r="E13" s="65">
        <f>Conto_economico!F24</f>
        <v>0</v>
      </c>
      <c r="F13" s="65">
        <f>Conto_economico!G24</f>
        <v>0</v>
      </c>
      <c r="G13" s="65">
        <f>Conto_economico!H24</f>
        <v>0</v>
      </c>
      <c r="H13" s="65">
        <f>Conto_economico!I24</f>
        <v>0</v>
      </c>
      <c r="I13" s="65">
        <f>Conto_economico!J24</f>
        <v>-1760640.63</v>
      </c>
      <c r="J13" s="64">
        <f t="shared" si="0"/>
        <v>-1760640.63</v>
      </c>
    </row>
    <row r="14" spans="1:11" x14ac:dyDescent="0.3">
      <c r="A14" s="47" t="s">
        <v>310</v>
      </c>
      <c r="B14" s="66">
        <f t="shared" ref="B14:D14" si="4">SUM(B10:B13)</f>
        <v>-275317663.45000005</v>
      </c>
      <c r="C14" s="66">
        <f t="shared" si="4"/>
        <v>-2076896.2500000522</v>
      </c>
      <c r="D14" s="66">
        <f t="shared" si="4"/>
        <v>-90420602.51000002</v>
      </c>
      <c r="E14" s="66">
        <f t="shared" ref="E14:I14" si="5">SUM(E10:E13)</f>
        <v>-14401367.089999989</v>
      </c>
      <c r="F14" s="66">
        <f t="shared" ref="F14:H14" si="6">SUM(F10:F13)</f>
        <v>136993903.00000003</v>
      </c>
      <c r="G14" s="66">
        <f t="shared" si="6"/>
        <v>94812768.739999995</v>
      </c>
      <c r="H14" s="66">
        <f t="shared" si="6"/>
        <v>35597365.870000012</v>
      </c>
      <c r="I14" s="66">
        <f t="shared" si="5"/>
        <v>85386985.099999994</v>
      </c>
      <c r="J14" s="66">
        <f t="shared" si="0"/>
        <v>49789619.229999982</v>
      </c>
    </row>
    <row r="15" spans="1:11" x14ac:dyDescent="0.3">
      <c r="A15" s="71" t="s">
        <v>258</v>
      </c>
      <c r="B15" s="64">
        <f>Conto_economico!C27</f>
        <v>2140182.96</v>
      </c>
      <c r="C15" s="64">
        <f>Conto_economico!D27</f>
        <v>2016373.02</v>
      </c>
      <c r="D15" s="64">
        <f>Conto_economico!E27</f>
        <v>2103688.12</v>
      </c>
      <c r="E15" s="64">
        <f>Conto_economico!F27</f>
        <v>1844484.56</v>
      </c>
      <c r="F15" s="64">
        <f>Conto_economico!G27</f>
        <v>1694879.43</v>
      </c>
      <c r="G15" s="64">
        <f>Conto_economico!H27</f>
        <v>1732637.91</v>
      </c>
      <c r="H15" s="64">
        <f>Conto_economico!I27</f>
        <v>1922790.07</v>
      </c>
      <c r="I15" s="64">
        <f>Conto_economico!J27</f>
        <v>1844101.41</v>
      </c>
      <c r="J15" s="64">
        <f t="shared" si="0"/>
        <v>-78688.660000000149</v>
      </c>
    </row>
    <row r="16" spans="1:11" x14ac:dyDescent="0.3">
      <c r="A16" s="70" t="s">
        <v>259</v>
      </c>
      <c r="B16" s="67">
        <f t="shared" ref="B16:D16" si="7">B14-B15</f>
        <v>-277457846.41000003</v>
      </c>
      <c r="C16" s="67">
        <f t="shared" si="7"/>
        <v>-4093269.2700000522</v>
      </c>
      <c r="D16" s="67">
        <f t="shared" si="7"/>
        <v>-92524290.630000025</v>
      </c>
      <c r="E16" s="67">
        <f t="shared" ref="E16:I16" si="8">E14-E15</f>
        <v>-16245851.649999989</v>
      </c>
      <c r="F16" s="67">
        <f t="shared" ref="F16:H16" si="9">F14-F15</f>
        <v>135299023.57000002</v>
      </c>
      <c r="G16" s="67">
        <f t="shared" si="9"/>
        <v>93080130.829999998</v>
      </c>
      <c r="H16" s="67">
        <f t="shared" si="9"/>
        <v>33674575.800000012</v>
      </c>
      <c r="I16" s="67">
        <f t="shared" si="8"/>
        <v>83542883.689999998</v>
      </c>
      <c r="J16" s="67">
        <f t="shared" si="0"/>
        <v>49868307.889999986</v>
      </c>
    </row>
  </sheetData>
  <conditionalFormatting sqref="B16:E16 I16:J16">
    <cfRule type="cellIs" dxfId="82" priority="17" operator="greaterThan">
      <formula>0</formula>
    </cfRule>
  </conditionalFormatting>
  <conditionalFormatting sqref="B10:E10 B14:E14 I14:J14 I10:J10 J9">
    <cfRule type="cellIs" dxfId="81" priority="16" operator="lessThan">
      <formula>0</formula>
    </cfRule>
  </conditionalFormatting>
  <conditionalFormatting sqref="G16">
    <cfRule type="cellIs" dxfId="80" priority="8" operator="greaterThan">
      <formula>0</formula>
    </cfRule>
  </conditionalFormatting>
  <conditionalFormatting sqref="G14 G10">
    <cfRule type="cellIs" dxfId="79" priority="7" operator="lessThan">
      <formula>0</formula>
    </cfRule>
  </conditionalFormatting>
  <conditionalFormatting sqref="F16">
    <cfRule type="cellIs" dxfId="78" priority="6" operator="greaterThan">
      <formula>0</formula>
    </cfRule>
  </conditionalFormatting>
  <conditionalFormatting sqref="F14 F10">
    <cfRule type="cellIs" dxfId="77" priority="5" operator="lessThan">
      <formula>0</formula>
    </cfRule>
  </conditionalFormatting>
  <conditionalFormatting sqref="B9:G9 K9 I9">
    <cfRule type="cellIs" dxfId="76" priority="4" operator="lessThan">
      <formula>0</formula>
    </cfRule>
  </conditionalFormatting>
  <conditionalFormatting sqref="H16">
    <cfRule type="cellIs" dxfId="75" priority="3" operator="greaterThan">
      <formula>0</formula>
    </cfRule>
  </conditionalFormatting>
  <conditionalFormatting sqref="H14 H10">
    <cfRule type="cellIs" dxfId="74" priority="2" operator="lessThan">
      <formula>0</formula>
    </cfRule>
  </conditionalFormatting>
  <conditionalFormatting sqref="H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opLeftCell="B1" workbookViewId="0">
      <selection activeCell="I2" sqref="I2:I28"/>
    </sheetView>
  </sheetViews>
  <sheetFormatPr defaultRowHeight="14.4" x14ac:dyDescent="0.3"/>
  <cols>
    <col min="1" max="1" width="51.6640625" style="32" bestFit="1" customWidth="1"/>
    <col min="2" max="11" width="12.6640625" bestFit="1" customWidth="1"/>
  </cols>
  <sheetData>
    <row r="1" spans="1:10" x14ac:dyDescent="0.3">
      <c r="A1" s="73"/>
      <c r="B1" s="96">
        <v>2016</v>
      </c>
      <c r="C1" s="69">
        <v>2017</v>
      </c>
      <c r="D1" s="69">
        <v>2018</v>
      </c>
      <c r="E1" s="69">
        <v>2019</v>
      </c>
      <c r="F1" s="69">
        <v>2020</v>
      </c>
      <c r="G1" s="69">
        <v>2021</v>
      </c>
      <c r="H1" s="69">
        <v>2022</v>
      </c>
      <c r="I1" s="69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10" x14ac:dyDescent="0.3">
      <c r="A3" s="32" t="s">
        <v>213</v>
      </c>
      <c r="B3" s="1">
        <v>17349.02</v>
      </c>
      <c r="C3" s="1">
        <v>35264.57</v>
      </c>
      <c r="D3" s="1">
        <v>6521345.6900000004</v>
      </c>
      <c r="E3" s="1">
        <v>6896071.9500000002</v>
      </c>
      <c r="F3" s="1">
        <v>10860998.82</v>
      </c>
      <c r="G3" s="107">
        <v>9307354.7100000009</v>
      </c>
      <c r="H3" s="1">
        <v>11785366.949999999</v>
      </c>
      <c r="I3" s="1">
        <v>17026636.719999999</v>
      </c>
    </row>
    <row r="4" spans="1:10" x14ac:dyDescent="0.3">
      <c r="A4" s="32" t="s">
        <v>214</v>
      </c>
      <c r="B4" s="1">
        <v>773039313.02999997</v>
      </c>
      <c r="C4" s="1">
        <v>782859756.69000006</v>
      </c>
      <c r="D4" s="1">
        <v>778847066.91999996</v>
      </c>
      <c r="E4" s="1">
        <v>801914375.47000003</v>
      </c>
      <c r="F4" s="1">
        <v>823249695.27999997</v>
      </c>
      <c r="G4" s="107">
        <v>830011784.08000004</v>
      </c>
      <c r="H4" s="1">
        <v>825750315.80999994</v>
      </c>
      <c r="I4" s="1">
        <v>883918824.25</v>
      </c>
      <c r="J4" s="1"/>
    </row>
    <row r="5" spans="1:10" x14ac:dyDescent="0.3">
      <c r="A5" s="32" t="s">
        <v>228</v>
      </c>
      <c r="B5" s="1">
        <v>17776980.620000001</v>
      </c>
      <c r="C5" s="1">
        <v>17776980.620000001</v>
      </c>
      <c r="D5" s="1">
        <v>3132123.53</v>
      </c>
      <c r="E5" s="1">
        <v>3459417.53</v>
      </c>
      <c r="F5" s="1">
        <v>3519140.53</v>
      </c>
      <c r="G5" s="107">
        <v>7618157.21</v>
      </c>
      <c r="H5" s="1">
        <v>8386318.21</v>
      </c>
      <c r="I5" s="1">
        <v>6625677.5800000001</v>
      </c>
    </row>
    <row r="6" spans="1:10" x14ac:dyDescent="0.3">
      <c r="A6" s="32" t="s">
        <v>229</v>
      </c>
      <c r="B6" s="1">
        <v>0</v>
      </c>
      <c r="C6" s="1">
        <v>0.05</v>
      </c>
      <c r="D6" s="1">
        <v>0.05</v>
      </c>
      <c r="E6" s="1">
        <v>0.05</v>
      </c>
      <c r="F6" s="1">
        <v>0.05</v>
      </c>
      <c r="G6" s="107">
        <v>0</v>
      </c>
      <c r="H6" s="1">
        <v>0</v>
      </c>
      <c r="I6" s="1">
        <v>0</v>
      </c>
    </row>
    <row r="7" spans="1:10" x14ac:dyDescent="0.3">
      <c r="A7" s="32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07">
        <v>0</v>
      </c>
      <c r="H7" s="1">
        <v>0</v>
      </c>
      <c r="I7" s="1">
        <v>0</v>
      </c>
    </row>
    <row r="8" spans="1:10" x14ac:dyDescent="0.3">
      <c r="A8" s="32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07">
        <v>0</v>
      </c>
      <c r="H8" s="1">
        <v>0</v>
      </c>
      <c r="I8" s="1">
        <v>0</v>
      </c>
    </row>
    <row r="9" spans="1:10" x14ac:dyDescent="0.3">
      <c r="A9" s="32" t="s">
        <v>215</v>
      </c>
      <c r="B9" s="1">
        <v>304931065.79000002</v>
      </c>
      <c r="C9" s="1">
        <v>282834988.94999999</v>
      </c>
      <c r="D9" s="1">
        <v>235948904.77000001</v>
      </c>
      <c r="E9" s="1">
        <v>215249149.12</v>
      </c>
      <c r="F9" s="1">
        <v>223429276</v>
      </c>
      <c r="G9" s="107">
        <v>227091906.43000001</v>
      </c>
      <c r="H9" s="1">
        <v>214513038.88</v>
      </c>
      <c r="I9" s="1">
        <v>200214942.75999999</v>
      </c>
      <c r="J9" s="1"/>
    </row>
    <row r="10" spans="1:10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07">
        <v>0</v>
      </c>
      <c r="H10" s="1">
        <v>0</v>
      </c>
      <c r="I10" s="1">
        <v>0</v>
      </c>
    </row>
    <row r="11" spans="1:10" x14ac:dyDescent="0.3">
      <c r="A11" s="32" t="s">
        <v>216</v>
      </c>
      <c r="B11" s="1">
        <v>2368708.98</v>
      </c>
      <c r="C11" s="1">
        <v>1429842.27</v>
      </c>
      <c r="D11" s="1">
        <v>4276200.0999999996</v>
      </c>
      <c r="E11" s="1">
        <v>3151142.57</v>
      </c>
      <c r="F11" s="1">
        <v>23987244.859999999</v>
      </c>
      <c r="G11" s="107">
        <v>77465417.989999995</v>
      </c>
      <c r="H11" s="1">
        <v>130881187.53</v>
      </c>
      <c r="I11" s="1">
        <v>149247520.93000001</v>
      </c>
    </row>
    <row r="12" spans="1:10" x14ac:dyDescent="0.3">
      <c r="A12" s="32" t="s">
        <v>217</v>
      </c>
      <c r="B12" s="1">
        <v>14833.28</v>
      </c>
      <c r="C12" s="1">
        <v>15507.49</v>
      </c>
      <c r="D12" s="1">
        <v>15507.49</v>
      </c>
      <c r="E12" s="1">
        <v>46994.78</v>
      </c>
      <c r="F12" s="1">
        <v>56911.66</v>
      </c>
      <c r="G12" s="1">
        <v>105049.94</v>
      </c>
      <c r="H12" s="1">
        <v>71827.92</v>
      </c>
      <c r="I12" s="1">
        <v>5623.18</v>
      </c>
    </row>
    <row r="13" spans="1:10" x14ac:dyDescent="0.3">
      <c r="A13" s="10" t="s">
        <v>218</v>
      </c>
      <c r="B13" s="11">
        <f t="shared" ref="B13:D13" si="0">SUM(B2:B12)</f>
        <v>1098148250.72</v>
      </c>
      <c r="C13" s="11">
        <f t="shared" si="0"/>
        <v>1084952340.6400001</v>
      </c>
      <c r="D13" s="11">
        <f t="shared" si="0"/>
        <v>1028741148.55</v>
      </c>
      <c r="E13" s="11">
        <f t="shared" ref="E13:I13" si="1">SUM(E2:E12)</f>
        <v>1030717151.47</v>
      </c>
      <c r="F13" s="11">
        <f t="shared" ref="F13:H13" si="2">SUM(F2:F12)</f>
        <v>1085103267.2</v>
      </c>
      <c r="G13" s="11">
        <f t="shared" si="2"/>
        <v>1151599670.3600001</v>
      </c>
      <c r="H13" s="11">
        <f t="shared" si="2"/>
        <v>1191388055.3000002</v>
      </c>
      <c r="I13" s="11">
        <f t="shared" si="1"/>
        <v>1257039225.4200001</v>
      </c>
    </row>
    <row r="14" spans="1:10" x14ac:dyDescent="0.3">
      <c r="A14" s="32" t="s">
        <v>219</v>
      </c>
      <c r="B14" s="1">
        <v>146688468.03</v>
      </c>
      <c r="C14" s="1">
        <v>145141287.88999999</v>
      </c>
      <c r="D14" s="1">
        <v>145141287.88999999</v>
      </c>
      <c r="E14" s="1">
        <v>80650715.040000007</v>
      </c>
      <c r="F14" s="1">
        <v>79181459.230000004</v>
      </c>
      <c r="G14" s="1">
        <v>78666304.269999996</v>
      </c>
      <c r="H14" s="1">
        <v>78280182.939999998</v>
      </c>
      <c r="I14" s="1">
        <v>78280182.939999998</v>
      </c>
    </row>
    <row r="15" spans="1:10" x14ac:dyDescent="0.3">
      <c r="A15" s="32" t="s">
        <v>220</v>
      </c>
      <c r="B15" s="1">
        <v>523153696.17000002</v>
      </c>
      <c r="C15" s="1">
        <v>246548231.53999999</v>
      </c>
      <c r="D15" s="1">
        <v>244138756.69999999</v>
      </c>
      <c r="E15" s="1">
        <v>217295538.66</v>
      </c>
      <c r="F15" s="1">
        <v>203420504.75</v>
      </c>
      <c r="G15" s="1">
        <v>599597657.77999997</v>
      </c>
      <c r="H15" s="1">
        <v>602124808.89999998</v>
      </c>
      <c r="I15" s="1">
        <v>602971916.22000003</v>
      </c>
    </row>
    <row r="16" spans="1:10" x14ac:dyDescent="0.3">
      <c r="A16" s="32" t="s">
        <v>235</v>
      </c>
      <c r="B16" s="1">
        <v>37994834.409999996</v>
      </c>
      <c r="C16" s="1">
        <v>38848716.590000004</v>
      </c>
      <c r="D16" s="1">
        <v>40562511.020000003</v>
      </c>
      <c r="E16" s="1">
        <v>41425716.759999998</v>
      </c>
      <c r="F16" s="1">
        <v>42217555.689999998</v>
      </c>
      <c r="G16" s="1">
        <v>43333739.719999999</v>
      </c>
      <c r="H16" s="1">
        <v>44595065.549999997</v>
      </c>
      <c r="I16" s="1">
        <v>45442172.829999998</v>
      </c>
    </row>
    <row r="17" spans="1:11" x14ac:dyDescent="0.3">
      <c r="A17" s="32" t="s">
        <v>221</v>
      </c>
      <c r="B17" s="1">
        <v>-277459346.81</v>
      </c>
      <c r="C17" s="1">
        <v>-4123269.27</v>
      </c>
      <c r="D17" s="1">
        <v>-92524290.629999995</v>
      </c>
      <c r="E17" s="1">
        <v>-16245851.65</v>
      </c>
      <c r="F17" s="1">
        <v>135299023.56999999</v>
      </c>
      <c r="G17" s="1">
        <v>93080130.829999998</v>
      </c>
      <c r="H17" s="1">
        <v>33674575.770000003</v>
      </c>
      <c r="I17" s="1">
        <v>83542883.689999998</v>
      </c>
    </row>
    <row r="18" spans="1:11" x14ac:dyDescent="0.3">
      <c r="A18" s="32" t="s">
        <v>363</v>
      </c>
      <c r="B18" s="1"/>
      <c r="C18" s="1"/>
      <c r="D18" s="1"/>
      <c r="E18" s="1"/>
      <c r="F18" s="1">
        <v>0</v>
      </c>
      <c r="G18" s="1">
        <v>-255053734.78999999</v>
      </c>
      <c r="H18" s="1">
        <v>-161973603</v>
      </c>
      <c r="I18" s="1">
        <v>-128299028.09999999</v>
      </c>
      <c r="J18" s="1"/>
      <c r="K18" s="1"/>
    </row>
    <row r="19" spans="1:11" x14ac:dyDescent="0.3">
      <c r="A19" s="32" t="s">
        <v>364</v>
      </c>
      <c r="B19" s="1"/>
      <c r="C19" s="1"/>
      <c r="D19" s="1"/>
      <c r="E19" s="1"/>
      <c r="F19" s="1">
        <v>0</v>
      </c>
      <c r="G19" s="1">
        <v>0</v>
      </c>
      <c r="H19" s="1">
        <v>0</v>
      </c>
      <c r="I19" s="1">
        <v>0</v>
      </c>
      <c r="J19" s="1"/>
      <c r="K19" s="1"/>
    </row>
    <row r="20" spans="1:11" x14ac:dyDescent="0.3">
      <c r="A20" s="32" t="s">
        <v>222</v>
      </c>
      <c r="B20" s="1">
        <v>0</v>
      </c>
      <c r="C20" s="1">
        <v>3569543.02</v>
      </c>
      <c r="D20" s="1">
        <v>56742564.920000002</v>
      </c>
      <c r="E20" s="1">
        <v>53265898.990000002</v>
      </c>
      <c r="F20" s="1">
        <v>10243657.48</v>
      </c>
      <c r="G20" s="1">
        <v>19051384.129999999</v>
      </c>
      <c r="H20" s="1">
        <v>30450534.93</v>
      </c>
      <c r="I20" s="1">
        <v>50108323.920000002</v>
      </c>
    </row>
    <row r="21" spans="1:11" x14ac:dyDescent="0.3">
      <c r="A21" s="32" t="s">
        <v>209</v>
      </c>
      <c r="B21" s="1">
        <v>489594911.82999998</v>
      </c>
      <c r="C21" s="1">
        <v>482619732.16000003</v>
      </c>
      <c r="D21" s="1">
        <v>463541167.55000001</v>
      </c>
      <c r="E21" s="1">
        <v>452485688.39999998</v>
      </c>
      <c r="F21" s="1">
        <v>437232772.89999998</v>
      </c>
      <c r="G21" s="107">
        <v>412809887.13999999</v>
      </c>
      <c r="H21" s="1">
        <v>384518313</v>
      </c>
      <c r="I21" s="1">
        <v>357761708.43000001</v>
      </c>
    </row>
    <row r="22" spans="1:11" x14ac:dyDescent="0.3">
      <c r="A22" s="32" t="s">
        <v>223</v>
      </c>
      <c r="B22" s="1">
        <v>126904379.81999999</v>
      </c>
      <c r="C22" s="1">
        <v>115213541.56</v>
      </c>
      <c r="D22" s="1">
        <v>112610250.77</v>
      </c>
      <c r="E22" s="1">
        <v>139009242.44</v>
      </c>
      <c r="F22" s="1">
        <v>105134562.61</v>
      </c>
      <c r="G22" s="107">
        <v>78012597.810000002</v>
      </c>
      <c r="H22" s="1">
        <v>68327745.209999993</v>
      </c>
      <c r="I22" s="1">
        <v>64358840.57</v>
      </c>
    </row>
    <row r="23" spans="1:11" x14ac:dyDescent="0.3">
      <c r="A23" s="32" t="s">
        <v>224</v>
      </c>
      <c r="B23" s="1">
        <v>36712215.259999998</v>
      </c>
      <c r="C23" s="1">
        <v>41296450.020000003</v>
      </c>
      <c r="D23" s="1">
        <v>47442340.759999998</v>
      </c>
      <c r="E23" s="1">
        <v>53877802.07</v>
      </c>
      <c r="F23" s="1">
        <v>57277530.229999997</v>
      </c>
      <c r="G23" s="107">
        <v>58296288.149999999</v>
      </c>
      <c r="H23" s="1">
        <v>54607357.700000003</v>
      </c>
      <c r="I23" s="1">
        <v>53303886.460000001</v>
      </c>
    </row>
    <row r="24" spans="1:11" x14ac:dyDescent="0.3">
      <c r="A24" s="32" t="s">
        <v>225</v>
      </c>
      <c r="B24" s="1">
        <v>52553926.469999999</v>
      </c>
      <c r="C24" s="1">
        <v>54686823.719999999</v>
      </c>
      <c r="D24" s="1">
        <v>51649070.590000004</v>
      </c>
      <c r="E24" s="1">
        <v>49712570.710000001</v>
      </c>
      <c r="F24" s="1">
        <v>48444830.939999998</v>
      </c>
      <c r="G24" s="107">
        <v>53481744.57</v>
      </c>
      <c r="H24" s="1">
        <v>60122992.189999998</v>
      </c>
      <c r="I24" s="1">
        <v>47997221.920000002</v>
      </c>
      <c r="J24" s="1"/>
      <c r="K24" s="1"/>
    </row>
    <row r="25" spans="1:11" x14ac:dyDescent="0.3">
      <c r="A25" s="32" t="s">
        <v>226</v>
      </c>
      <c r="B25" s="1">
        <v>0</v>
      </c>
      <c r="C25" s="1">
        <v>0</v>
      </c>
      <c r="D25" s="1">
        <v>0</v>
      </c>
      <c r="E25" s="1">
        <v>665546.81000000006</v>
      </c>
      <c r="F25" s="1">
        <v>8868925.4399999995</v>
      </c>
      <c r="G25" s="1">
        <f>2357547.17+11299863.3</f>
        <v>13657410.470000001</v>
      </c>
      <c r="H25" s="1">
        <v>41255148.509999998</v>
      </c>
      <c r="I25" s="1">
        <v>47013289.460000001</v>
      </c>
    </row>
    <row r="26" spans="1:11" x14ac:dyDescent="0.3">
      <c r="A26" s="72" t="s">
        <v>227</v>
      </c>
      <c r="B26" s="3">
        <f>SUM(B14:B25)-B16</f>
        <v>1098148250.77</v>
      </c>
      <c r="C26" s="3">
        <f t="shared" ref="C26:D26" si="3">SUM(C14:C25)-C16</f>
        <v>1084952340.6400001</v>
      </c>
      <c r="D26" s="3">
        <f t="shared" si="3"/>
        <v>1028741148.5500001</v>
      </c>
      <c r="E26" s="3">
        <f t="shared" ref="E26:I26" si="4">SUM(E14:E25)-E16</f>
        <v>1030717151.4700001</v>
      </c>
      <c r="F26" s="3">
        <f t="shared" ref="F26" si="5">SUM(F14:F25)-F16</f>
        <v>1085103267.1500001</v>
      </c>
      <c r="G26" s="3">
        <f t="shared" ref="G26" si="6">SUM(G14:G25)-G16</f>
        <v>1151599670.3600001</v>
      </c>
      <c r="H26" s="3">
        <f t="shared" ref="H26" si="7">SUM(H14:H25)-H16</f>
        <v>1191388056.1499999</v>
      </c>
      <c r="I26" s="3">
        <f t="shared" si="4"/>
        <v>1257039225.5100002</v>
      </c>
    </row>
    <row r="27" spans="1:11" x14ac:dyDescent="0.3">
      <c r="A27" s="10" t="s">
        <v>267</v>
      </c>
      <c r="B27" s="11">
        <f t="shared" ref="B27:I27" si="8">B14+B15+B17+B18+B19</f>
        <v>392382817.39000005</v>
      </c>
      <c r="C27" s="11">
        <f t="shared" si="8"/>
        <v>387566250.15999997</v>
      </c>
      <c r="D27" s="11">
        <f t="shared" si="8"/>
        <v>296755753.95999998</v>
      </c>
      <c r="E27" s="11">
        <f t="shared" si="8"/>
        <v>281700402.05000001</v>
      </c>
      <c r="F27" s="11">
        <f t="shared" si="8"/>
        <v>417900987.55000001</v>
      </c>
      <c r="G27" s="11">
        <f t="shared" ref="G27:H27" si="9">G14+G15+G17+G18+G19</f>
        <v>516290358.09000003</v>
      </c>
      <c r="H27" s="11">
        <f t="shared" si="9"/>
        <v>552105964.6099999</v>
      </c>
      <c r="I27" s="11">
        <f t="shared" si="8"/>
        <v>636495954.75000012</v>
      </c>
    </row>
    <row r="28" spans="1:11" x14ac:dyDescent="0.3">
      <c r="D28" s="6">
        <f t="shared" ref="D28:I28" si="10">D27/D26*100</f>
        <v>28.846494026050589</v>
      </c>
      <c r="E28" s="6">
        <f t="shared" si="10"/>
        <v>27.330524348822689</v>
      </c>
      <c r="F28" s="6">
        <f t="shared" si="10"/>
        <v>38.512554537561002</v>
      </c>
      <c r="G28" s="6">
        <f t="shared" si="10"/>
        <v>44.832451013866923</v>
      </c>
      <c r="H28" s="6">
        <f t="shared" si="10"/>
        <v>46.341405032558754</v>
      </c>
      <c r="I28" s="6">
        <f t="shared" si="10"/>
        <v>50.634534056943515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6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14" t="s">
        <v>210</v>
      </c>
      <c r="B1" s="114"/>
      <c r="C1" s="2" t="s">
        <v>211</v>
      </c>
      <c r="D1" s="99">
        <v>2016</v>
      </c>
      <c r="E1" s="99">
        <v>2017</v>
      </c>
      <c r="F1" s="99">
        <v>2018</v>
      </c>
      <c r="G1" s="99">
        <v>2019</v>
      </c>
      <c r="H1" s="99">
        <v>2020</v>
      </c>
      <c r="I1" s="99">
        <v>2021</v>
      </c>
      <c r="J1" s="99">
        <v>2022</v>
      </c>
      <c r="K1" s="99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37.83</v>
      </c>
      <c r="E3" s="7">
        <v>37.14</v>
      </c>
      <c r="F3" s="7">
        <v>35.57</v>
      </c>
      <c r="G3" s="102">
        <v>33.953706894160852</v>
      </c>
      <c r="H3" s="30">
        <v>43.79</v>
      </c>
      <c r="I3" s="30">
        <v>56.65</v>
      </c>
      <c r="J3" s="30">
        <v>37.86</v>
      </c>
      <c r="K3" s="30">
        <v>36.26</v>
      </c>
    </row>
    <row r="4" spans="1:11" x14ac:dyDescent="0.3">
      <c r="A4" t="s">
        <v>80</v>
      </c>
      <c r="D4" s="7"/>
      <c r="E4" s="7"/>
      <c r="F4" s="7"/>
      <c r="G4" s="7"/>
      <c r="H4" s="30"/>
      <c r="I4" s="30"/>
      <c r="J4" s="30"/>
      <c r="K4" s="30"/>
    </row>
    <row r="5" spans="1:11" x14ac:dyDescent="0.3">
      <c r="A5" t="s">
        <v>81</v>
      </c>
      <c r="B5" t="s">
        <v>82</v>
      </c>
      <c r="D5" s="7">
        <v>90.71</v>
      </c>
      <c r="E5" s="7">
        <v>90.85</v>
      </c>
      <c r="F5" s="7">
        <v>92.58</v>
      </c>
      <c r="G5" s="103">
        <v>92.58</v>
      </c>
      <c r="H5" s="30">
        <v>95.02</v>
      </c>
      <c r="I5" s="30">
        <v>86.12</v>
      </c>
      <c r="J5" s="30">
        <v>92.25</v>
      </c>
      <c r="K5" s="30">
        <v>88.3</v>
      </c>
    </row>
    <row r="6" spans="1:11" x14ac:dyDescent="0.3">
      <c r="A6" t="s">
        <v>83</v>
      </c>
      <c r="B6" t="s">
        <v>84</v>
      </c>
      <c r="D6" s="7">
        <v>84.58</v>
      </c>
      <c r="E6" s="7">
        <v>87.39</v>
      </c>
      <c r="F6" s="7">
        <v>90.22</v>
      </c>
      <c r="G6" s="103">
        <v>90.22</v>
      </c>
      <c r="H6" s="30">
        <v>98.25</v>
      </c>
      <c r="I6" s="30">
        <v>88.64</v>
      </c>
      <c r="J6" s="30">
        <v>91.29</v>
      </c>
      <c r="K6" s="30">
        <v>86.67</v>
      </c>
    </row>
    <row r="7" spans="1:11" x14ac:dyDescent="0.3">
      <c r="A7" t="s">
        <v>85</v>
      </c>
      <c r="B7" t="s">
        <v>86</v>
      </c>
      <c r="D7" s="7">
        <v>69.790000000000006</v>
      </c>
      <c r="E7" s="7">
        <v>40.99</v>
      </c>
      <c r="F7" s="7">
        <v>68.88</v>
      </c>
      <c r="G7" s="103">
        <v>68.88</v>
      </c>
      <c r="H7" s="30">
        <v>48.78</v>
      </c>
      <c r="I7" s="30">
        <v>53.18</v>
      </c>
      <c r="J7" s="30">
        <v>56.46</v>
      </c>
      <c r="K7" s="30">
        <v>58.14</v>
      </c>
    </row>
    <row r="8" spans="1:11" x14ac:dyDescent="0.3">
      <c r="A8" t="s">
        <v>87</v>
      </c>
      <c r="B8" t="s">
        <v>88</v>
      </c>
      <c r="D8" s="7">
        <v>65.08</v>
      </c>
      <c r="E8" s="7">
        <v>68.290000000000006</v>
      </c>
      <c r="F8" s="7">
        <v>67.13</v>
      </c>
      <c r="G8" s="103">
        <v>67.13</v>
      </c>
      <c r="H8" s="30">
        <v>50.44</v>
      </c>
      <c r="I8" s="30">
        <v>54.73</v>
      </c>
      <c r="J8" s="30">
        <v>55.87</v>
      </c>
      <c r="K8" s="30">
        <v>57.07</v>
      </c>
    </row>
    <row r="9" spans="1:11" x14ac:dyDescent="0.3">
      <c r="A9" t="s">
        <v>89</v>
      </c>
      <c r="B9" t="s">
        <v>90</v>
      </c>
      <c r="D9" s="7">
        <v>41.6</v>
      </c>
      <c r="E9" s="7">
        <v>65.599999999999994</v>
      </c>
      <c r="F9" s="7">
        <v>66.010000000000005</v>
      </c>
      <c r="G9" s="103">
        <v>66.010000000000005</v>
      </c>
      <c r="H9" s="30">
        <v>96.74</v>
      </c>
      <c r="I9" s="30">
        <v>86.14</v>
      </c>
      <c r="J9" s="30">
        <v>98.83</v>
      </c>
      <c r="K9" s="30">
        <v>71.83</v>
      </c>
    </row>
    <row r="10" spans="1:11" x14ac:dyDescent="0.3">
      <c r="A10" t="s">
        <v>91</v>
      </c>
      <c r="B10" t="s">
        <v>92</v>
      </c>
      <c r="D10" s="7">
        <v>42.12</v>
      </c>
      <c r="E10" s="7">
        <v>68.05</v>
      </c>
      <c r="F10" s="7">
        <v>63.71</v>
      </c>
      <c r="G10" s="103">
        <v>63.71</v>
      </c>
      <c r="H10" s="30">
        <v>91.51</v>
      </c>
      <c r="I10" s="30">
        <v>83.52</v>
      </c>
      <c r="J10" s="30">
        <v>94.98</v>
      </c>
      <c r="K10" s="30">
        <v>70.39</v>
      </c>
    </row>
    <row r="11" spans="1:11" x14ac:dyDescent="0.3">
      <c r="A11" t="s">
        <v>93</v>
      </c>
      <c r="B11" t="s">
        <v>94</v>
      </c>
      <c r="D11" s="7">
        <v>28.46</v>
      </c>
      <c r="E11" s="7">
        <v>46.8</v>
      </c>
      <c r="F11" s="7">
        <v>44.2</v>
      </c>
      <c r="G11" s="103">
        <v>44.2</v>
      </c>
      <c r="H11" s="30">
        <v>38.299999999999997</v>
      </c>
      <c r="I11" s="30">
        <v>42.76</v>
      </c>
      <c r="J11" s="30">
        <v>54.59</v>
      </c>
      <c r="K11" s="30">
        <v>41.62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28.82</v>
      </c>
      <c r="E12" s="7">
        <v>48.54</v>
      </c>
      <c r="F12" s="7">
        <v>42.77</v>
      </c>
      <c r="G12" s="103">
        <v>42.77</v>
      </c>
      <c r="H12" s="30">
        <v>36.25</v>
      </c>
      <c r="I12" s="30">
        <v>41.47</v>
      </c>
      <c r="J12" s="30">
        <v>52.48</v>
      </c>
      <c r="K12" s="30">
        <v>40.78</v>
      </c>
    </row>
    <row r="13" spans="1:11" x14ac:dyDescent="0.3">
      <c r="A13" t="s">
        <v>97</v>
      </c>
      <c r="D13" s="7"/>
      <c r="E13" s="7"/>
      <c r="F13" s="7"/>
      <c r="G13" s="7"/>
      <c r="H13" s="30"/>
      <c r="I13" s="30"/>
      <c r="J13" s="30"/>
      <c r="K13" s="30"/>
    </row>
    <row r="14" spans="1:11" x14ac:dyDescent="0.3">
      <c r="A14" t="s">
        <v>98</v>
      </c>
      <c r="B14" t="s">
        <v>99</v>
      </c>
      <c r="D14" s="7">
        <v>365</v>
      </c>
      <c r="E14" s="7">
        <v>100</v>
      </c>
      <c r="F14" s="7">
        <v>100</v>
      </c>
      <c r="G14" s="102">
        <v>100</v>
      </c>
      <c r="H14" s="30">
        <v>100</v>
      </c>
      <c r="I14" s="30">
        <v>100</v>
      </c>
      <c r="J14" s="30">
        <v>0</v>
      </c>
      <c r="K14" s="30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110.93</v>
      </c>
      <c r="E15" s="7">
        <v>140.44</v>
      </c>
      <c r="F15" s="7">
        <v>40.619999999999997</v>
      </c>
      <c r="G15" s="103">
        <v>40.619999999999997</v>
      </c>
      <c r="H15" s="30">
        <v>0</v>
      </c>
      <c r="I15" s="30">
        <v>0</v>
      </c>
      <c r="J15" s="30">
        <v>0</v>
      </c>
      <c r="K15" s="30">
        <v>0</v>
      </c>
    </row>
    <row r="16" spans="1:11" x14ac:dyDescent="0.3">
      <c r="A16" t="s">
        <v>102</v>
      </c>
      <c r="D16" s="7"/>
      <c r="E16" s="7"/>
      <c r="F16" s="7"/>
      <c r="G16" s="7"/>
      <c r="H16" s="30"/>
      <c r="I16" s="30"/>
      <c r="J16" s="30"/>
      <c r="K16" s="30"/>
    </row>
    <row r="17" spans="1:11" x14ac:dyDescent="0.3">
      <c r="A17" t="s">
        <v>103</v>
      </c>
      <c r="B17" t="s">
        <v>104</v>
      </c>
      <c r="D17" s="7">
        <v>25.71</v>
      </c>
      <c r="E17" s="7">
        <v>24.68</v>
      </c>
      <c r="F17" s="7">
        <v>24.07</v>
      </c>
      <c r="G17" s="102">
        <v>22.149022933222653</v>
      </c>
      <c r="H17" s="30">
        <v>20.91</v>
      </c>
      <c r="I17" s="30">
        <v>19.170000000000002</v>
      </c>
      <c r="J17" s="30">
        <v>19.62</v>
      </c>
      <c r="K17" s="30">
        <v>20.25</v>
      </c>
    </row>
    <row r="18" spans="1:11" x14ac:dyDescent="0.3">
      <c r="A18" t="s">
        <v>105</v>
      </c>
      <c r="B18" t="s">
        <v>106</v>
      </c>
      <c r="D18" s="7">
        <v>11.17</v>
      </c>
      <c r="E18" s="7">
        <v>11.37</v>
      </c>
      <c r="F18" s="7">
        <v>10.4</v>
      </c>
      <c r="G18" s="103">
        <v>10.4</v>
      </c>
      <c r="H18" s="30">
        <v>12.48</v>
      </c>
      <c r="I18" s="30">
        <v>10.17</v>
      </c>
      <c r="J18" s="30">
        <v>10.86</v>
      </c>
      <c r="K18" s="30">
        <v>10.17</v>
      </c>
    </row>
    <row r="19" spans="1:11" x14ac:dyDescent="0.3">
      <c r="A19" t="s">
        <v>107</v>
      </c>
      <c r="B19" t="s">
        <v>108</v>
      </c>
      <c r="D19" s="7">
        <v>11.34</v>
      </c>
      <c r="E19" s="7">
        <v>17.39</v>
      </c>
      <c r="F19" s="7">
        <v>13.57</v>
      </c>
      <c r="G19" s="103">
        <v>13.57</v>
      </c>
      <c r="H19" s="30">
        <v>19.66</v>
      </c>
      <c r="I19" s="30">
        <v>25.34</v>
      </c>
      <c r="J19" s="30">
        <v>24.58</v>
      </c>
      <c r="K19" s="30">
        <v>24.8</v>
      </c>
    </row>
    <row r="20" spans="1:11" x14ac:dyDescent="0.3">
      <c r="A20" t="s">
        <v>109</v>
      </c>
      <c r="B20" t="s">
        <v>110</v>
      </c>
      <c r="D20" s="7">
        <v>214.35</v>
      </c>
      <c r="E20" s="7">
        <v>209.13</v>
      </c>
      <c r="F20" s="7">
        <v>206.3</v>
      </c>
      <c r="G20" s="102">
        <v>180.75115987549967</v>
      </c>
      <c r="H20" s="30">
        <v>171.18</v>
      </c>
      <c r="I20" s="30">
        <v>170.52</v>
      </c>
      <c r="J20" s="30">
        <v>193</v>
      </c>
      <c r="K20" s="30">
        <v>185.11</v>
      </c>
    </row>
    <row r="21" spans="1:11" x14ac:dyDescent="0.3">
      <c r="A21" t="s">
        <v>111</v>
      </c>
      <c r="D21" s="7"/>
      <c r="E21" s="7"/>
      <c r="F21" s="7"/>
      <c r="G21" s="7"/>
      <c r="H21" s="30"/>
      <c r="I21" s="30"/>
      <c r="J21" s="30"/>
      <c r="K21" s="30"/>
    </row>
    <row r="22" spans="1:11" x14ac:dyDescent="0.3">
      <c r="A22" t="s">
        <v>112</v>
      </c>
      <c r="B22" t="s">
        <v>113</v>
      </c>
      <c r="D22" s="7">
        <v>28.71</v>
      </c>
      <c r="E22" s="7">
        <v>28.35</v>
      </c>
      <c r="F22" s="7">
        <v>30.08</v>
      </c>
      <c r="G22" s="103">
        <v>30.08</v>
      </c>
      <c r="H22" s="30">
        <v>30.89</v>
      </c>
      <c r="I22" s="30">
        <v>30.89</v>
      </c>
      <c r="J22" s="30">
        <v>28.17</v>
      </c>
      <c r="K22" s="30">
        <v>23.38</v>
      </c>
    </row>
    <row r="23" spans="1:11" x14ac:dyDescent="0.3">
      <c r="A23" t="s">
        <v>114</v>
      </c>
      <c r="D23" s="7"/>
      <c r="E23" s="7"/>
      <c r="F23" s="7"/>
      <c r="G23" s="7"/>
      <c r="H23" s="30"/>
      <c r="I23" s="30"/>
      <c r="J23" s="30"/>
      <c r="K23" s="30"/>
    </row>
    <row r="24" spans="1:11" x14ac:dyDescent="0.3">
      <c r="A24" t="s">
        <v>115</v>
      </c>
      <c r="B24" t="s">
        <v>116</v>
      </c>
      <c r="D24" s="7">
        <v>5.16</v>
      </c>
      <c r="E24" s="7">
        <v>4.9800000000000004</v>
      </c>
      <c r="F24" s="7">
        <v>4.7300000000000004</v>
      </c>
      <c r="G24" s="103">
        <v>7.4308334587765339</v>
      </c>
      <c r="H24" s="30">
        <v>5.32</v>
      </c>
      <c r="I24" s="30">
        <v>5.38</v>
      </c>
      <c r="J24" s="30">
        <v>4.87</v>
      </c>
      <c r="K24" s="30">
        <v>4.28</v>
      </c>
    </row>
    <row r="25" spans="1:11" x14ac:dyDescent="0.3">
      <c r="A25" t="s">
        <v>117</v>
      </c>
      <c r="B25" t="s">
        <v>118</v>
      </c>
      <c r="D25" s="7">
        <v>2.27</v>
      </c>
      <c r="E25" s="7">
        <v>4.76</v>
      </c>
      <c r="F25" s="7">
        <v>6.99</v>
      </c>
      <c r="G25" s="102">
        <v>6.99</v>
      </c>
      <c r="H25" s="30">
        <v>4.08</v>
      </c>
      <c r="I25" s="30">
        <v>0.16</v>
      </c>
      <c r="J25" s="30">
        <v>0</v>
      </c>
      <c r="K25" s="30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103">
        <v>0</v>
      </c>
      <c r="H26" s="30">
        <v>2.11</v>
      </c>
      <c r="I26" s="30">
        <v>0</v>
      </c>
      <c r="J26" s="30">
        <v>0</v>
      </c>
      <c r="K26" s="30">
        <v>0.03</v>
      </c>
    </row>
    <row r="27" spans="1:11" x14ac:dyDescent="0.3">
      <c r="A27" t="s">
        <v>121</v>
      </c>
      <c r="D27" s="7"/>
      <c r="E27" s="7"/>
      <c r="F27" s="7"/>
      <c r="G27" s="7"/>
      <c r="H27" s="30"/>
      <c r="I27" s="30"/>
      <c r="J27" s="30"/>
      <c r="K27" s="30"/>
    </row>
    <row r="28" spans="1:11" x14ac:dyDescent="0.3">
      <c r="A28" t="s">
        <v>122</v>
      </c>
      <c r="B28" t="s">
        <v>123</v>
      </c>
      <c r="D28" s="7">
        <v>16.36</v>
      </c>
      <c r="E28" s="7">
        <v>18.899999999999999</v>
      </c>
      <c r="F28" s="7">
        <v>15.09</v>
      </c>
      <c r="G28" s="102">
        <v>19.672456425718536</v>
      </c>
      <c r="H28" s="30">
        <v>23.32</v>
      </c>
      <c r="I28" s="30">
        <v>9.17</v>
      </c>
      <c r="J28" s="30">
        <v>12.22</v>
      </c>
      <c r="K28" s="30">
        <v>34.950000000000003</v>
      </c>
    </row>
    <row r="29" spans="1:11" x14ac:dyDescent="0.3">
      <c r="A29" t="s">
        <v>124</v>
      </c>
      <c r="B29" t="s">
        <v>125</v>
      </c>
      <c r="D29" s="7">
        <v>160</v>
      </c>
      <c r="E29" s="7">
        <v>195.25</v>
      </c>
      <c r="F29" s="7">
        <v>152.38</v>
      </c>
      <c r="G29" s="102">
        <v>200.55705658954699</v>
      </c>
      <c r="H29" s="30">
        <v>248.15</v>
      </c>
      <c r="I29" s="30">
        <v>88.91</v>
      </c>
      <c r="J29" s="30">
        <v>136.63</v>
      </c>
      <c r="K29" s="30">
        <v>476.24</v>
      </c>
    </row>
    <row r="30" spans="1:11" x14ac:dyDescent="0.3">
      <c r="A30" t="s">
        <v>126</v>
      </c>
      <c r="B30" t="s">
        <v>127</v>
      </c>
      <c r="D30" s="7">
        <v>1.45</v>
      </c>
      <c r="E30" s="7">
        <v>0.67</v>
      </c>
      <c r="F30" s="7">
        <v>0.05</v>
      </c>
      <c r="G30" s="102">
        <v>0</v>
      </c>
      <c r="H30" s="30">
        <v>0.06</v>
      </c>
      <c r="I30" s="30">
        <v>1.61</v>
      </c>
      <c r="J30" s="30">
        <v>0.39</v>
      </c>
      <c r="K30" s="30">
        <v>18.2</v>
      </c>
    </row>
    <row r="31" spans="1:11" x14ac:dyDescent="0.3">
      <c r="A31" t="s">
        <v>128</v>
      </c>
      <c r="B31" t="s">
        <v>129</v>
      </c>
      <c r="D31" s="7">
        <v>161.44</v>
      </c>
      <c r="E31" s="7">
        <v>195.92</v>
      </c>
      <c r="F31" s="7">
        <v>152.43</v>
      </c>
      <c r="G31" s="102">
        <v>200.55705658954699</v>
      </c>
      <c r="H31" s="30">
        <v>248.21</v>
      </c>
      <c r="I31" s="30">
        <v>90.52</v>
      </c>
      <c r="J31" s="30">
        <v>137.02000000000001</v>
      </c>
      <c r="K31" s="30">
        <v>494.44</v>
      </c>
    </row>
    <row r="32" spans="1:11" x14ac:dyDescent="0.3">
      <c r="A32" t="s">
        <v>130</v>
      </c>
      <c r="B32" t="s">
        <v>131</v>
      </c>
      <c r="D32" s="7">
        <v>0</v>
      </c>
      <c r="E32" s="7">
        <v>0</v>
      </c>
      <c r="F32" s="7">
        <v>141.93</v>
      </c>
      <c r="G32" s="102">
        <v>143.38250494023569</v>
      </c>
      <c r="H32" s="30">
        <v>0</v>
      </c>
      <c r="I32" s="30">
        <v>0</v>
      </c>
      <c r="J32" s="30">
        <v>0</v>
      </c>
      <c r="K32" s="30">
        <v>0</v>
      </c>
    </row>
    <row r="33" spans="1:11" x14ac:dyDescent="0.3">
      <c r="A33" t="s">
        <v>132</v>
      </c>
      <c r="B33" t="s">
        <v>133</v>
      </c>
      <c r="D33" s="7">
        <v>0.28999999999999998</v>
      </c>
      <c r="E33" s="7">
        <v>0</v>
      </c>
      <c r="F33" s="7">
        <v>0</v>
      </c>
      <c r="G33" s="103">
        <v>0</v>
      </c>
      <c r="H33" s="30">
        <v>0.17</v>
      </c>
      <c r="I33" s="30">
        <v>0</v>
      </c>
      <c r="J33" s="30">
        <v>0</v>
      </c>
      <c r="K33" s="30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0</v>
      </c>
      <c r="F34" s="7">
        <v>0</v>
      </c>
      <c r="G34" s="103">
        <v>0</v>
      </c>
      <c r="H34" s="30">
        <v>101.07</v>
      </c>
      <c r="I34" s="30">
        <v>0</v>
      </c>
      <c r="J34" s="30">
        <v>0</v>
      </c>
      <c r="K34" s="30">
        <v>0</v>
      </c>
    </row>
    <row r="35" spans="1:11" x14ac:dyDescent="0.3">
      <c r="A35" t="s">
        <v>136</v>
      </c>
      <c r="D35" s="7"/>
      <c r="E35" s="7"/>
      <c r="F35" s="7"/>
      <c r="G35" s="7"/>
      <c r="H35" s="30"/>
      <c r="I35" s="30"/>
      <c r="J35" s="30"/>
      <c r="K35" s="30"/>
    </row>
    <row r="36" spans="1:11" x14ac:dyDescent="0.3">
      <c r="A36" t="s">
        <v>137</v>
      </c>
      <c r="B36" t="s">
        <v>138</v>
      </c>
      <c r="D36" s="7">
        <v>33.200000000000003</v>
      </c>
      <c r="E36" s="7">
        <v>37.46</v>
      </c>
      <c r="F36" s="7">
        <v>41.15</v>
      </c>
      <c r="G36" s="102">
        <v>33.772072896171551</v>
      </c>
      <c r="H36" s="30">
        <v>27.11</v>
      </c>
      <c r="I36" s="30">
        <v>32.020000000000003</v>
      </c>
      <c r="J36" s="30">
        <v>34.799999999999997</v>
      </c>
      <c r="K36" s="30">
        <v>27.04</v>
      </c>
    </row>
    <row r="37" spans="1:11" x14ac:dyDescent="0.3">
      <c r="A37" t="s">
        <v>139</v>
      </c>
      <c r="B37" t="s">
        <v>140</v>
      </c>
      <c r="D37" s="7">
        <v>35.68</v>
      </c>
      <c r="E37" s="7">
        <v>66.86</v>
      </c>
      <c r="F37" s="7">
        <v>55.91</v>
      </c>
      <c r="G37" s="102">
        <v>65.907241218471754</v>
      </c>
      <c r="H37" s="30">
        <v>77.16</v>
      </c>
      <c r="I37" s="30">
        <v>26.1</v>
      </c>
      <c r="J37" s="30">
        <v>59.01</v>
      </c>
      <c r="K37" s="30">
        <v>71.08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102">
        <v>0</v>
      </c>
      <c r="H38" s="30">
        <v>0</v>
      </c>
      <c r="I38" s="30">
        <v>0</v>
      </c>
      <c r="J38" s="30">
        <v>0</v>
      </c>
      <c r="K38" s="30">
        <v>0</v>
      </c>
    </row>
    <row r="39" spans="1:11" x14ac:dyDescent="0.3">
      <c r="A39" t="s">
        <v>143</v>
      </c>
      <c r="B39" t="s">
        <v>144</v>
      </c>
      <c r="D39" s="7">
        <v>22.38</v>
      </c>
      <c r="E39" s="7">
        <v>20.25</v>
      </c>
      <c r="F39" s="7">
        <v>20.2</v>
      </c>
      <c r="G39" s="102">
        <v>21.409067121126863</v>
      </c>
      <c r="H39" s="30">
        <v>17.02</v>
      </c>
      <c r="I39" s="30">
        <v>19.84</v>
      </c>
      <c r="J39" s="30">
        <v>17.68</v>
      </c>
      <c r="K39" s="30">
        <v>16.170000000000002</v>
      </c>
    </row>
    <row r="40" spans="1:11" x14ac:dyDescent="0.3">
      <c r="A40" t="s">
        <v>145</v>
      </c>
      <c r="B40" t="s">
        <v>146</v>
      </c>
      <c r="D40" s="7">
        <v>51.54</v>
      </c>
      <c r="E40" s="7">
        <v>30.33</v>
      </c>
      <c r="F40" s="7">
        <v>15.08</v>
      </c>
      <c r="G40" s="102">
        <v>30.669251194128439</v>
      </c>
      <c r="H40" s="30">
        <v>50.3</v>
      </c>
      <c r="I40" s="30">
        <v>22.14</v>
      </c>
      <c r="J40" s="30">
        <v>43.19</v>
      </c>
      <c r="K40" s="30">
        <v>38.909999999999997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102">
        <v>0</v>
      </c>
      <c r="H41" s="30">
        <v>0</v>
      </c>
      <c r="I41" s="30">
        <v>0</v>
      </c>
      <c r="J41" s="30">
        <v>0</v>
      </c>
      <c r="K41" s="30">
        <v>0</v>
      </c>
    </row>
    <row r="42" spans="1:11" x14ac:dyDescent="0.3">
      <c r="A42" t="s">
        <v>149</v>
      </c>
      <c r="D42" s="7"/>
      <c r="E42" s="7"/>
      <c r="F42" s="7"/>
      <c r="G42" s="7"/>
      <c r="H42" s="30"/>
      <c r="I42" s="30"/>
      <c r="J42" s="30"/>
      <c r="K42" s="30"/>
    </row>
    <row r="43" spans="1:11" x14ac:dyDescent="0.3">
      <c r="A43" t="s">
        <v>150</v>
      </c>
      <c r="B43" t="s">
        <v>151</v>
      </c>
      <c r="D43" s="7">
        <v>47.84</v>
      </c>
      <c r="E43" s="7">
        <v>39.03</v>
      </c>
      <c r="F43" s="7">
        <v>40.200000000000003</v>
      </c>
      <c r="G43" s="103">
        <v>40.200000000000003</v>
      </c>
      <c r="H43" s="30">
        <v>50.5</v>
      </c>
      <c r="I43" s="30">
        <v>66.900000000000006</v>
      </c>
      <c r="J43" s="30">
        <v>60.48</v>
      </c>
      <c r="K43" s="30">
        <v>74.14</v>
      </c>
    </row>
    <row r="44" spans="1:11" x14ac:dyDescent="0.3">
      <c r="A44" t="s">
        <v>152</v>
      </c>
      <c r="B44" t="s">
        <v>153</v>
      </c>
      <c r="D44" s="7">
        <v>18.37</v>
      </c>
      <c r="E44" s="7">
        <v>22.89</v>
      </c>
      <c r="F44" s="7">
        <v>35.44</v>
      </c>
      <c r="G44" s="103">
        <v>35.44</v>
      </c>
      <c r="H44" s="30">
        <v>50.13</v>
      </c>
      <c r="I44" s="30">
        <v>44.08</v>
      </c>
      <c r="J44" s="30">
        <v>29.28</v>
      </c>
      <c r="K44" s="30">
        <v>43.98</v>
      </c>
    </row>
    <row r="45" spans="1:11" x14ac:dyDescent="0.3">
      <c r="A45" t="s">
        <v>154</v>
      </c>
      <c r="B45" t="s">
        <v>155</v>
      </c>
      <c r="D45" s="7">
        <v>0.19</v>
      </c>
      <c r="E45" s="7">
        <v>0.54</v>
      </c>
      <c r="F45" s="7">
        <v>0.56999999999999995</v>
      </c>
      <c r="G45" s="103">
        <v>0.56999999999999995</v>
      </c>
      <c r="H45" s="30">
        <v>39.47</v>
      </c>
      <c r="I45" s="30">
        <v>53.45</v>
      </c>
      <c r="J45" s="30">
        <v>55.99</v>
      </c>
      <c r="K45" s="30">
        <v>92.92</v>
      </c>
    </row>
    <row r="46" spans="1:11" x14ac:dyDescent="0.3">
      <c r="A46" t="s">
        <v>156</v>
      </c>
      <c r="B46" t="s">
        <v>157</v>
      </c>
      <c r="D46" s="7">
        <v>0.22</v>
      </c>
      <c r="E46" s="7">
        <v>7.62</v>
      </c>
      <c r="F46" s="7">
        <v>9.84</v>
      </c>
      <c r="G46" s="103">
        <v>9.84</v>
      </c>
      <c r="H46" s="30">
        <v>9.5500000000000007</v>
      </c>
      <c r="I46" s="30">
        <v>10.85</v>
      </c>
      <c r="J46" s="30">
        <v>12.95</v>
      </c>
      <c r="K46" s="30">
        <v>0.61</v>
      </c>
    </row>
    <row r="47" spans="1:11" x14ac:dyDescent="0.3">
      <c r="A47" t="s">
        <v>158</v>
      </c>
      <c r="B47" t="s">
        <v>159</v>
      </c>
      <c r="D47" s="7">
        <v>88</v>
      </c>
      <c r="E47" s="7">
        <v>127.55</v>
      </c>
      <c r="F47" s="7">
        <v>213.8</v>
      </c>
      <c r="G47" s="103">
        <v>38.22</v>
      </c>
      <c r="H47" s="30">
        <v>38.22</v>
      </c>
      <c r="I47" s="30">
        <v>154.11000000000001</v>
      </c>
      <c r="J47" s="30">
        <v>61.43</v>
      </c>
      <c r="K47" s="30">
        <v>37</v>
      </c>
    </row>
    <row r="48" spans="1:11" x14ac:dyDescent="0.3">
      <c r="A48" t="s">
        <v>160</v>
      </c>
      <c r="D48" s="7"/>
      <c r="E48" s="7"/>
      <c r="F48" s="7"/>
      <c r="G48" s="7"/>
      <c r="H48" s="30"/>
      <c r="I48" s="30"/>
      <c r="J48" s="30"/>
      <c r="K48" s="30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7">
        <v>0</v>
      </c>
      <c r="G49" s="103">
        <v>0</v>
      </c>
      <c r="H49" s="30">
        <v>0</v>
      </c>
      <c r="I49" s="30">
        <v>0</v>
      </c>
      <c r="J49" s="30">
        <v>0</v>
      </c>
      <c r="K49" s="30">
        <v>0</v>
      </c>
    </row>
    <row r="50" spans="1:11" x14ac:dyDescent="0.3">
      <c r="A50" t="s">
        <v>163</v>
      </c>
      <c r="B50" t="s">
        <v>164</v>
      </c>
      <c r="D50" s="7">
        <v>6.06</v>
      </c>
      <c r="E50" s="7">
        <v>0</v>
      </c>
      <c r="F50" s="7">
        <v>6.82</v>
      </c>
      <c r="G50" s="103">
        <v>6.82</v>
      </c>
      <c r="H50" s="30">
        <v>8.2899999999999991</v>
      </c>
      <c r="I50" s="30">
        <v>13.68</v>
      </c>
      <c r="J50" s="30">
        <v>16.95</v>
      </c>
      <c r="K50" s="30">
        <v>17.41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12.67</v>
      </c>
      <c r="E51" s="7">
        <v>12.34</v>
      </c>
      <c r="F51" s="7">
        <v>11.89</v>
      </c>
      <c r="G51" s="103">
        <v>11.89</v>
      </c>
      <c r="H51" s="30">
        <v>10.76</v>
      </c>
      <c r="I51" s="30">
        <v>13.72</v>
      </c>
      <c r="J51" s="30">
        <v>15.89</v>
      </c>
      <c r="K51" s="30">
        <v>15.15</v>
      </c>
    </row>
    <row r="52" spans="1:11" x14ac:dyDescent="0.3">
      <c r="A52" t="s">
        <v>167</v>
      </c>
      <c r="B52" t="s">
        <v>168</v>
      </c>
      <c r="D52" s="7">
        <v>2674.8704446144179</v>
      </c>
      <c r="E52" s="7">
        <v>2643.7528808935585</v>
      </c>
      <c r="F52" s="7">
        <v>2554.691824885504</v>
      </c>
      <c r="G52" s="102">
        <v>2508.6666134424427</v>
      </c>
      <c r="H52" s="30">
        <v>2424.1015523731903</v>
      </c>
      <c r="I52" s="30">
        <v>2526.9772918520916</v>
      </c>
      <c r="J52" s="30">
        <v>2229.3630702868177</v>
      </c>
      <c r="K52" s="30">
        <v>2089.961551982989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102">
        <v>0</v>
      </c>
      <c r="H53" s="30">
        <v>0</v>
      </c>
      <c r="I53" s="30">
        <v>0</v>
      </c>
      <c r="J53" s="30">
        <v>0</v>
      </c>
      <c r="K53" s="30">
        <v>0</v>
      </c>
    </row>
    <row r="54" spans="1:11" x14ac:dyDescent="0.3">
      <c r="A54" t="s">
        <v>170</v>
      </c>
      <c r="B54" t="s">
        <v>171</v>
      </c>
      <c r="D54" s="7">
        <v>-68.280164442005642</v>
      </c>
      <c r="E54" s="7">
        <v>-61.624377020980184</v>
      </c>
      <c r="F54" s="7">
        <v>-66.719173904959391</v>
      </c>
      <c r="G54" s="102">
        <v>-146.72772840990959</v>
      </c>
      <c r="H54" s="30">
        <v>-80.461890746954566</v>
      </c>
      <c r="I54" s="30">
        <v>-48.932894840577774</v>
      </c>
      <c r="J54" s="30">
        <v>-37.57547739302489</v>
      </c>
      <c r="K54" s="30">
        <v>-31.888405879208381</v>
      </c>
    </row>
    <row r="55" spans="1:11" x14ac:dyDescent="0.3">
      <c r="A55" t="s">
        <v>172</v>
      </c>
      <c r="B55" t="s">
        <v>173</v>
      </c>
      <c r="D55" s="7">
        <v>0.56031251976976637</v>
      </c>
      <c r="E55" s="7">
        <v>0.4702587624516778</v>
      </c>
      <c r="F55" s="7">
        <v>0.5761292523914896</v>
      </c>
      <c r="G55" s="102">
        <v>0.59636505804520779</v>
      </c>
      <c r="H55" s="30">
        <v>0.36598804576297406</v>
      </c>
      <c r="I55" s="30">
        <v>0.19068367072428435</v>
      </c>
      <c r="J55" s="30">
        <v>0.345807218523838</v>
      </c>
      <c r="K55" s="30">
        <v>0.32858167583455417</v>
      </c>
    </row>
    <row r="56" spans="1:11" x14ac:dyDescent="0.3">
      <c r="A56" t="s">
        <v>174</v>
      </c>
      <c r="B56" t="s">
        <v>175</v>
      </c>
      <c r="D56" s="7">
        <v>123.59043956873035</v>
      </c>
      <c r="E56" s="7">
        <v>120.03193767172546</v>
      </c>
      <c r="F56" s="7">
        <v>135.40939362280733</v>
      </c>
      <c r="G56" s="102">
        <v>219.73531465501287</v>
      </c>
      <c r="H56" s="30">
        <v>156.64595493112429</v>
      </c>
      <c r="I56" s="30">
        <v>129.52837157803597</v>
      </c>
      <c r="J56" s="30">
        <v>118.92047202468783</v>
      </c>
      <c r="K56" s="30">
        <v>116.38623004655919</v>
      </c>
    </row>
    <row r="57" spans="1:11" x14ac:dyDescent="0.3">
      <c r="A57" t="s">
        <v>176</v>
      </c>
      <c r="B57" t="s">
        <v>177</v>
      </c>
      <c r="D57" s="7">
        <v>44.129412353505529</v>
      </c>
      <c r="E57" s="7">
        <v>41.122180586803026</v>
      </c>
      <c r="F57" s="7">
        <v>30.733651029760566</v>
      </c>
      <c r="G57" s="102">
        <v>26.396048696851498</v>
      </c>
      <c r="H57" s="30">
        <v>23.4499477700673</v>
      </c>
      <c r="I57" s="30">
        <v>19.213839591817539</v>
      </c>
      <c r="J57" s="30">
        <v>18.309198149813227</v>
      </c>
      <c r="K57" s="30">
        <v>15.173594156814627</v>
      </c>
    </row>
    <row r="58" spans="1:11" x14ac:dyDescent="0.3">
      <c r="A58" t="s">
        <v>178</v>
      </c>
      <c r="D58" s="7"/>
      <c r="E58" s="7"/>
      <c r="F58" s="7"/>
      <c r="G58" s="7"/>
      <c r="H58" s="30"/>
      <c r="I58" s="30"/>
      <c r="J58" s="30"/>
      <c r="K58" s="30"/>
    </row>
    <row r="59" spans="1:11" x14ac:dyDescent="0.3">
      <c r="A59" t="s">
        <v>179</v>
      </c>
      <c r="B59" t="s">
        <v>180</v>
      </c>
      <c r="D59" s="7">
        <v>8.5192176283794492</v>
      </c>
      <c r="E59" s="7">
        <v>0</v>
      </c>
      <c r="F59" s="7">
        <v>4.0152085927703496</v>
      </c>
      <c r="G59" s="102">
        <v>-129.52449107004148</v>
      </c>
      <c r="H59" s="30">
        <v>15.130796704903904</v>
      </c>
      <c r="I59" s="30">
        <v>21.124181717080535</v>
      </c>
      <c r="J59" s="30">
        <v>11.593096027579797</v>
      </c>
      <c r="K59" s="30">
        <v>10.686107650320517</v>
      </c>
    </row>
    <row r="60" spans="1:11" x14ac:dyDescent="0.3">
      <c r="A60" t="s">
        <v>181</v>
      </c>
      <c r="B60" t="s">
        <v>182</v>
      </c>
      <c r="D60" s="7">
        <v>-8.5192176283794492</v>
      </c>
      <c r="E60" s="7">
        <v>0</v>
      </c>
      <c r="F60" s="7">
        <v>-4.0152085927703496</v>
      </c>
      <c r="G60" s="102">
        <v>129.52449107004148</v>
      </c>
      <c r="H60" s="30">
        <v>-15.130796704903904</v>
      </c>
      <c r="I60" s="30">
        <v>-21.124181717080535</v>
      </c>
      <c r="J60" s="30">
        <v>-11.593096027579797</v>
      </c>
      <c r="K60" s="30">
        <v>-10.686107650320517</v>
      </c>
    </row>
    <row r="61" spans="1:11" x14ac:dyDescent="0.3">
      <c r="A61" t="s">
        <v>183</v>
      </c>
      <c r="B61" t="s">
        <v>184</v>
      </c>
      <c r="D61" s="7">
        <v>48.199636132899656</v>
      </c>
      <c r="E61" s="7">
        <v>46.784138633109897</v>
      </c>
      <c r="F61" s="7">
        <v>58.643789196234955</v>
      </c>
      <c r="G61" s="102">
        <v>141.79559479262014</v>
      </c>
      <c r="H61" s="30">
        <v>81.119811603565537</v>
      </c>
      <c r="I61" s="30">
        <v>51.790510760107686</v>
      </c>
      <c r="J61" s="30">
        <v>42.816183331216678</v>
      </c>
      <c r="K61" s="30">
        <v>33.170632982722822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3.9369208779000751</v>
      </c>
      <c r="E62" s="7">
        <v>3.9255429695144137</v>
      </c>
      <c r="F62" s="7">
        <v>3.82</v>
      </c>
      <c r="G62" s="103">
        <v>3.82</v>
      </c>
      <c r="H62" s="30">
        <v>21.68</v>
      </c>
      <c r="I62" s="30">
        <v>31.11</v>
      </c>
      <c r="J62" s="30">
        <v>11.13</v>
      </c>
      <c r="K62" s="30">
        <v>9.94</v>
      </c>
    </row>
    <row r="63" spans="1:11" x14ac:dyDescent="0.3">
      <c r="A63" t="s">
        <v>187</v>
      </c>
      <c r="D63" s="7"/>
      <c r="E63" s="7"/>
      <c r="F63" s="7"/>
      <c r="G63" s="7"/>
      <c r="H63" s="30"/>
      <c r="I63" s="30"/>
      <c r="J63" s="30"/>
      <c r="K63" s="30"/>
    </row>
    <row r="64" spans="1:11" x14ac:dyDescent="0.3">
      <c r="A64" s="8" t="s">
        <v>188</v>
      </c>
      <c r="B64" s="8" t="s">
        <v>189</v>
      </c>
      <c r="C64" s="9">
        <v>1</v>
      </c>
      <c r="D64" s="7">
        <v>4.46</v>
      </c>
      <c r="E64" s="7">
        <v>1.41</v>
      </c>
      <c r="F64" s="7">
        <v>2.99</v>
      </c>
      <c r="G64" s="103">
        <v>2.99</v>
      </c>
      <c r="H64" s="30">
        <v>2.85</v>
      </c>
      <c r="I64" s="30">
        <v>1.28</v>
      </c>
      <c r="J64" s="30">
        <v>2.57</v>
      </c>
      <c r="K64" s="30">
        <v>0.86</v>
      </c>
    </row>
    <row r="65" spans="1:11" x14ac:dyDescent="0.3">
      <c r="A65" s="8" t="s">
        <v>190</v>
      </c>
      <c r="B65" s="8" t="s">
        <v>191</v>
      </c>
      <c r="C65" s="9"/>
      <c r="D65" s="7">
        <v>0.4</v>
      </c>
      <c r="E65" s="7">
        <v>0.08</v>
      </c>
      <c r="F65" s="7">
        <v>0.04</v>
      </c>
      <c r="G65" s="103">
        <v>0.04</v>
      </c>
      <c r="H65" s="30">
        <v>0.25</v>
      </c>
      <c r="I65" s="30">
        <v>0.59</v>
      </c>
      <c r="J65" s="30">
        <v>0.15</v>
      </c>
      <c r="K65" s="30">
        <v>1.04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</v>
      </c>
      <c r="E66" s="7">
        <v>0</v>
      </c>
      <c r="F66" s="7">
        <v>0</v>
      </c>
      <c r="G66" s="103">
        <v>0</v>
      </c>
      <c r="H66" s="30">
        <v>0</v>
      </c>
      <c r="I66" s="30">
        <v>0.09</v>
      </c>
      <c r="J66" s="30">
        <v>0</v>
      </c>
      <c r="K66" s="30">
        <v>0</v>
      </c>
    </row>
    <row r="67" spans="1:11" x14ac:dyDescent="0.3">
      <c r="A67" t="s">
        <v>194</v>
      </c>
      <c r="D67" s="7"/>
      <c r="E67" s="7"/>
      <c r="F67" s="7"/>
      <c r="G67" s="7"/>
      <c r="H67" s="30"/>
      <c r="I67" s="30"/>
      <c r="J67" s="30"/>
      <c r="K67" s="30"/>
    </row>
    <row r="68" spans="1:11" x14ac:dyDescent="0.3">
      <c r="A68" t="s">
        <v>195</v>
      </c>
      <c r="B68" t="s">
        <v>196</v>
      </c>
      <c r="D68" s="7">
        <v>52.91</v>
      </c>
      <c r="E68" s="7">
        <v>64.64</v>
      </c>
      <c r="F68" s="30">
        <v>58.13</v>
      </c>
      <c r="G68" s="102">
        <v>42.967218664513851</v>
      </c>
      <c r="H68" s="30">
        <v>83.44</v>
      </c>
      <c r="I68" s="30">
        <v>53.1</v>
      </c>
      <c r="J68" s="30">
        <v>51.3</v>
      </c>
      <c r="K68" s="30">
        <v>79.48</v>
      </c>
    </row>
    <row r="69" spans="1:11" x14ac:dyDescent="0.3">
      <c r="A69" t="s">
        <v>197</v>
      </c>
      <c r="D69" s="7"/>
      <c r="E69" s="7"/>
      <c r="F69" s="7"/>
      <c r="G69" s="7"/>
      <c r="H69" s="30"/>
      <c r="I69" s="30"/>
      <c r="J69" s="30"/>
      <c r="K69" s="30"/>
    </row>
    <row r="70" spans="1:11" x14ac:dyDescent="0.3">
      <c r="A70" t="s">
        <v>198</v>
      </c>
      <c r="B70" t="s">
        <v>199</v>
      </c>
      <c r="D70" s="7">
        <v>11.72</v>
      </c>
      <c r="E70" s="30">
        <v>10.92</v>
      </c>
      <c r="F70" s="7">
        <v>12.04</v>
      </c>
      <c r="G70" s="102">
        <v>14.154233321981305</v>
      </c>
      <c r="H70" s="30">
        <v>9.16</v>
      </c>
      <c r="I70" s="30">
        <v>9.15</v>
      </c>
      <c r="J70" s="30">
        <v>7.95</v>
      </c>
      <c r="K70" s="30">
        <v>13.94</v>
      </c>
    </row>
    <row r="71" spans="1:11" x14ac:dyDescent="0.3">
      <c r="A71" t="s">
        <v>200</v>
      </c>
      <c r="B71" t="s">
        <v>201</v>
      </c>
      <c r="D71" s="7">
        <v>14.43</v>
      </c>
      <c r="E71" s="30">
        <v>13.17</v>
      </c>
      <c r="F71" s="7">
        <v>14.84</v>
      </c>
      <c r="G71" s="102">
        <v>19.141860019374064</v>
      </c>
      <c r="H71" s="30">
        <v>17.43</v>
      </c>
      <c r="I71" s="30">
        <v>14.85</v>
      </c>
      <c r="J71" s="30">
        <v>11.87</v>
      </c>
      <c r="K71" s="30">
        <v>20.38</v>
      </c>
    </row>
    <row r="72" spans="1:11" x14ac:dyDescent="0.3">
      <c r="A72" t="s">
        <v>305</v>
      </c>
      <c r="D72" s="7"/>
      <c r="E72" s="7"/>
      <c r="F72" s="7"/>
      <c r="G72" s="7"/>
      <c r="H72" s="30"/>
      <c r="I72" s="30"/>
      <c r="J72" s="30"/>
      <c r="K72" s="30"/>
    </row>
    <row r="73" spans="1:11" x14ac:dyDescent="0.3">
      <c r="B73" t="s">
        <v>202</v>
      </c>
      <c r="D73" s="7">
        <v>32.795045772920403</v>
      </c>
      <c r="E73" s="7">
        <v>29.659840134857369</v>
      </c>
      <c r="F73" s="7">
        <v>30.73371232992465</v>
      </c>
      <c r="G73" s="102">
        <v>27.611476568145328</v>
      </c>
      <c r="H73" s="30">
        <v>25.110780195291998</v>
      </c>
      <c r="I73" s="30">
        <v>24.56</v>
      </c>
      <c r="J73" s="30">
        <v>26.2984471084227</v>
      </c>
      <c r="K73" s="30">
        <v>23.605411883163374</v>
      </c>
    </row>
    <row r="74" spans="1:11" x14ac:dyDescent="0.3">
      <c r="B74" t="s">
        <v>203</v>
      </c>
      <c r="D74" s="7">
        <v>64.075653502247221</v>
      </c>
      <c r="E74" s="7">
        <v>57.200012520931573</v>
      </c>
      <c r="F74" s="7">
        <v>63.298192636023487</v>
      </c>
      <c r="G74" s="102">
        <v>55.122966360376381</v>
      </c>
      <c r="H74" s="30">
        <v>58.848332231141988</v>
      </c>
      <c r="I74" s="30">
        <v>53.21</v>
      </c>
      <c r="J74" s="30">
        <v>58.804667589169199</v>
      </c>
      <c r="K74" s="30">
        <v>53.314010437912771</v>
      </c>
    </row>
    <row r="75" spans="1:11" x14ac:dyDescent="0.3">
      <c r="B75" t="s">
        <v>204</v>
      </c>
      <c r="D75" s="7">
        <v>12.65522626489464</v>
      </c>
      <c r="E75" s="7">
        <v>11.943946292644707</v>
      </c>
      <c r="F75" s="7">
        <v>12.345249164944619</v>
      </c>
      <c r="G75" s="102">
        <v>11.070363514642176</v>
      </c>
      <c r="H75" s="30">
        <v>10.018650947757102</v>
      </c>
      <c r="I75" s="30">
        <v>10.46</v>
      </c>
      <c r="J75" s="30">
        <v>10.831816175198721</v>
      </c>
      <c r="K75" s="30">
        <v>8.6587983171844645</v>
      </c>
    </row>
    <row r="76" spans="1:11" x14ac:dyDescent="0.3">
      <c r="A76" s="8" t="s">
        <v>37</v>
      </c>
      <c r="B76" s="8"/>
      <c r="C76" s="9">
        <v>47</v>
      </c>
      <c r="D76" s="7">
        <v>41.9216406555012</v>
      </c>
      <c r="E76" s="7">
        <v>34.809319997882845</v>
      </c>
      <c r="F76" s="30">
        <v>39.577252340018973</v>
      </c>
      <c r="G76" s="102">
        <v>39.311085106742745</v>
      </c>
      <c r="H76" s="30">
        <v>45.957058823916327</v>
      </c>
      <c r="I76" s="30">
        <v>37.949492308988617</v>
      </c>
      <c r="J76" s="30">
        <v>28.696185029210881</v>
      </c>
      <c r="K76" s="30">
        <v>30.098577643797565</v>
      </c>
    </row>
    <row r="77" spans="1:11" x14ac:dyDescent="0.3">
      <c r="A77" s="31" t="s">
        <v>338</v>
      </c>
      <c r="B77" s="31"/>
      <c r="C77" s="63"/>
      <c r="D77" s="30">
        <v>33.252239835789659</v>
      </c>
      <c r="E77" s="30">
        <v>31.58012125354584</v>
      </c>
      <c r="F77" s="30">
        <v>35.116472904708807</v>
      </c>
      <c r="G77" s="102">
        <v>34.758475284511192</v>
      </c>
      <c r="H77" s="30">
        <v>39.849867084099294</v>
      </c>
      <c r="I77" s="30">
        <v>29.382332094248554</v>
      </c>
      <c r="J77" s="30">
        <v>27.403091403495615</v>
      </c>
      <c r="K77" s="30">
        <v>28.039184196703136</v>
      </c>
    </row>
    <row r="78" spans="1:11" x14ac:dyDescent="0.3">
      <c r="A78" t="s">
        <v>268</v>
      </c>
      <c r="D78" s="7"/>
      <c r="E78" s="7"/>
      <c r="F78" s="7"/>
      <c r="G78" s="7"/>
      <c r="H78" s="30"/>
      <c r="I78" s="30"/>
      <c r="J78" s="30"/>
      <c r="K78" s="30"/>
    </row>
    <row r="79" spans="1:11" x14ac:dyDescent="0.3">
      <c r="A79">
        <v>4</v>
      </c>
      <c r="B79" t="s">
        <v>205</v>
      </c>
      <c r="D79" s="7">
        <v>2.8227050923039338</v>
      </c>
      <c r="E79" s="7">
        <v>2.616212865095465</v>
      </c>
      <c r="F79" s="30">
        <v>2.3469622908317738</v>
      </c>
      <c r="G79" s="102">
        <v>2.4950540573921143</v>
      </c>
      <c r="H79" s="30">
        <v>1.9091258184803488</v>
      </c>
      <c r="I79" s="30">
        <v>3.573749187784276</v>
      </c>
      <c r="J79" s="30">
        <v>3.3659066232356136</v>
      </c>
      <c r="K79" s="30">
        <v>2.488059535710319</v>
      </c>
    </row>
    <row r="80" spans="1:11" x14ac:dyDescent="0.3">
      <c r="A80">
        <v>9</v>
      </c>
      <c r="B80" t="s">
        <v>350</v>
      </c>
      <c r="D80" s="7">
        <v>15.924986761097687</v>
      </c>
      <c r="E80" s="7">
        <v>18.249964625879198</v>
      </c>
      <c r="F80" s="30">
        <v>18.367770937430617</v>
      </c>
      <c r="G80" s="102">
        <v>17.975835765818665</v>
      </c>
      <c r="H80" s="30">
        <v>19.757493270942476</v>
      </c>
      <c r="I80" s="30">
        <v>30.734243014944774</v>
      </c>
      <c r="J80" s="30">
        <v>35.863192182410423</v>
      </c>
      <c r="K80" s="30">
        <v>29.778962568032874</v>
      </c>
    </row>
    <row r="81" spans="1:11" x14ac:dyDescent="0.3">
      <c r="A81">
        <v>10</v>
      </c>
      <c r="B81" t="s">
        <v>206</v>
      </c>
      <c r="D81" s="7">
        <v>5.52416750039108</v>
      </c>
      <c r="E81" s="7">
        <v>6.8862510384952902</v>
      </c>
      <c r="F81" s="30">
        <v>7.2383959555481114</v>
      </c>
      <c r="G81" s="102">
        <v>5.700093444474934</v>
      </c>
      <c r="H81" s="30">
        <v>2.0652375413751365</v>
      </c>
      <c r="I81" s="30">
        <v>5.2631578947368425</v>
      </c>
      <c r="J81" s="30">
        <v>6.2866449511400653</v>
      </c>
      <c r="K81" s="30">
        <v>11.540597578584917</v>
      </c>
    </row>
    <row r="82" spans="1:11" x14ac:dyDescent="0.3">
      <c r="A82">
        <v>12</v>
      </c>
      <c r="B82" t="s">
        <v>207</v>
      </c>
      <c r="D82" s="7">
        <v>4.562596322991241</v>
      </c>
      <c r="E82" s="7">
        <v>5.4485843527341444</v>
      </c>
      <c r="F82" s="30">
        <v>4.4848452217159842</v>
      </c>
      <c r="G82" s="102">
        <v>3.5522921815095283</v>
      </c>
      <c r="H82" s="30">
        <v>4.6831908906329884</v>
      </c>
      <c r="I82" s="30">
        <v>9.3892137751786873</v>
      </c>
      <c r="J82" s="30">
        <v>9.5656894679695998</v>
      </c>
      <c r="K82" s="30">
        <v>10.007775186049095</v>
      </c>
    </row>
    <row r="83" spans="1:11" x14ac:dyDescent="0.3">
      <c r="A83" t="s">
        <v>208</v>
      </c>
      <c r="D83" s="7"/>
      <c r="E83" s="7"/>
      <c r="F83" s="7"/>
      <c r="G83" s="7"/>
      <c r="H83" s="30"/>
      <c r="I83" s="30"/>
      <c r="J83" s="30"/>
      <c r="K83" s="30"/>
    </row>
    <row r="84" spans="1:11" x14ac:dyDescent="0.3">
      <c r="A84">
        <v>4</v>
      </c>
      <c r="B84" t="s">
        <v>205</v>
      </c>
      <c r="D84" s="7">
        <v>72.44941410973496</v>
      </c>
      <c r="E84" s="7">
        <v>64.674918456349758</v>
      </c>
      <c r="F84" s="7">
        <v>58.495036254597586</v>
      </c>
      <c r="G84" s="102">
        <v>39.40316574750932</v>
      </c>
      <c r="H84" s="30">
        <v>45.511414645286443</v>
      </c>
      <c r="I84" s="30">
        <v>54.57</v>
      </c>
      <c r="J84" s="30">
        <v>52.222129988065824</v>
      </c>
      <c r="K84" s="30">
        <v>52.222129988065824</v>
      </c>
    </row>
    <row r="85" spans="1:11" x14ac:dyDescent="0.3">
      <c r="A85">
        <v>9</v>
      </c>
      <c r="B85" t="s">
        <v>350</v>
      </c>
      <c r="D85" s="7">
        <v>33.901196420942654</v>
      </c>
      <c r="E85" s="7">
        <v>34.192561998981304</v>
      </c>
      <c r="F85" s="7">
        <v>34.678698890427384</v>
      </c>
      <c r="G85" s="102">
        <v>24.068455016357081</v>
      </c>
      <c r="H85" s="30">
        <v>54.803662611749068</v>
      </c>
      <c r="I85" s="30">
        <v>53.33</v>
      </c>
      <c r="J85" s="30">
        <v>50.122002387575748</v>
      </c>
      <c r="K85" s="30">
        <v>59.007433965573519</v>
      </c>
    </row>
    <row r="86" spans="1:11" x14ac:dyDescent="0.3">
      <c r="A86">
        <v>10</v>
      </c>
      <c r="B86" t="s">
        <v>206</v>
      </c>
      <c r="D86" s="7">
        <v>42.385859848805325</v>
      </c>
      <c r="E86" s="7">
        <v>30.000123971201951</v>
      </c>
      <c r="F86" s="7">
        <v>41.320211575312271</v>
      </c>
      <c r="G86" s="102">
        <v>27.820241591977585</v>
      </c>
      <c r="H86" s="30">
        <v>43.333586279386971</v>
      </c>
      <c r="I86" s="30">
        <v>40.36</v>
      </c>
      <c r="J86" s="30">
        <v>31.386979019136973</v>
      </c>
      <c r="K86" s="30">
        <v>63.830705203758356</v>
      </c>
    </row>
    <row r="87" spans="1:11" x14ac:dyDescent="0.3">
      <c r="A87">
        <v>12</v>
      </c>
      <c r="B87" t="s">
        <v>207</v>
      </c>
      <c r="D87" s="7">
        <v>72.581107820524906</v>
      </c>
      <c r="E87" s="7">
        <v>60.745334148307208</v>
      </c>
      <c r="F87" s="7">
        <v>56.219782879639247</v>
      </c>
      <c r="G87" s="102">
        <v>53.163393802908089</v>
      </c>
      <c r="H87" s="30">
        <v>46.12796851451899</v>
      </c>
      <c r="I87" s="30">
        <v>47.39</v>
      </c>
      <c r="J87" s="30">
        <v>47.426548922010305</v>
      </c>
      <c r="K87" s="30">
        <v>71.811568549862045</v>
      </c>
    </row>
    <row r="88" spans="1:11" x14ac:dyDescent="0.3">
      <c r="B88" s="68" t="s">
        <v>306</v>
      </c>
      <c r="D88" s="7"/>
      <c r="E88" s="7"/>
      <c r="F88" s="7"/>
      <c r="G88" s="7"/>
      <c r="H88" s="30"/>
      <c r="I88" s="30"/>
      <c r="J88" s="30"/>
      <c r="K88" s="30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30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30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30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30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103" t="s">
        <v>361</v>
      </c>
      <c r="H93" s="30"/>
      <c r="I93" s="30"/>
      <c r="J93" s="30"/>
      <c r="K93" s="7"/>
    </row>
    <row r="94" spans="1:11" x14ac:dyDescent="0.3">
      <c r="B94" s="39" t="s">
        <v>303</v>
      </c>
      <c r="D94" s="7"/>
      <c r="E94" s="7"/>
      <c r="F94" s="7"/>
      <c r="G94" s="102" t="s">
        <v>362</v>
      </c>
      <c r="H94" s="30"/>
      <c r="I94" s="30"/>
      <c r="J94" s="30"/>
      <c r="K94" s="30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G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2024-12-27T12:04:43Z</dcterms:modified>
</cp:coreProperties>
</file>