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i\rendiconti\Comuni\"/>
    </mc:Choice>
  </mc:AlternateContent>
  <bookViews>
    <workbookView xWindow="240" yWindow="48" windowWidth="20112" windowHeight="7992" firstSheet="4" activeTab="8"/>
  </bookViews>
  <sheets>
    <sheet name="Entrate_Uscite" sheetId="2" r:id="rId1"/>
    <sheet name="Tav_Entrate" sheetId="7" r:id="rId2"/>
    <sheet name="Tav_Uscite" sheetId="8" r:id="rId3"/>
    <sheet name="Tav_Saldi" sheetId="9" r:id="rId4"/>
    <sheet name="Risultato_amministrazione" sheetId="1" r:id="rId5"/>
    <sheet name="Conto_economico" sheetId="6" r:id="rId6"/>
    <sheet name="Tav_contoeconomico" sheetId="10" r:id="rId7"/>
    <sheet name="Stato_patrimoniale" sheetId="5" r:id="rId8"/>
    <sheet name="Piano_indicatori" sheetId="4" r:id="rId9"/>
    <sheet name="Tav_indicatori" sheetId="12" r:id="rId10"/>
    <sheet name="Popolazione" sheetId="13" r:id="rId11"/>
  </sheets>
  <calcPr calcId="152511"/>
</workbook>
</file>

<file path=xl/calcChain.xml><?xml version="1.0" encoding="utf-8"?>
<calcChain xmlns="http://schemas.openxmlformats.org/spreadsheetml/2006/main">
  <c r="K9" i="12" l="1"/>
  <c r="K8" i="12"/>
  <c r="K7" i="12"/>
  <c r="K6" i="12"/>
  <c r="K5" i="12"/>
  <c r="K4" i="12"/>
  <c r="K3" i="12"/>
  <c r="K2" i="12"/>
  <c r="W54" i="2"/>
  <c r="W55" i="2" s="1"/>
  <c r="W53" i="2"/>
  <c r="X52" i="2"/>
  <c r="W52" i="2"/>
  <c r="X51" i="2"/>
  <c r="W51" i="2"/>
  <c r="X50" i="2"/>
  <c r="W50" i="2"/>
  <c r="X49" i="2"/>
  <c r="X54" i="2" s="1"/>
  <c r="X55" i="2" s="1"/>
  <c r="W49" i="2"/>
  <c r="X48" i="2"/>
  <c r="W48" i="2"/>
  <c r="W20" i="2"/>
  <c r="W21" i="2" s="1"/>
  <c r="X16" i="2"/>
  <c r="X20" i="2" s="1"/>
  <c r="X21" i="2" s="1"/>
  <c r="W16" i="2"/>
  <c r="X15" i="2"/>
  <c r="W15" i="2"/>
  <c r="X14" i="2"/>
  <c r="W14" i="2"/>
  <c r="J27" i="5"/>
  <c r="J28" i="5" s="1"/>
  <c r="J26" i="5"/>
  <c r="J13" i="5"/>
  <c r="L16" i="10"/>
  <c r="L15" i="10"/>
  <c r="L14" i="10"/>
  <c r="L13" i="10"/>
  <c r="L12" i="10"/>
  <c r="L11" i="10"/>
  <c r="L10" i="10"/>
  <c r="L9" i="10"/>
  <c r="L8" i="10"/>
  <c r="L7" i="10"/>
  <c r="L6" i="10"/>
  <c r="L5" i="10"/>
  <c r="L4" i="10"/>
  <c r="L3" i="10"/>
  <c r="L2" i="10"/>
  <c r="J15" i="10"/>
  <c r="J13" i="10"/>
  <c r="J12" i="10"/>
  <c r="J11" i="10"/>
  <c r="J10" i="10"/>
  <c r="J14" i="10" s="1"/>
  <c r="J16" i="10" s="1"/>
  <c r="J9" i="10"/>
  <c r="J8" i="10"/>
  <c r="J7" i="10"/>
  <c r="J6" i="10"/>
  <c r="J5" i="10"/>
  <c r="J4" i="10"/>
  <c r="J3" i="10"/>
  <c r="J2" i="10"/>
  <c r="M27" i="6"/>
  <c r="M26" i="6"/>
  <c r="M25" i="6"/>
  <c r="M24" i="6"/>
  <c r="M23" i="6"/>
  <c r="M22" i="6"/>
  <c r="M20" i="6"/>
  <c r="M19" i="6"/>
  <c r="M18" i="6"/>
  <c r="M17" i="6"/>
  <c r="M16" i="6"/>
  <c r="M15" i="6"/>
  <c r="M14" i="6"/>
  <c r="M13" i="6"/>
  <c r="M12" i="6"/>
  <c r="M11" i="6"/>
  <c r="M9" i="6"/>
  <c r="M8" i="6"/>
  <c r="M7" i="6"/>
  <c r="M6" i="6"/>
  <c r="M5" i="6"/>
  <c r="M4" i="6"/>
  <c r="M3" i="6"/>
  <c r="M2" i="6"/>
  <c r="K21" i="6"/>
  <c r="K10" i="6"/>
  <c r="K29" i="6" s="1"/>
  <c r="J23" i="1"/>
  <c r="J19" i="1"/>
  <c r="J13" i="1"/>
  <c r="J7" i="1"/>
  <c r="J21" i="1" s="1"/>
  <c r="K28" i="6" l="1"/>
  <c r="K28" i="8"/>
  <c r="K26" i="8"/>
  <c r="K25" i="8"/>
  <c r="K23" i="8"/>
  <c r="K18" i="8"/>
  <c r="K17" i="8"/>
  <c r="K16" i="8"/>
  <c r="K13" i="8"/>
  <c r="K7" i="8"/>
  <c r="K18" i="7"/>
  <c r="K13" i="7"/>
  <c r="K12" i="7"/>
  <c r="H6" i="9"/>
  <c r="H5" i="9"/>
  <c r="H4" i="9"/>
  <c r="H3" i="9"/>
  <c r="H2" i="9"/>
  <c r="H29" i="8"/>
  <c r="H28" i="8"/>
  <c r="H26" i="8"/>
  <c r="H25" i="8"/>
  <c r="H24" i="8"/>
  <c r="H23" i="8"/>
  <c r="H22" i="8"/>
  <c r="H19" i="8"/>
  <c r="H18" i="8"/>
  <c r="H17" i="8"/>
  <c r="H16" i="8"/>
  <c r="H14" i="8"/>
  <c r="H13" i="8"/>
  <c r="H12" i="8"/>
  <c r="H11" i="8"/>
  <c r="H9" i="8"/>
  <c r="H8" i="8"/>
  <c r="H7" i="8"/>
  <c r="H6" i="8"/>
  <c r="H5" i="8"/>
  <c r="H4" i="8"/>
  <c r="H3" i="8"/>
  <c r="H2" i="8"/>
  <c r="H19" i="7"/>
  <c r="H18" i="7"/>
  <c r="H17" i="7"/>
  <c r="H14" i="7"/>
  <c r="H13" i="7"/>
  <c r="H12" i="7"/>
  <c r="H10" i="7"/>
  <c r="H9" i="7"/>
  <c r="H8" i="7"/>
  <c r="H7" i="7"/>
  <c r="H6" i="7"/>
  <c r="H11" i="7" s="1"/>
  <c r="H4" i="7"/>
  <c r="H3" i="7"/>
  <c r="H2" i="7"/>
  <c r="AA55" i="2"/>
  <c r="Z55" i="2"/>
  <c r="AA54" i="2"/>
  <c r="Z54" i="2"/>
  <c r="AA53" i="2"/>
  <c r="Z53" i="2"/>
  <c r="AA52" i="2"/>
  <c r="Z52" i="2"/>
  <c r="AA51" i="2"/>
  <c r="Z51" i="2"/>
  <c r="AA50" i="2"/>
  <c r="Z50" i="2"/>
  <c r="AA49" i="2"/>
  <c r="Z49" i="2"/>
  <c r="AA48" i="2"/>
  <c r="Z48" i="2"/>
  <c r="AA47" i="2"/>
  <c r="Z47" i="2"/>
  <c r="AA46" i="2"/>
  <c r="Z46" i="2"/>
  <c r="AA45" i="2"/>
  <c r="Z45" i="2"/>
  <c r="AA44" i="2"/>
  <c r="Z44" i="2"/>
  <c r="AA43" i="2"/>
  <c r="Z43" i="2"/>
  <c r="AA42" i="2"/>
  <c r="Z42" i="2"/>
  <c r="AA41" i="2"/>
  <c r="Z41" i="2"/>
  <c r="AA40" i="2"/>
  <c r="Z40" i="2"/>
  <c r="AA39" i="2"/>
  <c r="Z39" i="2"/>
  <c r="AA38" i="2"/>
  <c r="Z38" i="2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AA26" i="2"/>
  <c r="Z26" i="2"/>
  <c r="AA25" i="2"/>
  <c r="Z25" i="2"/>
  <c r="AA24" i="2"/>
  <c r="Z24" i="2"/>
  <c r="AA23" i="2"/>
  <c r="Z23" i="2"/>
  <c r="AA21" i="2"/>
  <c r="Z21" i="2"/>
  <c r="AA20" i="2"/>
  <c r="Z20" i="2"/>
  <c r="AA19" i="2"/>
  <c r="Z19" i="2"/>
  <c r="AA18" i="2"/>
  <c r="Z18" i="2"/>
  <c r="AA17" i="2"/>
  <c r="Z17" i="2"/>
  <c r="AA16" i="2"/>
  <c r="Z16" i="2"/>
  <c r="AA15" i="2"/>
  <c r="Z15" i="2"/>
  <c r="AA14" i="2"/>
  <c r="Z14" i="2"/>
  <c r="AA13" i="2"/>
  <c r="Z13" i="2"/>
  <c r="AA12" i="2"/>
  <c r="Z12" i="2"/>
  <c r="AA11" i="2"/>
  <c r="Z11" i="2"/>
  <c r="AA10" i="2"/>
  <c r="Z10" i="2"/>
  <c r="AA9" i="2"/>
  <c r="Z9" i="2"/>
  <c r="AA8" i="2"/>
  <c r="Z8" i="2"/>
  <c r="AA7" i="2"/>
  <c r="Z7" i="2"/>
  <c r="AA6" i="2"/>
  <c r="Z6" i="2"/>
  <c r="AA5" i="2"/>
  <c r="Z5" i="2"/>
  <c r="AA4" i="2"/>
  <c r="Z4" i="2"/>
  <c r="AA3" i="2"/>
  <c r="Z3" i="2"/>
  <c r="H10" i="8" l="1"/>
  <c r="H15" i="8"/>
  <c r="H27" i="8"/>
  <c r="H20" i="8"/>
  <c r="H30" i="8"/>
  <c r="H31" i="8" s="1"/>
  <c r="H21" i="8"/>
  <c r="H5" i="7"/>
  <c r="H20" i="7" s="1"/>
  <c r="H21" i="7" s="1"/>
  <c r="H15" i="7"/>
  <c r="H16" i="7"/>
  <c r="T53" i="2" l="1"/>
  <c r="V53" i="2" s="1"/>
  <c r="U52" i="2"/>
  <c r="T52" i="2"/>
  <c r="V52" i="2" s="1"/>
  <c r="T51" i="2"/>
  <c r="V51" i="2" s="1"/>
  <c r="V50" i="2"/>
  <c r="U50" i="2"/>
  <c r="T50" i="2"/>
  <c r="U49" i="2"/>
  <c r="T49" i="2"/>
  <c r="V49" i="2" s="1"/>
  <c r="U48" i="2"/>
  <c r="U61" i="2" s="1"/>
  <c r="T48" i="2"/>
  <c r="T54" i="2" s="1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19" i="2"/>
  <c r="V18" i="2"/>
  <c r="V17" i="2"/>
  <c r="U16" i="2"/>
  <c r="T16" i="2"/>
  <c r="V16" i="2" s="1"/>
  <c r="U15" i="2"/>
  <c r="U57" i="2" s="1"/>
  <c r="T15" i="2"/>
  <c r="T57" i="2" s="1"/>
  <c r="U14" i="2"/>
  <c r="U56" i="2" s="1"/>
  <c r="T14" i="2"/>
  <c r="V14" i="2" s="1"/>
  <c r="V13" i="2"/>
  <c r="V12" i="2"/>
  <c r="V11" i="2"/>
  <c r="V10" i="2"/>
  <c r="V9" i="2"/>
  <c r="V8" i="2"/>
  <c r="V7" i="2"/>
  <c r="V6" i="2"/>
  <c r="V5" i="2"/>
  <c r="V4" i="2"/>
  <c r="V3" i="2"/>
  <c r="T55" i="2" l="1"/>
  <c r="U54" i="2"/>
  <c r="U55" i="2" s="1"/>
  <c r="T20" i="2"/>
  <c r="V15" i="2"/>
  <c r="U20" i="2"/>
  <c r="U21" i="2" s="1"/>
  <c r="U59" i="2" s="1"/>
  <c r="V48" i="2"/>
  <c r="T58" i="2"/>
  <c r="U58" i="2"/>
  <c r="T56" i="2"/>
  <c r="U60" i="2"/>
  <c r="G3" i="13"/>
  <c r="G4" i="13"/>
  <c r="T21" i="2" l="1"/>
  <c r="V20" i="2"/>
  <c r="V54" i="2"/>
  <c r="V55" i="2"/>
  <c r="I9" i="10"/>
  <c r="J29" i="6"/>
  <c r="V21" i="2" l="1"/>
  <c r="T59" i="2"/>
  <c r="J9" i="12"/>
  <c r="J8" i="12"/>
  <c r="J7" i="12"/>
  <c r="J6" i="12"/>
  <c r="J5" i="12"/>
  <c r="J4" i="12"/>
  <c r="J3" i="12"/>
  <c r="J2" i="12"/>
  <c r="G29" i="8"/>
  <c r="G28" i="8"/>
  <c r="G26" i="8"/>
  <c r="G25" i="8"/>
  <c r="G24" i="8"/>
  <c r="G23" i="8"/>
  <c r="G22" i="8"/>
  <c r="G19" i="8"/>
  <c r="G18" i="8"/>
  <c r="G17" i="8"/>
  <c r="G16" i="8"/>
  <c r="G14" i="8"/>
  <c r="G13" i="8"/>
  <c r="G12" i="8"/>
  <c r="G11" i="8"/>
  <c r="G9" i="8"/>
  <c r="G8" i="8"/>
  <c r="G7" i="8"/>
  <c r="G6" i="8"/>
  <c r="G5" i="8"/>
  <c r="G4" i="8"/>
  <c r="G3" i="8"/>
  <c r="G2" i="8"/>
  <c r="G19" i="7"/>
  <c r="G18" i="7"/>
  <c r="G17" i="7"/>
  <c r="G14" i="7"/>
  <c r="G13" i="7"/>
  <c r="G12" i="7"/>
  <c r="G15" i="7" s="1"/>
  <c r="G10" i="7"/>
  <c r="G9" i="7"/>
  <c r="G8" i="7"/>
  <c r="G7" i="7"/>
  <c r="G6" i="7"/>
  <c r="G4" i="7"/>
  <c r="G3" i="7"/>
  <c r="G2" i="7"/>
  <c r="G10" i="8" l="1"/>
  <c r="G15" i="8"/>
  <c r="G27" i="8"/>
  <c r="G20" i="8"/>
  <c r="G5" i="7"/>
  <c r="G20" i="7" s="1"/>
  <c r="G21" i="7" s="1"/>
  <c r="G11" i="7"/>
  <c r="G21" i="8" l="1"/>
  <c r="G16" i="7"/>
  <c r="G30" i="8"/>
  <c r="R54" i="2"/>
  <c r="R55" i="2" s="1"/>
  <c r="Q53" i="2"/>
  <c r="S53" i="2" s="1"/>
  <c r="R52" i="2"/>
  <c r="Q52" i="2"/>
  <c r="S52" i="2" s="1"/>
  <c r="R51" i="2"/>
  <c r="Q51" i="2"/>
  <c r="S51" i="2" s="1"/>
  <c r="R50" i="2"/>
  <c r="Q50" i="2"/>
  <c r="S50" i="2" s="1"/>
  <c r="R49" i="2"/>
  <c r="Q49" i="2"/>
  <c r="S49" i="2" s="1"/>
  <c r="S48" i="2"/>
  <c r="R48" i="2"/>
  <c r="R61" i="2" s="1"/>
  <c r="Q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R20" i="2"/>
  <c r="S19" i="2"/>
  <c r="S18" i="2"/>
  <c r="S17" i="2"/>
  <c r="R16" i="2"/>
  <c r="Q16" i="2"/>
  <c r="R15" i="2"/>
  <c r="Q15" i="2"/>
  <c r="S15" i="2" s="1"/>
  <c r="R14" i="2"/>
  <c r="Q14" i="2"/>
  <c r="S13" i="2"/>
  <c r="S12" i="2"/>
  <c r="S11" i="2"/>
  <c r="S10" i="2"/>
  <c r="S9" i="2"/>
  <c r="S8" i="2"/>
  <c r="S7" i="2"/>
  <c r="S6" i="2"/>
  <c r="S5" i="2"/>
  <c r="S4" i="2"/>
  <c r="S3" i="2"/>
  <c r="I28" i="5"/>
  <c r="I27" i="5"/>
  <c r="I26" i="5"/>
  <c r="I13" i="5"/>
  <c r="I15" i="10"/>
  <c r="I13" i="10"/>
  <c r="I12" i="10"/>
  <c r="I11" i="10"/>
  <c r="I8" i="10"/>
  <c r="I7" i="10"/>
  <c r="I6" i="10"/>
  <c r="I5" i="10"/>
  <c r="I4" i="10"/>
  <c r="I3" i="10"/>
  <c r="I2" i="10"/>
  <c r="I10" i="10" s="1"/>
  <c r="J21" i="6"/>
  <c r="J10" i="6"/>
  <c r="J28" i="6" s="1"/>
  <c r="I23" i="1"/>
  <c r="I19" i="1"/>
  <c r="I13" i="1"/>
  <c r="I7" i="1"/>
  <c r="I21" i="1" s="1"/>
  <c r="I14" i="10" l="1"/>
  <c r="I16" i="10" s="1"/>
  <c r="G31" i="8"/>
  <c r="S16" i="2"/>
  <c r="G4" i="9"/>
  <c r="Q57" i="2"/>
  <c r="Q56" i="2"/>
  <c r="G2" i="9" s="1"/>
  <c r="R21" i="2"/>
  <c r="R56" i="2"/>
  <c r="S14" i="2"/>
  <c r="R57" i="2"/>
  <c r="Q20" i="2"/>
  <c r="Q54" i="2"/>
  <c r="Q58" i="2"/>
  <c r="G5" i="9" s="1"/>
  <c r="R58" i="2"/>
  <c r="R60" i="2"/>
  <c r="G3" i="9" l="1"/>
  <c r="R59" i="2"/>
  <c r="Q55" i="2"/>
  <c r="S55" i="2" s="1"/>
  <c r="S54" i="2"/>
  <c r="Q21" i="2"/>
  <c r="S20" i="2"/>
  <c r="G11" i="13"/>
  <c r="G10" i="13"/>
  <c r="G9" i="13"/>
  <c r="G8" i="13"/>
  <c r="G7" i="13"/>
  <c r="G6" i="13"/>
  <c r="G5" i="13"/>
  <c r="S21" i="2" l="1"/>
  <c r="Q59" i="2"/>
  <c r="G6" i="9" s="1"/>
  <c r="I9" i="12"/>
  <c r="I8" i="12"/>
  <c r="I7" i="12"/>
  <c r="I6" i="12"/>
  <c r="I5" i="12"/>
  <c r="I4" i="12"/>
  <c r="I3" i="12"/>
  <c r="I2" i="12"/>
  <c r="F29" i="8"/>
  <c r="F28" i="8"/>
  <c r="F26" i="8"/>
  <c r="F25" i="8"/>
  <c r="F24" i="8"/>
  <c r="F23" i="8"/>
  <c r="F22" i="8"/>
  <c r="F19" i="8"/>
  <c r="F18" i="8"/>
  <c r="F17" i="8"/>
  <c r="F16" i="8"/>
  <c r="F14" i="8"/>
  <c r="F13" i="8"/>
  <c r="F12" i="8"/>
  <c r="F11" i="8"/>
  <c r="F9" i="8"/>
  <c r="F8" i="8"/>
  <c r="F7" i="8"/>
  <c r="F6" i="8"/>
  <c r="F5" i="8"/>
  <c r="F4" i="8"/>
  <c r="F3" i="8"/>
  <c r="F2" i="8"/>
  <c r="F19" i="7"/>
  <c r="F18" i="7"/>
  <c r="F17" i="7"/>
  <c r="F14" i="7"/>
  <c r="F13" i="7"/>
  <c r="F12" i="7"/>
  <c r="F10" i="7"/>
  <c r="F9" i="7"/>
  <c r="F8" i="7"/>
  <c r="F7" i="7"/>
  <c r="F6" i="7"/>
  <c r="F4" i="7"/>
  <c r="F3" i="7"/>
  <c r="F2" i="7"/>
  <c r="F5" i="7" l="1"/>
  <c r="F15" i="7"/>
  <c r="F15" i="8"/>
  <c r="F10" i="8"/>
  <c r="F27" i="8"/>
  <c r="F20" i="8"/>
  <c r="F11" i="7"/>
  <c r="F16" i="7" s="1"/>
  <c r="F30" i="8" l="1"/>
  <c r="F20" i="7"/>
  <c r="F21" i="7" s="1"/>
  <c r="F31" i="8"/>
  <c r="F21" i="8"/>
  <c r="O54" i="2"/>
  <c r="O55" i="2" s="1"/>
  <c r="N53" i="2"/>
  <c r="P53" i="2" s="1"/>
  <c r="O52" i="2"/>
  <c r="N52" i="2"/>
  <c r="P52" i="2" s="1"/>
  <c r="O51" i="2"/>
  <c r="N51" i="2"/>
  <c r="P51" i="2" s="1"/>
  <c r="O50" i="2"/>
  <c r="N50" i="2"/>
  <c r="P50" i="2" s="1"/>
  <c r="O49" i="2"/>
  <c r="N49" i="2"/>
  <c r="P49" i="2" s="1"/>
  <c r="P48" i="2"/>
  <c r="O48" i="2"/>
  <c r="O61" i="2" s="1"/>
  <c r="N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19" i="2"/>
  <c r="P18" i="2"/>
  <c r="P17" i="2"/>
  <c r="O16" i="2"/>
  <c r="N16" i="2"/>
  <c r="O15" i="2"/>
  <c r="N15" i="2"/>
  <c r="O14" i="2"/>
  <c r="N14" i="2"/>
  <c r="P13" i="2"/>
  <c r="P12" i="2"/>
  <c r="P11" i="2"/>
  <c r="P10" i="2"/>
  <c r="P9" i="2"/>
  <c r="P8" i="2"/>
  <c r="P7" i="2"/>
  <c r="P6" i="2"/>
  <c r="P5" i="2"/>
  <c r="P4" i="2"/>
  <c r="P3" i="2"/>
  <c r="H27" i="5"/>
  <c r="H26" i="5"/>
  <c r="H13" i="5"/>
  <c r="H15" i="10"/>
  <c r="H13" i="10"/>
  <c r="H12" i="10"/>
  <c r="H11" i="10"/>
  <c r="H8" i="10"/>
  <c r="H7" i="10"/>
  <c r="H6" i="10"/>
  <c r="H4" i="10"/>
  <c r="H3" i="10"/>
  <c r="I21" i="6"/>
  <c r="H5" i="10" s="1"/>
  <c r="I10" i="6"/>
  <c r="H23" i="1"/>
  <c r="H14" i="1"/>
  <c r="H19" i="1" s="1"/>
  <c r="H13" i="1"/>
  <c r="H7" i="1"/>
  <c r="H21" i="1" s="1"/>
  <c r="I28" i="6" l="1"/>
  <c r="I29" i="6"/>
  <c r="H9" i="10" s="1"/>
  <c r="P15" i="2"/>
  <c r="N56" i="2"/>
  <c r="F2" i="9" s="1"/>
  <c r="O56" i="2"/>
  <c r="N20" i="2"/>
  <c r="N21" i="2" s="1"/>
  <c r="P16" i="2"/>
  <c r="F4" i="9"/>
  <c r="H2" i="10"/>
  <c r="H10" i="10" s="1"/>
  <c r="H14" i="10" s="1"/>
  <c r="H16" i="10" s="1"/>
  <c r="N54" i="2"/>
  <c r="N57" i="2"/>
  <c r="N58" i="2"/>
  <c r="F5" i="9" s="1"/>
  <c r="O20" i="2"/>
  <c r="O57" i="2"/>
  <c r="O58" i="2"/>
  <c r="P14" i="2"/>
  <c r="O60" i="2"/>
  <c r="H28" i="5"/>
  <c r="K27" i="5"/>
  <c r="G27" i="5"/>
  <c r="F27" i="5"/>
  <c r="E27" i="5"/>
  <c r="D27" i="5"/>
  <c r="C27" i="5"/>
  <c r="B27" i="5"/>
  <c r="F3" i="9" l="1"/>
  <c r="O21" i="2"/>
  <c r="O59" i="2" s="1"/>
  <c r="N55" i="2"/>
  <c r="P55" i="2" s="1"/>
  <c r="P54" i="2"/>
  <c r="P20" i="2"/>
  <c r="P21" i="2" l="1"/>
  <c r="N59" i="2"/>
  <c r="F6" i="9" s="1"/>
  <c r="H9" i="12"/>
  <c r="H8" i="12"/>
  <c r="H7" i="12"/>
  <c r="H6" i="12"/>
  <c r="H5" i="12"/>
  <c r="H4" i="12"/>
  <c r="H3" i="12"/>
  <c r="H2" i="12"/>
  <c r="E4" i="9"/>
  <c r="E29" i="8"/>
  <c r="E28" i="8"/>
  <c r="E26" i="8"/>
  <c r="E25" i="8"/>
  <c r="E24" i="8"/>
  <c r="E23" i="8"/>
  <c r="E22" i="8"/>
  <c r="E19" i="8"/>
  <c r="E18" i="8"/>
  <c r="E17" i="8"/>
  <c r="E16" i="8"/>
  <c r="E14" i="8"/>
  <c r="E13" i="8"/>
  <c r="E12" i="8"/>
  <c r="E11" i="8"/>
  <c r="E9" i="8"/>
  <c r="E8" i="8"/>
  <c r="E7" i="8"/>
  <c r="E6" i="8"/>
  <c r="E5" i="8"/>
  <c r="E4" i="8"/>
  <c r="E3" i="8"/>
  <c r="E2" i="8"/>
  <c r="E19" i="7"/>
  <c r="E18" i="7"/>
  <c r="E17" i="7"/>
  <c r="E14" i="7"/>
  <c r="E13" i="7"/>
  <c r="E12" i="7"/>
  <c r="E10" i="7"/>
  <c r="E9" i="7"/>
  <c r="E8" i="7"/>
  <c r="E7" i="7"/>
  <c r="E6" i="7"/>
  <c r="E4" i="7"/>
  <c r="E3" i="7"/>
  <c r="E2" i="7"/>
  <c r="E5" i="7" l="1"/>
  <c r="E27" i="8"/>
  <c r="E10" i="8"/>
  <c r="E15" i="8"/>
  <c r="E20" i="8"/>
  <c r="E11" i="7"/>
  <c r="E15" i="7"/>
  <c r="E20" i="7" l="1"/>
  <c r="E21" i="8"/>
  <c r="E30" i="8"/>
  <c r="E16" i="7"/>
  <c r="L61" i="2"/>
  <c r="L60" i="2"/>
  <c r="L58" i="2"/>
  <c r="K58" i="2"/>
  <c r="E5" i="9" s="1"/>
  <c r="L57" i="2"/>
  <c r="K57" i="2"/>
  <c r="L56" i="2"/>
  <c r="K56" i="2"/>
  <c r="E2" i="9" s="1"/>
  <c r="L54" i="2"/>
  <c r="L55" i="2" s="1"/>
  <c r="L59" i="2" s="1"/>
  <c r="K54" i="2"/>
  <c r="M54" i="2" s="1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K26" i="5"/>
  <c r="K13" i="5"/>
  <c r="K15" i="10"/>
  <c r="K13" i="10"/>
  <c r="K12" i="10"/>
  <c r="K11" i="10"/>
  <c r="K8" i="10"/>
  <c r="K7" i="10"/>
  <c r="K6" i="10"/>
  <c r="K4" i="10"/>
  <c r="K3" i="10"/>
  <c r="L21" i="6"/>
  <c r="M21" i="6" s="1"/>
  <c r="L10" i="6"/>
  <c r="M10" i="6" s="1"/>
  <c r="K19" i="1"/>
  <c r="K23" i="1"/>
  <c r="K13" i="1"/>
  <c r="K7" i="1"/>
  <c r="L9" i="12"/>
  <c r="L8" i="12"/>
  <c r="L7" i="12"/>
  <c r="L6" i="12"/>
  <c r="L5" i="12"/>
  <c r="L4" i="12"/>
  <c r="L3" i="12"/>
  <c r="L2" i="12"/>
  <c r="K4" i="9"/>
  <c r="I4" i="9"/>
  <c r="J4" i="9" s="1"/>
  <c r="D26" i="8"/>
  <c r="D25" i="8"/>
  <c r="D24" i="8"/>
  <c r="D23" i="8"/>
  <c r="D22" i="8"/>
  <c r="D19" i="8"/>
  <c r="D18" i="8"/>
  <c r="D17" i="8"/>
  <c r="D16" i="8"/>
  <c r="D14" i="8"/>
  <c r="D13" i="8"/>
  <c r="D12" i="8"/>
  <c r="D11" i="8"/>
  <c r="D9" i="8"/>
  <c r="D8" i="8"/>
  <c r="D7" i="8"/>
  <c r="D6" i="8"/>
  <c r="D5" i="8"/>
  <c r="D4" i="8"/>
  <c r="D3" i="8"/>
  <c r="D2" i="8"/>
  <c r="D19" i="7"/>
  <c r="D18" i="7"/>
  <c r="D17" i="7"/>
  <c r="D14" i="7"/>
  <c r="D13" i="7"/>
  <c r="D12" i="7"/>
  <c r="D10" i="7"/>
  <c r="D9" i="7"/>
  <c r="D8" i="7"/>
  <c r="D7" i="7"/>
  <c r="D6" i="7"/>
  <c r="D4" i="7"/>
  <c r="D3" i="7"/>
  <c r="D2" i="7"/>
  <c r="X61" i="2"/>
  <c r="X60" i="2"/>
  <c r="X58" i="2"/>
  <c r="AA58" i="2" s="1"/>
  <c r="W58" i="2"/>
  <c r="Z58" i="2" s="1"/>
  <c r="X57" i="2"/>
  <c r="W57" i="2"/>
  <c r="X56" i="2"/>
  <c r="AA56" i="2" s="1"/>
  <c r="W56" i="2"/>
  <c r="Z56" i="2" s="1"/>
  <c r="I3" i="9" l="1"/>
  <c r="J3" i="9" s="1"/>
  <c r="Z57" i="2"/>
  <c r="K3" i="9"/>
  <c r="AA57" i="2"/>
  <c r="L29" i="6"/>
  <c r="M29" i="6" s="1"/>
  <c r="K2" i="10"/>
  <c r="K2" i="9"/>
  <c r="K5" i="10"/>
  <c r="E3" i="9"/>
  <c r="E31" i="8"/>
  <c r="E21" i="7"/>
  <c r="I5" i="9"/>
  <c r="J5" i="9" s="1"/>
  <c r="I2" i="9"/>
  <c r="J2" i="9" s="1"/>
  <c r="K5" i="9"/>
  <c r="K55" i="2"/>
  <c r="K28" i="5"/>
  <c r="L28" i="6"/>
  <c r="M28" i="6" s="1"/>
  <c r="K21" i="1"/>
  <c r="D11" i="7"/>
  <c r="D15" i="7"/>
  <c r="D10" i="8"/>
  <c r="D15" i="8"/>
  <c r="D20" i="8"/>
  <c r="D27" i="8"/>
  <c r="D5" i="7"/>
  <c r="K9" i="10" l="1"/>
  <c r="K10" i="10"/>
  <c r="M55" i="2"/>
  <c r="K59" i="2"/>
  <c r="E6" i="9" s="1"/>
  <c r="D21" i="8"/>
  <c r="D16" i="7"/>
  <c r="D20" i="7"/>
  <c r="K14" i="10" l="1"/>
  <c r="D21" i="7"/>
  <c r="H53" i="2"/>
  <c r="D29" i="8" s="1"/>
  <c r="I52" i="2"/>
  <c r="H52" i="2"/>
  <c r="H51" i="2"/>
  <c r="J51" i="2" s="1"/>
  <c r="I50" i="2"/>
  <c r="H50" i="2"/>
  <c r="J50" i="2" s="1"/>
  <c r="I49" i="2"/>
  <c r="H49" i="2"/>
  <c r="J49" i="2" s="1"/>
  <c r="I48" i="2"/>
  <c r="H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19" i="2"/>
  <c r="J18" i="2"/>
  <c r="J17" i="2"/>
  <c r="I16" i="2"/>
  <c r="H16" i="2"/>
  <c r="I15" i="2"/>
  <c r="I57" i="2" s="1"/>
  <c r="H15" i="2"/>
  <c r="H57" i="2" s="1"/>
  <c r="D3" i="9" s="1"/>
  <c r="I14" i="2"/>
  <c r="H14" i="2"/>
  <c r="J13" i="2"/>
  <c r="J12" i="2"/>
  <c r="J11" i="2"/>
  <c r="J10" i="2"/>
  <c r="J9" i="2"/>
  <c r="J8" i="2"/>
  <c r="J7" i="2"/>
  <c r="J6" i="2"/>
  <c r="J5" i="2"/>
  <c r="J4" i="2"/>
  <c r="J3" i="2"/>
  <c r="K16" i="10" l="1"/>
  <c r="H54" i="2"/>
  <c r="J53" i="2"/>
  <c r="H58" i="2"/>
  <c r="D5" i="9" s="1"/>
  <c r="H56" i="2"/>
  <c r="D2" i="9" s="1"/>
  <c r="I20" i="2"/>
  <c r="I21" i="2" s="1"/>
  <c r="I59" i="2" s="1"/>
  <c r="I58" i="2"/>
  <c r="I56" i="2"/>
  <c r="I60" i="2"/>
  <c r="J15" i="2"/>
  <c r="I54" i="2"/>
  <c r="I55" i="2" s="1"/>
  <c r="I61" i="2"/>
  <c r="J52" i="2"/>
  <c r="D28" i="8"/>
  <c r="D30" i="8" s="1"/>
  <c r="D31" i="8" s="1"/>
  <c r="J14" i="2"/>
  <c r="J16" i="2"/>
  <c r="D4" i="9"/>
  <c r="J48" i="2"/>
  <c r="J54" i="2"/>
  <c r="H55" i="2"/>
  <c r="J55" i="2" s="1"/>
  <c r="H20" i="2"/>
  <c r="H21" i="2" l="1"/>
  <c r="H59" i="2" s="1"/>
  <c r="D6" i="9" s="1"/>
  <c r="J20" i="2"/>
  <c r="J21" i="2" l="1"/>
  <c r="G26" i="5" l="1"/>
  <c r="G28" i="5" s="1"/>
  <c r="G13" i="5"/>
  <c r="G15" i="10"/>
  <c r="G13" i="10"/>
  <c r="G12" i="10"/>
  <c r="G11" i="10"/>
  <c r="G8" i="10"/>
  <c r="G7" i="10"/>
  <c r="G6" i="10"/>
  <c r="G4" i="10"/>
  <c r="G3" i="10"/>
  <c r="H21" i="6"/>
  <c r="H10" i="6"/>
  <c r="H29" i="6" s="1"/>
  <c r="G9" i="10" s="1"/>
  <c r="G23" i="1"/>
  <c r="G19" i="1"/>
  <c r="G13" i="1"/>
  <c r="G7" i="1"/>
  <c r="G2" i="10" l="1"/>
  <c r="G5" i="10"/>
  <c r="H28" i="6"/>
  <c r="G21" i="1"/>
  <c r="G10" i="10" l="1"/>
  <c r="F23" i="1"/>
  <c r="E23" i="1"/>
  <c r="D23" i="1"/>
  <c r="C23" i="1"/>
  <c r="B23" i="1"/>
  <c r="G14" i="10" l="1"/>
  <c r="C16" i="6"/>
  <c r="C5" i="6"/>
  <c r="B24" i="5"/>
  <c r="B21" i="5"/>
  <c r="B15" i="5"/>
  <c r="B53" i="2"/>
  <c r="C52" i="2"/>
  <c r="B52" i="2"/>
  <c r="C51" i="2"/>
  <c r="B51" i="2"/>
  <c r="C50" i="2"/>
  <c r="B50" i="2"/>
  <c r="C49" i="2"/>
  <c r="B49" i="2"/>
  <c r="C48" i="2"/>
  <c r="B48" i="2"/>
  <c r="C16" i="2"/>
  <c r="B16" i="2"/>
  <c r="B4" i="9" s="1"/>
  <c r="C15" i="2"/>
  <c r="B15" i="2"/>
  <c r="C14" i="2"/>
  <c r="B14" i="2"/>
  <c r="B58" i="2" l="1"/>
  <c r="B5" i="9" s="1"/>
  <c r="B56" i="2"/>
  <c r="B2" i="9" s="1"/>
  <c r="C58" i="2"/>
  <c r="C56" i="2"/>
  <c r="C60" i="2"/>
  <c r="B57" i="2"/>
  <c r="B3" i="9" s="1"/>
  <c r="C20" i="2"/>
  <c r="C21" i="2" s="1"/>
  <c r="C57" i="2"/>
  <c r="C61" i="2"/>
  <c r="G16" i="10"/>
  <c r="B20" i="2"/>
  <c r="B21" i="2" s="1"/>
  <c r="F24" i="5"/>
  <c r="E53" i="2"/>
  <c r="F52" i="2"/>
  <c r="E52" i="2"/>
  <c r="F51" i="2"/>
  <c r="E51" i="2"/>
  <c r="F50" i="2"/>
  <c r="E50" i="2"/>
  <c r="F49" i="2"/>
  <c r="E49" i="2"/>
  <c r="F48" i="2"/>
  <c r="E48" i="2"/>
  <c r="F16" i="2"/>
  <c r="E16" i="2"/>
  <c r="F15" i="2"/>
  <c r="F57" i="2" s="1"/>
  <c r="E15" i="2"/>
  <c r="E57" i="2" s="1"/>
  <c r="C3" i="9" s="1"/>
  <c r="F14" i="2"/>
  <c r="E14" i="2"/>
  <c r="F61" i="2" l="1"/>
  <c r="E58" i="2"/>
  <c r="C5" i="9" s="1"/>
  <c r="E56" i="2"/>
  <c r="C2" i="9" s="1"/>
  <c r="C4" i="9"/>
  <c r="F56" i="2"/>
  <c r="F60" i="2"/>
  <c r="F58" i="2"/>
  <c r="F20" i="2"/>
  <c r="F21" i="2" s="1"/>
  <c r="E20" i="2"/>
  <c r="E21" i="2" s="1"/>
  <c r="B13" i="1"/>
  <c r="B19" i="1"/>
  <c r="B7" i="1"/>
  <c r="C13" i="1"/>
  <c r="C19" i="1"/>
  <c r="C7" i="1"/>
  <c r="B26" i="5"/>
  <c r="B13" i="5"/>
  <c r="B21" i="1" l="1"/>
  <c r="C21" i="1"/>
  <c r="F21" i="6" l="1"/>
  <c r="G21" i="6"/>
  <c r="E21" i="6"/>
  <c r="G10" i="6"/>
  <c r="G29" i="6" s="1"/>
  <c r="F9" i="10" s="1"/>
  <c r="F10" i="6"/>
  <c r="F29" i="6" s="1"/>
  <c r="E9" i="10" s="1"/>
  <c r="E10" i="6"/>
  <c r="E29" i="6" s="1"/>
  <c r="D9" i="10" s="1"/>
  <c r="C26" i="5" l="1"/>
  <c r="C13" i="5"/>
  <c r="E19" i="1"/>
  <c r="D19" i="1"/>
  <c r="F19" i="1"/>
  <c r="D13" i="1"/>
  <c r="E13" i="1"/>
  <c r="F13" i="1"/>
  <c r="D7" i="1"/>
  <c r="E7" i="1"/>
  <c r="F7" i="1"/>
  <c r="B15" i="10" l="1"/>
  <c r="B13" i="10"/>
  <c r="B12" i="10"/>
  <c r="B11" i="10"/>
  <c r="B8" i="10"/>
  <c r="B7" i="10"/>
  <c r="B6" i="10"/>
  <c r="B4" i="10"/>
  <c r="B3" i="10"/>
  <c r="C10" i="6"/>
  <c r="C21" i="6"/>
  <c r="B5" i="10" s="1"/>
  <c r="C28" i="6"/>
  <c r="B2" i="10" l="1"/>
  <c r="B10" i="10" s="1"/>
  <c r="B14" i="10" s="1"/>
  <c r="B16" i="10" s="1"/>
  <c r="C29" i="6"/>
  <c r="B9" i="10" s="1"/>
  <c r="F26" i="5"/>
  <c r="E26" i="5"/>
  <c r="D26" i="5"/>
  <c r="F13" i="5"/>
  <c r="E13" i="5"/>
  <c r="D13" i="5"/>
  <c r="F28" i="6"/>
  <c r="G28" i="6"/>
  <c r="E28" i="6"/>
  <c r="F28" i="5" l="1"/>
  <c r="D10" i="6"/>
  <c r="D29" i="6" s="1"/>
  <c r="C9" i="10" s="1"/>
  <c r="D21" i="1"/>
  <c r="E21" i="1"/>
  <c r="F21" i="1"/>
  <c r="C6" i="10" l="1"/>
  <c r="D6" i="10"/>
  <c r="E6" i="10"/>
  <c r="F6" i="10"/>
  <c r="C7" i="10"/>
  <c r="D7" i="10"/>
  <c r="E7" i="10"/>
  <c r="F7" i="10"/>
  <c r="C8" i="10"/>
  <c r="D8" i="10"/>
  <c r="E8" i="10"/>
  <c r="F8" i="10"/>
  <c r="C3" i="10"/>
  <c r="D3" i="10"/>
  <c r="E3" i="10"/>
  <c r="F3" i="10"/>
  <c r="C4" i="10"/>
  <c r="D4" i="10"/>
  <c r="E4" i="10"/>
  <c r="F4" i="10"/>
  <c r="D28" i="6" l="1"/>
  <c r="D21" i="6"/>
  <c r="G6" i="12" l="1"/>
  <c r="F2" i="12"/>
  <c r="G2" i="12"/>
  <c r="F3" i="12"/>
  <c r="G3" i="12"/>
  <c r="F4" i="12"/>
  <c r="G4" i="12"/>
  <c r="F5" i="12"/>
  <c r="G5" i="12"/>
  <c r="F6" i="12"/>
  <c r="F7" i="12"/>
  <c r="G7" i="12"/>
  <c r="F8" i="12"/>
  <c r="G8" i="12"/>
  <c r="F9" i="12"/>
  <c r="G9" i="12"/>
  <c r="E9" i="12"/>
  <c r="E8" i="12"/>
  <c r="E7" i="12"/>
  <c r="E6" i="12"/>
  <c r="E5" i="12"/>
  <c r="E4" i="12"/>
  <c r="E3" i="12"/>
  <c r="E2" i="12"/>
  <c r="D11" i="10"/>
  <c r="E11" i="10"/>
  <c r="F11" i="10"/>
  <c r="D12" i="10"/>
  <c r="E12" i="10"/>
  <c r="F12" i="10"/>
  <c r="D13" i="10"/>
  <c r="E13" i="10"/>
  <c r="F13" i="10"/>
  <c r="D15" i="10"/>
  <c r="E15" i="10"/>
  <c r="F15" i="10"/>
  <c r="C15" i="10"/>
  <c r="C13" i="10"/>
  <c r="C12" i="10"/>
  <c r="C11" i="10"/>
  <c r="L2" i="8" l="1"/>
  <c r="L3" i="8"/>
  <c r="L4" i="8"/>
  <c r="L5" i="8"/>
  <c r="L6" i="8"/>
  <c r="L7" i="8"/>
  <c r="L8" i="8"/>
  <c r="L9" i="8"/>
  <c r="L11" i="8"/>
  <c r="L12" i="8"/>
  <c r="L13" i="8"/>
  <c r="L14" i="8"/>
  <c r="L16" i="8"/>
  <c r="L17" i="8"/>
  <c r="L18" i="8"/>
  <c r="L19" i="8"/>
  <c r="L22" i="8"/>
  <c r="L23" i="8"/>
  <c r="L24" i="8"/>
  <c r="L25" i="8"/>
  <c r="L26" i="8"/>
  <c r="L29" i="8"/>
  <c r="I26" i="8"/>
  <c r="M26" i="8" s="1"/>
  <c r="I25" i="8"/>
  <c r="M25" i="8" s="1"/>
  <c r="I24" i="8"/>
  <c r="K24" i="8" s="1"/>
  <c r="I23" i="8"/>
  <c r="I22" i="8"/>
  <c r="K22" i="8" s="1"/>
  <c r="I19" i="8"/>
  <c r="K19" i="8" s="1"/>
  <c r="I18" i="8"/>
  <c r="I17" i="8"/>
  <c r="M17" i="8" s="1"/>
  <c r="I16" i="8"/>
  <c r="I14" i="8"/>
  <c r="K14" i="8" s="1"/>
  <c r="I13" i="8"/>
  <c r="M13" i="8" s="1"/>
  <c r="I12" i="8"/>
  <c r="K12" i="8" s="1"/>
  <c r="I11" i="8"/>
  <c r="K11" i="8" s="1"/>
  <c r="I9" i="8"/>
  <c r="K9" i="8" s="1"/>
  <c r="I8" i="8"/>
  <c r="K8" i="8" s="1"/>
  <c r="I7" i="8"/>
  <c r="I6" i="8"/>
  <c r="K6" i="8" s="1"/>
  <c r="I5" i="8"/>
  <c r="K5" i="8" s="1"/>
  <c r="I4" i="8"/>
  <c r="K4" i="8" s="1"/>
  <c r="I3" i="8"/>
  <c r="K3" i="8" s="1"/>
  <c r="I2" i="8"/>
  <c r="K2" i="8" s="1"/>
  <c r="C29" i="8"/>
  <c r="C28" i="8"/>
  <c r="C26" i="8"/>
  <c r="C25" i="8"/>
  <c r="C24" i="8"/>
  <c r="C23" i="8"/>
  <c r="C22" i="8"/>
  <c r="C19" i="8"/>
  <c r="C18" i="8"/>
  <c r="C17" i="8"/>
  <c r="C16" i="8"/>
  <c r="C14" i="8"/>
  <c r="C13" i="8"/>
  <c r="C12" i="8"/>
  <c r="C11" i="8"/>
  <c r="C9" i="8"/>
  <c r="C8" i="8"/>
  <c r="C7" i="8"/>
  <c r="C6" i="8"/>
  <c r="C5" i="8"/>
  <c r="C4" i="8"/>
  <c r="C3" i="8"/>
  <c r="C2" i="8"/>
  <c r="B12" i="8"/>
  <c r="B13" i="8"/>
  <c r="B14" i="8"/>
  <c r="B29" i="8"/>
  <c r="B28" i="8"/>
  <c r="B23" i="8"/>
  <c r="B24" i="8"/>
  <c r="B25" i="8"/>
  <c r="B26" i="8"/>
  <c r="B22" i="8"/>
  <c r="B17" i="8"/>
  <c r="B18" i="8"/>
  <c r="B19" i="8"/>
  <c r="B16" i="8"/>
  <c r="B11" i="8"/>
  <c r="B3" i="8"/>
  <c r="B4" i="8"/>
  <c r="B5" i="8"/>
  <c r="B6" i="8"/>
  <c r="B7" i="8"/>
  <c r="B8" i="8"/>
  <c r="B9" i="8"/>
  <c r="B2" i="8"/>
  <c r="L2" i="7"/>
  <c r="L3" i="7"/>
  <c r="L4" i="7"/>
  <c r="L6" i="7"/>
  <c r="L7" i="7"/>
  <c r="L8" i="7"/>
  <c r="L9" i="7"/>
  <c r="L10" i="7"/>
  <c r="L12" i="7"/>
  <c r="L13" i="7"/>
  <c r="L14" i="7"/>
  <c r="L17" i="7"/>
  <c r="L18" i="7"/>
  <c r="L19" i="7"/>
  <c r="I19" i="7"/>
  <c r="K19" i="7" s="1"/>
  <c r="I18" i="7"/>
  <c r="I17" i="7"/>
  <c r="K17" i="7" s="1"/>
  <c r="I14" i="7"/>
  <c r="K14" i="7" s="1"/>
  <c r="I13" i="7"/>
  <c r="I12" i="7"/>
  <c r="I10" i="7"/>
  <c r="K10" i="7" s="1"/>
  <c r="I9" i="7"/>
  <c r="K9" i="7" s="1"/>
  <c r="I8" i="7"/>
  <c r="K8" i="7" s="1"/>
  <c r="I7" i="7"/>
  <c r="K7" i="7" s="1"/>
  <c r="I6" i="7"/>
  <c r="K6" i="7" s="1"/>
  <c r="I4" i="7"/>
  <c r="K4" i="7" s="1"/>
  <c r="I3" i="7"/>
  <c r="K3" i="7" s="1"/>
  <c r="I2" i="7"/>
  <c r="K2" i="7" s="1"/>
  <c r="C19" i="7"/>
  <c r="C18" i="7"/>
  <c r="C17" i="7"/>
  <c r="C14" i="7"/>
  <c r="C13" i="7"/>
  <c r="C12" i="7"/>
  <c r="C10" i="7"/>
  <c r="C9" i="7"/>
  <c r="C8" i="7"/>
  <c r="C7" i="7"/>
  <c r="C6" i="7"/>
  <c r="C4" i="7"/>
  <c r="C3" i="7"/>
  <c r="C2" i="7"/>
  <c r="B18" i="7"/>
  <c r="B19" i="7"/>
  <c r="B17" i="7"/>
  <c r="B13" i="7"/>
  <c r="B14" i="7"/>
  <c r="B12" i="7"/>
  <c r="B7" i="7"/>
  <c r="B8" i="7"/>
  <c r="B9" i="7"/>
  <c r="B10" i="7"/>
  <c r="B6" i="7"/>
  <c r="B3" i="7"/>
  <c r="B4" i="7"/>
  <c r="B2" i="7"/>
  <c r="M19" i="8" l="1"/>
  <c r="M7" i="8"/>
  <c r="M5" i="8"/>
  <c r="M9" i="8"/>
  <c r="M8" i="7"/>
  <c r="M13" i="7"/>
  <c r="M6" i="7"/>
  <c r="M18" i="8"/>
  <c r="M6" i="8"/>
  <c r="M22" i="8"/>
  <c r="L20" i="8"/>
  <c r="M10" i="7"/>
  <c r="M9" i="7"/>
  <c r="M19" i="7"/>
  <c r="L11" i="7"/>
  <c r="I15" i="8"/>
  <c r="K15" i="8" s="1"/>
  <c r="M23" i="8"/>
  <c r="B5" i="7"/>
  <c r="M4" i="8"/>
  <c r="M8" i="8"/>
  <c r="M24" i="8"/>
  <c r="L15" i="7"/>
  <c r="M14" i="7"/>
  <c r="B11" i="7"/>
  <c r="M4" i="7"/>
  <c r="B27" i="8"/>
  <c r="B15" i="7"/>
  <c r="I27" i="8"/>
  <c r="K27" i="8" s="1"/>
  <c r="L27" i="8"/>
  <c r="L15" i="8"/>
  <c r="C27" i="8"/>
  <c r="L10" i="8"/>
  <c r="I10" i="8"/>
  <c r="K10" i="8" s="1"/>
  <c r="I20" i="8"/>
  <c r="K20" i="8" s="1"/>
  <c r="C10" i="8"/>
  <c r="C15" i="8"/>
  <c r="C20" i="8"/>
  <c r="M14" i="8"/>
  <c r="M3" i="8"/>
  <c r="M12" i="8"/>
  <c r="B20" i="8"/>
  <c r="B15" i="8"/>
  <c r="B10" i="8"/>
  <c r="M2" i="8"/>
  <c r="M11" i="8"/>
  <c r="M16" i="8"/>
  <c r="M2" i="7"/>
  <c r="L5" i="7"/>
  <c r="M17" i="7"/>
  <c r="C15" i="7"/>
  <c r="C11" i="7"/>
  <c r="M7" i="7"/>
  <c r="M12" i="7"/>
  <c r="M18" i="7"/>
  <c r="I11" i="7"/>
  <c r="K11" i="7" s="1"/>
  <c r="I5" i="7"/>
  <c r="K5" i="7" s="1"/>
  <c r="I15" i="7"/>
  <c r="K15" i="7" s="1"/>
  <c r="M3" i="7"/>
  <c r="C5" i="7"/>
  <c r="I21" i="8" l="1"/>
  <c r="K21" i="8" s="1"/>
  <c r="B21" i="8"/>
  <c r="C21" i="8"/>
  <c r="L21" i="8"/>
  <c r="C16" i="7"/>
  <c r="L16" i="7"/>
  <c r="I16" i="7"/>
  <c r="K16" i="7" s="1"/>
  <c r="B16" i="7"/>
  <c r="B20" i="7"/>
  <c r="B21" i="7" s="1"/>
  <c r="L20" i="7"/>
  <c r="L21" i="7" s="1"/>
  <c r="M11" i="7"/>
  <c r="M20" i="8"/>
  <c r="M15" i="7"/>
  <c r="C30" i="8"/>
  <c r="C31" i="8" s="1"/>
  <c r="M27" i="8"/>
  <c r="B30" i="8"/>
  <c r="B31" i="8" s="1"/>
  <c r="M15" i="8"/>
  <c r="M10" i="8"/>
  <c r="C20" i="7"/>
  <c r="C21" i="7" s="1"/>
  <c r="I20" i="7"/>
  <c r="K20" i="7" s="1"/>
  <c r="M5" i="7"/>
  <c r="I21" i="7" l="1"/>
  <c r="K21" i="7" s="1"/>
  <c r="M21" i="8"/>
  <c r="M16" i="7"/>
  <c r="M20" i="7"/>
  <c r="L28" i="8"/>
  <c r="L30" i="8" s="1"/>
  <c r="L31" i="8" s="1"/>
  <c r="J2" i="7" l="1"/>
  <c r="J5" i="7"/>
  <c r="J13" i="7"/>
  <c r="J12" i="7"/>
  <c r="J11" i="7"/>
  <c r="J9" i="7"/>
  <c r="J10" i="7"/>
  <c r="J8" i="7"/>
  <c r="J21" i="7"/>
  <c r="M21" i="7"/>
  <c r="J4" i="7"/>
  <c r="J6" i="7"/>
  <c r="J17" i="7"/>
  <c r="J3" i="7"/>
  <c r="J15" i="7"/>
  <c r="J14" i="7"/>
  <c r="J18" i="7"/>
  <c r="J7" i="7"/>
  <c r="J16" i="7"/>
  <c r="C5" i="10"/>
  <c r="C2" i="10"/>
  <c r="C10" i="10" l="1"/>
  <c r="C14" i="10" l="1"/>
  <c r="C16" i="10" s="1"/>
  <c r="E5" i="10" l="1"/>
  <c r="F5" i="10"/>
  <c r="D5" i="10"/>
  <c r="E2" i="10"/>
  <c r="F2" i="10"/>
  <c r="D2" i="10"/>
  <c r="E10" i="10" l="1"/>
  <c r="E14" i="10" s="1"/>
  <c r="E16" i="10" s="1"/>
  <c r="D10" i="10"/>
  <c r="D14" i="10" s="1"/>
  <c r="D16" i="10" s="1"/>
  <c r="F10" i="10"/>
  <c r="E54" i="2"/>
  <c r="E55" i="2" s="1"/>
  <c r="E59" i="2" s="1"/>
  <c r="C6" i="9" s="1"/>
  <c r="F54" i="2"/>
  <c r="F55" i="2" s="1"/>
  <c r="F59" i="2" s="1"/>
  <c r="F14" i="10" l="1"/>
  <c r="F16" i="10" l="1"/>
  <c r="Y47" i="2" l="1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19" i="2"/>
  <c r="Y18" i="2"/>
  <c r="Y17" i="2"/>
  <c r="Y13" i="2"/>
  <c r="Y12" i="2"/>
  <c r="Y11" i="2"/>
  <c r="Y10" i="2"/>
  <c r="Y9" i="2"/>
  <c r="Y8" i="2"/>
  <c r="Y7" i="2"/>
  <c r="Y6" i="2"/>
  <c r="Y5" i="2"/>
  <c r="Y4" i="2"/>
  <c r="Y3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19" i="2"/>
  <c r="G18" i="2"/>
  <c r="G17" i="2"/>
  <c r="G13" i="2"/>
  <c r="G11" i="2"/>
  <c r="G10" i="2"/>
  <c r="G9" i="2"/>
  <c r="G8" i="2"/>
  <c r="G7" i="2"/>
  <c r="G6" i="2"/>
  <c r="G5" i="2"/>
  <c r="G4" i="2"/>
  <c r="G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23" i="2"/>
  <c r="D4" i="2"/>
  <c r="D5" i="2"/>
  <c r="D6" i="2"/>
  <c r="D7" i="2"/>
  <c r="D8" i="2"/>
  <c r="D9" i="2"/>
  <c r="D10" i="2"/>
  <c r="D11" i="2"/>
  <c r="D13" i="2"/>
  <c r="D17" i="2"/>
  <c r="D18" i="2"/>
  <c r="D19" i="2"/>
  <c r="D3" i="2"/>
  <c r="I28" i="8" l="1"/>
  <c r="Y53" i="2" l="1"/>
  <c r="I29" i="8"/>
  <c r="K29" i="8" s="1"/>
  <c r="M28" i="8"/>
  <c r="Y49" i="2"/>
  <c r="Y52" i="2"/>
  <c r="Y51" i="2"/>
  <c r="Y50" i="2"/>
  <c r="Y48" i="2"/>
  <c r="Y16" i="2"/>
  <c r="Y14" i="2"/>
  <c r="Y15" i="2"/>
  <c r="I30" i="8" l="1"/>
  <c r="K30" i="8" s="1"/>
  <c r="M29" i="8"/>
  <c r="Y21" i="2"/>
  <c r="Y20" i="2"/>
  <c r="Y54" i="2"/>
  <c r="G12" i="2"/>
  <c r="D53" i="2"/>
  <c r="D52" i="2"/>
  <c r="X59" i="2" l="1"/>
  <c r="Y55" i="2"/>
  <c r="W59" i="2"/>
  <c r="I31" i="8"/>
  <c r="K31" i="8" s="1"/>
  <c r="M30" i="8"/>
  <c r="G14" i="2"/>
  <c r="G15" i="2"/>
  <c r="G48" i="2"/>
  <c r="G49" i="2"/>
  <c r="G50" i="2"/>
  <c r="G51" i="2"/>
  <c r="G52" i="2"/>
  <c r="G53" i="2"/>
  <c r="D14" i="2"/>
  <c r="D16" i="2"/>
  <c r="D12" i="2"/>
  <c r="D49" i="2"/>
  <c r="D51" i="2"/>
  <c r="D15" i="2"/>
  <c r="D48" i="2"/>
  <c r="D50" i="2"/>
  <c r="C54" i="2"/>
  <c r="C55" i="2" s="1"/>
  <c r="C59" i="2" s="1"/>
  <c r="B54" i="2"/>
  <c r="I6" i="9" l="1"/>
  <c r="J6" i="9" s="1"/>
  <c r="Z59" i="2"/>
  <c r="K6" i="9"/>
  <c r="AA59" i="2"/>
  <c r="J17" i="8"/>
  <c r="J24" i="8"/>
  <c r="M31" i="8"/>
  <c r="J7" i="8"/>
  <c r="J6" i="8"/>
  <c r="J23" i="8"/>
  <c r="J19" i="8"/>
  <c r="J16" i="8"/>
  <c r="J28" i="8"/>
  <c r="J2" i="8"/>
  <c r="J26" i="8"/>
  <c r="J18" i="8"/>
  <c r="J10" i="8"/>
  <c r="J15" i="8"/>
  <c r="J25" i="8"/>
  <c r="J11" i="8"/>
  <c r="J8" i="8"/>
  <c r="J14" i="8"/>
  <c r="J21" i="8"/>
  <c r="J20" i="8"/>
  <c r="J5" i="8"/>
  <c r="J12" i="8"/>
  <c r="J27" i="8"/>
  <c r="J4" i="8"/>
  <c r="J22" i="8"/>
  <c r="J3" i="8"/>
  <c r="J9" i="8"/>
  <c r="J31" i="8"/>
  <c r="J13" i="8"/>
  <c r="G20" i="2"/>
  <c r="G54" i="2"/>
  <c r="G16" i="2"/>
  <c r="D21" i="2"/>
  <c r="D20" i="2"/>
  <c r="B55" i="2"/>
  <c r="D54" i="2"/>
  <c r="D55" i="2" l="1"/>
  <c r="B59" i="2"/>
  <c r="B6" i="9" s="1"/>
  <c r="G21" i="2"/>
  <c r="G55" i="2"/>
</calcChain>
</file>

<file path=xl/sharedStrings.xml><?xml version="1.0" encoding="utf-8"?>
<sst xmlns="http://schemas.openxmlformats.org/spreadsheetml/2006/main" count="496" uniqueCount="368">
  <si>
    <t>Risultato di amministrazione (A)</t>
  </si>
  <si>
    <t>Parte accantonata (B)</t>
  </si>
  <si>
    <t>Parte vincolata (C)</t>
  </si>
  <si>
    <t>Parte destinata a investimenti (D)</t>
  </si>
  <si>
    <t>Parte disponibile (E=A-B-C-D)</t>
  </si>
  <si>
    <t>Saldo di cassa</t>
  </si>
  <si>
    <t>Residui attivi</t>
  </si>
  <si>
    <t>Residui passivi</t>
  </si>
  <si>
    <t>FPV per spese correnti</t>
  </si>
  <si>
    <t>FPV per spese in conto capitale</t>
  </si>
  <si>
    <t>Fondo crediti di dubbia esigibilità</t>
  </si>
  <si>
    <t>Fondo anticipazioni liquidità DL35/2013</t>
  </si>
  <si>
    <t>Fondo perdite società partecipate</t>
  </si>
  <si>
    <t>Fondo contenzioso</t>
  </si>
  <si>
    <t>Altri accantonamenti</t>
  </si>
  <si>
    <t>Vincoli da trasferimenti</t>
  </si>
  <si>
    <t>Vincoli da leggi e principi contabili</t>
  </si>
  <si>
    <t>Vincoli da contrazione di mutui</t>
  </si>
  <si>
    <t>Vincoli attribuiti dall'ente</t>
  </si>
  <si>
    <t>Altri vincoli</t>
  </si>
  <si>
    <t xml:space="preserve">  100 Entrate correnti di natura tributaria, contributiva e perequativa </t>
  </si>
  <si>
    <t xml:space="preserve">  200 Trasferimenti correnti </t>
  </si>
  <si>
    <t xml:space="preserve">  300 Entrate extratributarie </t>
  </si>
  <si>
    <t xml:space="preserve">  401 Tributi in conto capitale</t>
  </si>
  <si>
    <t xml:space="preserve">  402 Contributi agli investimenti </t>
  </si>
  <si>
    <t xml:space="preserve">  403 Altri trasferimenti in conto capitale </t>
  </si>
  <si>
    <t xml:space="preserve">  404 Entrate da alienazione di beni materiali e immateriali </t>
  </si>
  <si>
    <t xml:space="preserve">  405 Altre entrate in conto capitale </t>
  </si>
  <si>
    <t xml:space="preserve">  501 Alienazione di attività finanziarie </t>
  </si>
  <si>
    <t xml:space="preserve">  502_3 Riscossione di crediti </t>
  </si>
  <si>
    <t xml:space="preserve">  504 Altre entrate per riduzione di attività finanziarie </t>
  </si>
  <si>
    <t xml:space="preserve"> - Entrate correnti </t>
  </si>
  <si>
    <t xml:space="preserve"> - Entrate in conto capitale</t>
  </si>
  <si>
    <t xml:space="preserve"> - Entrate da riduzione attività finanziarie </t>
  </si>
  <si>
    <t xml:space="preserve"> - Accensione di prestiti </t>
  </si>
  <si>
    <t xml:space="preserve"> - Anticipazioni da istituto tesoriere/cassiere </t>
  </si>
  <si>
    <t xml:space="preserve"> - Entrate per conto terzi e partite di giro</t>
  </si>
  <si>
    <t>Totale Entrate</t>
  </si>
  <si>
    <t>Entrate nette</t>
  </si>
  <si>
    <t xml:space="preserve">101 REDDITI DA LAVORO DIPENDENTE </t>
  </si>
  <si>
    <t xml:space="preserve">102 IMPOSTE E TASSE A CARICO DELL'ENTE </t>
  </si>
  <si>
    <t xml:space="preserve">103 ACQUISTO DI BENI E SERVIZI </t>
  </si>
  <si>
    <t xml:space="preserve">104 TRASFERIMENTI CORRENTI </t>
  </si>
  <si>
    <t xml:space="preserve">107 INTERESSI PASSIVI </t>
  </si>
  <si>
    <t xml:space="preserve">108 ALTRE SPESE PER REDDITI DA CAPITALE </t>
  </si>
  <si>
    <t xml:space="preserve">109 RIMBORSI E POSTE CORRETTIVE DELLE ENTRATE </t>
  </si>
  <si>
    <t xml:space="preserve">110 ALTRE SPESE CORRENTI </t>
  </si>
  <si>
    <t>201 TRIBUTI IN CONTO CAPITALE A CARICO DELL?ENTE</t>
  </si>
  <si>
    <t xml:space="preserve">202 INVESTIMENTI FISSI LORDI E ACQUISTO DI TERRENI </t>
  </si>
  <si>
    <t xml:space="preserve">203 CONTRIBUTI AGLI INVESTIMENTI </t>
  </si>
  <si>
    <t xml:space="preserve">204ALTRI TRASFERIMENTI IN CONTO CAPITALE </t>
  </si>
  <si>
    <t xml:space="preserve">205ALTRE SPESE IN CONTO CAPITALE </t>
  </si>
  <si>
    <t xml:space="preserve">301 ACQUISIZIONI DI ATTIVITA' FINANZIARIE </t>
  </si>
  <si>
    <t xml:space="preserve">303 CONCESSIONE CREDITI DI MEDIO-LUNGO TERMINE </t>
  </si>
  <si>
    <t xml:space="preserve">304 ALTRE SPESE PER INCREMENTO DI ATTIVITA' FINANZIARIE </t>
  </si>
  <si>
    <t xml:space="preserve">401 RIMBORSO DI TITOLI OBBLIGAZIONARI </t>
  </si>
  <si>
    <t xml:space="preserve">402 RIMBORSO PRESTITI A BREVE TERMINE </t>
  </si>
  <si>
    <t xml:space="preserve">403 RIMBORSO MUTUI E ALTRI FINANZIAMENTI A MEDIO LUNGO TERMINE </t>
  </si>
  <si>
    <t xml:space="preserve">404 RIMBORSO DI ALTRE FORME DI INDEBITAMENTO </t>
  </si>
  <si>
    <t xml:space="preserve">405 FONDI PER RIMBORSO PRESTITI </t>
  </si>
  <si>
    <t xml:space="preserve">501 CHIUSURA ANTICIPAZIONI RICEVUTE DA ISTITUTO TESORIERE/CASSIERE </t>
  </si>
  <si>
    <t xml:space="preserve">701 USCITE PER PARTITE DI GIRO </t>
  </si>
  <si>
    <t xml:space="preserve">702 USCITE PER CONTO TERZI </t>
  </si>
  <si>
    <t>1 Spese correnti</t>
  </si>
  <si>
    <t>2 Spese in conto capitale</t>
  </si>
  <si>
    <t>3 Spese per incremento attività finanziaria</t>
  </si>
  <si>
    <t>4 Rimborso prestiti</t>
  </si>
  <si>
    <t>5 Chiusura anticipazioni ricevute tesoriere/cassiere</t>
  </si>
  <si>
    <t>7 Conto terzi e partite di giro</t>
  </si>
  <si>
    <t>Totale Uscite</t>
  </si>
  <si>
    <t>Uscite nette</t>
  </si>
  <si>
    <t>Saldo corrente</t>
  </si>
  <si>
    <t>Saldo in conto capitale</t>
  </si>
  <si>
    <t>Acc</t>
  </si>
  <si>
    <t>Risc</t>
  </si>
  <si>
    <t>Imp</t>
  </si>
  <si>
    <t>Pag</t>
  </si>
  <si>
    <t>Rigidità strutturale di bilancio</t>
  </si>
  <si>
    <t>1.1</t>
  </si>
  <si>
    <t>Incidenza spese rigide (ripiano disavanzo,personale e debito) su entrate correnti</t>
  </si>
  <si>
    <t>Entrate correnti</t>
  </si>
  <si>
    <t>2.1</t>
  </si>
  <si>
    <t>Incidenza degli accertamenti di parte corrente sulle previsioni iniziali di parte corrente</t>
  </si>
  <si>
    <t>2.2</t>
  </si>
  <si>
    <t>Incidenza degli accertamenti di parte corrente sulle previsioni definitive di parte corrente</t>
  </si>
  <si>
    <t>2.3</t>
  </si>
  <si>
    <t>Incidenza degli accertamenti delle entrate proprie sulle previsioni iniziali di parte corrente</t>
  </si>
  <si>
    <t>2.4</t>
  </si>
  <si>
    <t>Incidenza degli accertamenti delle entrate proprie sulle previsioni definitive di parte corrente</t>
  </si>
  <si>
    <t>2.5</t>
  </si>
  <si>
    <t>Incidenza degli incassi correnti sulle previsioni iniziali di parte corrente</t>
  </si>
  <si>
    <t>2.6</t>
  </si>
  <si>
    <t>Incidenza degli incassi correnti sulle previsioni definitive di parte corrente</t>
  </si>
  <si>
    <t>2.7</t>
  </si>
  <si>
    <t>Incidenza degli incassi delle entrate proprie sulle previsioni iniziali di parte corrente</t>
  </si>
  <si>
    <t>2.8</t>
  </si>
  <si>
    <t>Incidenza degli incassi delle entrate proprie sulle previsioni definitive di parte corrente</t>
  </si>
  <si>
    <t>Anticipazioni dell'Istituto tesoriere</t>
  </si>
  <si>
    <t>3.1</t>
  </si>
  <si>
    <t>Utilizzo medio Anticipazioni di tesoreria</t>
  </si>
  <si>
    <t>3.2</t>
  </si>
  <si>
    <t>Anticipazione chiuse solo contabilmente</t>
  </si>
  <si>
    <t>Spese di personale</t>
  </si>
  <si>
    <t>4.1</t>
  </si>
  <si>
    <t>Incidenza della spesa di personale sulla spesa corrente</t>
  </si>
  <si>
    <t>4.2</t>
  </si>
  <si>
    <t>Incidenza del salario accessorio ed incentivante rispetto al totale della spesa di personale</t>
  </si>
  <si>
    <t>4.3</t>
  </si>
  <si>
    <t>Incidenza spesa personale flessibile rispetto al totale della spesa di personale</t>
  </si>
  <si>
    <t>4.4</t>
  </si>
  <si>
    <t>Spesa di personale procapite</t>
  </si>
  <si>
    <t>Esternalizzazione dei servizi</t>
  </si>
  <si>
    <t>5.1</t>
  </si>
  <si>
    <t>Indicatore di esternalizzazione dei servizi</t>
  </si>
  <si>
    <t>Interessi passivi</t>
  </si>
  <si>
    <t>6.1</t>
  </si>
  <si>
    <t>Incidenza degli interessi passivi sulla spesa corrente</t>
  </si>
  <si>
    <t>6.2</t>
  </si>
  <si>
    <t>Incidenza degli interessi passivi sulle anticipazioni sul totale della spesa per interessi passivi</t>
  </si>
  <si>
    <t>6.3</t>
  </si>
  <si>
    <t>Incidenza interessi di mora sul totale della spesa per interessi passivi</t>
  </si>
  <si>
    <t>Investimenti</t>
  </si>
  <si>
    <t>7.1</t>
  </si>
  <si>
    <t>Incidenza investimenti sul totale della spesa corrente e in conto capitale</t>
  </si>
  <si>
    <t>7.2</t>
  </si>
  <si>
    <t>Investimenti diretti procapite</t>
  </si>
  <si>
    <t>7.3</t>
  </si>
  <si>
    <t>Contributi agli investimenti procapite</t>
  </si>
  <si>
    <t>7.4</t>
  </si>
  <si>
    <t>Investimenti complessivi procapite</t>
  </si>
  <si>
    <t>7.5</t>
  </si>
  <si>
    <t>Quota investimenti complessivi finanziati dal risparmio corrente</t>
  </si>
  <si>
    <t>7.6</t>
  </si>
  <si>
    <t>Quota investimenti complessivi finanziati dal saldo positivo delle partite finanziarie</t>
  </si>
  <si>
    <t>7.7</t>
  </si>
  <si>
    <t>Quota investimenti complessivi finanziati da debito</t>
  </si>
  <si>
    <t>Analisi dei residui</t>
  </si>
  <si>
    <t>8.1</t>
  </si>
  <si>
    <t>Incidenza nuovi residui passivi di parte corrente su stock residui passivi correnti</t>
  </si>
  <si>
    <t>8.2</t>
  </si>
  <si>
    <t>Incidenza nuovi residui passivi in c/capitale su stock residui passivi in conto capitale al 31/12</t>
  </si>
  <si>
    <t>8.3</t>
  </si>
  <si>
    <t>Incidenza nuovi residui passivi per incremento attività finanziarie su stock residui passivi per incremento attività finanziarie al 31/12</t>
  </si>
  <si>
    <t>8.4</t>
  </si>
  <si>
    <t>Incidenza nuovi residui attivi di parte corrente su stock residui attivi di parte corrente</t>
  </si>
  <si>
    <t>8.5</t>
  </si>
  <si>
    <t>Incidenza nuovi residui attivi in c/capitale su stock residui attivi in c/capitale</t>
  </si>
  <si>
    <t>8.6</t>
  </si>
  <si>
    <t>Incidenza nuovi residui attivi per riduzione di attività finanziarie su stock residui attivi per riduzione di attività finanziarie</t>
  </si>
  <si>
    <t>Smaltimento debiti non finanziari</t>
  </si>
  <si>
    <t>9.1</t>
  </si>
  <si>
    <t>Smaltimento debiti commerciali nati nell'esercizio</t>
  </si>
  <si>
    <t>9.2</t>
  </si>
  <si>
    <t>Smaltimento debiti commerciali nati negli esercizi precedenti</t>
  </si>
  <si>
    <t>9.3</t>
  </si>
  <si>
    <t>Smaltimento debiti verso altre amministrazioni pubbliche nati nell'esercizio</t>
  </si>
  <si>
    <t>9.4</t>
  </si>
  <si>
    <t>Smaltimento debiti verso altre amministrazioni pubbliche nati negli esercizi precedenti</t>
  </si>
  <si>
    <t>9.5</t>
  </si>
  <si>
    <t>Indicatore annuale di tempestività dei pagamenti</t>
  </si>
  <si>
    <t>Debiti finanziari</t>
  </si>
  <si>
    <t>10.1</t>
  </si>
  <si>
    <t>Incidenza estinzioni anticipate debiti finanziari</t>
  </si>
  <si>
    <t>10.2</t>
  </si>
  <si>
    <t>Incidenza estinzioni ordinarie debiti finanziari</t>
  </si>
  <si>
    <t>10.3</t>
  </si>
  <si>
    <t>Sostenibilità debiti finanziari</t>
  </si>
  <si>
    <t>10.4</t>
  </si>
  <si>
    <t>Indebitamento procapite</t>
  </si>
  <si>
    <t>Composizione dell'avanzo di amministrazione</t>
  </si>
  <si>
    <t>11.1</t>
  </si>
  <si>
    <t>Incidenza quota libera di parte corrente nell'avanzo</t>
  </si>
  <si>
    <t>11.2</t>
  </si>
  <si>
    <t>Incidenza quota libera in c/capitale nell'avanzo</t>
  </si>
  <si>
    <t>11.3</t>
  </si>
  <si>
    <t>Incidenza quota accantonata nell'avanzo</t>
  </si>
  <si>
    <t>11.4</t>
  </si>
  <si>
    <t>Incidenza quota vincolata nell'avanzo</t>
  </si>
  <si>
    <t>Disavanzo di amministrazione</t>
  </si>
  <si>
    <t>12.1</t>
  </si>
  <si>
    <t>Quota disavanzo ripianato nell'esercizio</t>
  </si>
  <si>
    <t>12.2</t>
  </si>
  <si>
    <t>Incremento del disavanzo rispetto all'esercizio precedente</t>
  </si>
  <si>
    <t>12.3</t>
  </si>
  <si>
    <t>Sostenibilità patrimoniale del disavanzo</t>
  </si>
  <si>
    <t>12.4</t>
  </si>
  <si>
    <t>Sostenibilità disavanzo effettivamente a carico dell'esercizio</t>
  </si>
  <si>
    <t>Debiti fuori bilancio</t>
  </si>
  <si>
    <t>13.1</t>
  </si>
  <si>
    <t>Debiti riconosciuti e finanziati</t>
  </si>
  <si>
    <t>13.2</t>
  </si>
  <si>
    <t>Debiti in corso di riconoscimento</t>
  </si>
  <si>
    <t>13.3</t>
  </si>
  <si>
    <t>Debiti riconosciuti e in corso di finanziamento</t>
  </si>
  <si>
    <t>Fondo pluriennale vincolato</t>
  </si>
  <si>
    <t>14.1</t>
  </si>
  <si>
    <t>Utilizzo del FPV</t>
  </si>
  <si>
    <t>Partite di giro e conto terzi</t>
  </si>
  <si>
    <t>15.1</t>
  </si>
  <si>
    <t>Incidenza partite di giro e conto terzi in entrata</t>
  </si>
  <si>
    <t>15.2</t>
  </si>
  <si>
    <t>Incidenza partite di giro e conto terzi in uscita</t>
  </si>
  <si>
    <t>Complessiva</t>
  </si>
  <si>
    <t>Crediti esigibili nell'esercizio</t>
  </si>
  <si>
    <t>Crediti esigibili negli esercizi precedenti</t>
  </si>
  <si>
    <t>Istruzione e diritto allo studio</t>
  </si>
  <si>
    <t>Trasporti e diritto alla mobilità</t>
  </si>
  <si>
    <t>Diritti sociali, politiche sociali e famiglia</t>
  </si>
  <si>
    <t>Capacità di pagamento</t>
  </si>
  <si>
    <t>Debiti da finanziamento (D1)</t>
  </si>
  <si>
    <t>Piano degli indicatori</t>
  </si>
  <si>
    <t>Soglia</t>
  </si>
  <si>
    <t>Crediti verso lo Stato e altre AP per Fondo dotazione (A)</t>
  </si>
  <si>
    <t>Immobilizzazioni immateriali (B1)</t>
  </si>
  <si>
    <t>Immobilizzazioni materiali (B2)</t>
  </si>
  <si>
    <t>Crediti (C2)</t>
  </si>
  <si>
    <t>Disponibilità liquide (C4)</t>
  </si>
  <si>
    <t>Ratei e risconti attivi (D)</t>
  </si>
  <si>
    <t>TOTALE ATTIVO</t>
  </si>
  <si>
    <t>Fondo di dotazione (A1)</t>
  </si>
  <si>
    <t>Riserve (A2)</t>
  </si>
  <si>
    <t>Risultato economico dell'esercizio (A3)</t>
  </si>
  <si>
    <t>Fondo rischi ed oneri (B)</t>
  </si>
  <si>
    <t>Debiti verso fornitori (D2)</t>
  </si>
  <si>
    <t>Debiti per trasferimenti e contributi (D4)</t>
  </si>
  <si>
    <t>Altri debiti (D5)</t>
  </si>
  <si>
    <t>Ratei e risconti passivi (E)</t>
  </si>
  <si>
    <t>TOTALE PASSIVO</t>
  </si>
  <si>
    <t>Immobilizzazioni finanziarie - partecipazioni (B3.1)</t>
  </si>
  <si>
    <t>Immobilizzazioni finanziarie - crediti (B3.2)</t>
  </si>
  <si>
    <t>Immobilizzazioni finanziarie - altri titoli (B3.3)</t>
  </si>
  <si>
    <t>Rimanenze (C1)</t>
  </si>
  <si>
    <t>Attività finanziarie che non costituiscono utilizzi (C3)</t>
  </si>
  <si>
    <t>Var. %</t>
  </si>
  <si>
    <t>%Risc</t>
  </si>
  <si>
    <t xml:space="preserve">       di cui permessi a costruire</t>
  </si>
  <si>
    <t>Proventi da tributi</t>
  </si>
  <si>
    <t>Proventi da fondi perequativi</t>
  </si>
  <si>
    <t>Proventi da trasferimenti e contributi</t>
  </si>
  <si>
    <t>Ricavi delle vendite e prestazioni e proventi da servizi pubblici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</si>
  <si>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</si>
  <si>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</si>
  <si>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</si>
  <si>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</si>
  <si>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Acquisto di materie prime e/o beni di consumo</t>
  </si>
  <si>
    <t>Prestazioni di servizi</t>
  </si>
  <si>
    <t>Utilizzo beni di terzi</t>
  </si>
  <si>
    <t>Trasferimenti e contributi</t>
  </si>
  <si>
    <t>Personale</t>
  </si>
  <si>
    <t>Ammortamenti e svalutazioni</t>
  </si>
  <si>
    <t>Variazioni nelle rimanenze di materie prime e/o beni di consumo (+/-)</t>
  </si>
  <si>
    <t>Accantonamenti per rischi</t>
  </si>
  <si>
    <t>Oneri diversi di gestione</t>
  </si>
  <si>
    <t>Proventi finanziari</t>
  </si>
  <si>
    <t>Oneri finanziari</t>
  </si>
  <si>
    <t>Rettifiche di valore</t>
  </si>
  <si>
    <t>Proventi straordinari</t>
  </si>
  <si>
    <t>Oneri straordinari</t>
  </si>
  <si>
    <t>Imposte</t>
  </si>
  <si>
    <t>Risultato dell'esercizio</t>
  </si>
  <si>
    <t>(+)</t>
  </si>
  <si>
    <t>(-)</t>
  </si>
  <si>
    <t>(=)</t>
  </si>
  <si>
    <t xml:space="preserve">302 CONCESSIONE CREDITI DI BREVE TERMINE </t>
  </si>
  <si>
    <t>COMPONENTI POSITIVI DELLA GESTIONE</t>
  </si>
  <si>
    <t>COMPONENTI NEGATIVI DELLA GESTIONE</t>
  </si>
  <si>
    <t>Diff.</t>
  </si>
  <si>
    <t>PATRIMONIO NETTO</t>
  </si>
  <si>
    <t>Incidenza spesa (al netto servizi per conto terzi)</t>
  </si>
  <si>
    <t>% Risc.</t>
  </si>
  <si>
    <t>101 Redditi da lavoro dipendente</t>
  </si>
  <si>
    <t>102 Imposte e tasse a carico dell'ente</t>
  </si>
  <si>
    <t>103 Acquisto di beni e servizi</t>
  </si>
  <si>
    <t>104 Trasferimenti correnti</t>
  </si>
  <si>
    <t>107 Interessi passivi</t>
  </si>
  <si>
    <t>108 Altre spese per redditi da capitale</t>
  </si>
  <si>
    <t>109 Rimborsi e poste correttive delle entrate</t>
  </si>
  <si>
    <t>110 Altre spese correnti</t>
  </si>
  <si>
    <t>202 Investimenti fissi lordi e acquisto di terreni</t>
  </si>
  <si>
    <t>203 Contributi agli investimenti</t>
  </si>
  <si>
    <t>204 Altri trasferimenti in conto capitale</t>
  </si>
  <si>
    <t>205 Altre spese in conto capitale</t>
  </si>
  <si>
    <t xml:space="preserve"> - Spese correnti </t>
  </si>
  <si>
    <t xml:space="preserve"> - Spese in conto capitale</t>
  </si>
  <si>
    <t>301 Acquisizioni di attività finanziarie</t>
  </si>
  <si>
    <t>302 Concessione crediti di breve termine</t>
  </si>
  <si>
    <t>303 Concessione crediti di medio-lungo termine</t>
  </si>
  <si>
    <t>304 Altre spese per incremento di attività finanziarie</t>
  </si>
  <si>
    <t xml:space="preserve"> - Spese per incremento attività finanziarie </t>
  </si>
  <si>
    <t>401 Rimborso di titoli obbligazionari</t>
  </si>
  <si>
    <t>402 Rimborso prestiti a breve termine</t>
  </si>
  <si>
    <t>403 Rimborso mutui e finanziamenti a medio-lungo termine</t>
  </si>
  <si>
    <t>404 Rimborso di altre forme di indebitamento</t>
  </si>
  <si>
    <t>405 Fondi per rimborso prestiti</t>
  </si>
  <si>
    <t xml:space="preserve"> - Rimborso prestiti </t>
  </si>
  <si>
    <t xml:space="preserve"> - Chiusura anticipazioni ricevute da tesoriere/cassiere </t>
  </si>
  <si>
    <t xml:space="preserve"> - Uscite per conto terzi e partite di giro</t>
  </si>
  <si>
    <t>Comp.% netta</t>
  </si>
  <si>
    <t xml:space="preserve">Saldo corrente </t>
  </si>
  <si>
    <t xml:space="preserve">Saldo finale </t>
  </si>
  <si>
    <t>Saldo netto</t>
  </si>
  <si>
    <t>Saldo riduzione/incremento attività finanziarie</t>
  </si>
  <si>
    <t>Capacità di riscossione</t>
  </si>
  <si>
    <t>Spesa per il personale (pro capite)</t>
  </si>
  <si>
    <t>Investimenti (pro capite)</t>
  </si>
  <si>
    <t>Entrate natura tributaria, contributiva e perequativa (Titolo 1)</t>
  </si>
  <si>
    <t>Media principali Comuni</t>
  </si>
  <si>
    <t>Saldo della gestione</t>
  </si>
  <si>
    <t>(Proventi - Oneri) finanziari</t>
  </si>
  <si>
    <t>(Proventi- Oneri) straordinari</t>
  </si>
  <si>
    <t>Saldo prima delle imposte</t>
  </si>
  <si>
    <t>Parametro</t>
  </si>
  <si>
    <t>Indicatore</t>
  </si>
  <si>
    <t>P.1</t>
  </si>
  <si>
    <t>P.2</t>
  </si>
  <si>
    <t>P.3</t>
  </si>
  <si>
    <t>P.4</t>
  </si>
  <si>
    <t>P.5</t>
  </si>
  <si>
    <t>P.6</t>
  </si>
  <si>
    <t>P.7</t>
  </si>
  <si>
    <t>P.8</t>
  </si>
  <si>
    <t>Incidenza spese rigide (ripiano disavanzo, personale e debito) su entrate correnti</t>
  </si>
  <si>
    <t>Descrizione</t>
  </si>
  <si>
    <t>13.2/3</t>
  </si>
  <si>
    <t>Anticipazione di tesoreria chiuse solo contabilmente</t>
  </si>
  <si>
    <t>Sostenibilità dei debiti finanziari</t>
  </si>
  <si>
    <t>Debiti in corso di riconoscimento o di finanziamento</t>
  </si>
  <si>
    <t>Effettiva capacità di riscossione (totale Entrate)</t>
  </si>
  <si>
    <t>&gt; 48</t>
  </si>
  <si>
    <t>&lt;22</t>
  </si>
  <si>
    <t>&gt;0</t>
  </si>
  <si>
    <t>&gt;16</t>
  </si>
  <si>
    <t>&gt;1,2</t>
  </si>
  <si>
    <t>&gt;1</t>
  </si>
  <si>
    <t>&gt;0,6</t>
  </si>
  <si>
    <t>&lt;47</t>
  </si>
  <si>
    <t>al 1° gennaio</t>
  </si>
  <si>
    <t>Comune</t>
  </si>
  <si>
    <t>Totale Entrate nette</t>
  </si>
  <si>
    <t>% Pag.</t>
  </si>
  <si>
    <t>Risc. - Pag.</t>
  </si>
  <si>
    <t xml:space="preserve">  -- di cui proventi da tributi</t>
  </si>
  <si>
    <t xml:space="preserve">  -- di cui proventi da trasferimenti</t>
  </si>
  <si>
    <t xml:space="preserve">  -- di cui prestazioni di servizi</t>
  </si>
  <si>
    <t xml:space="preserve">  -- di cui personale</t>
  </si>
  <si>
    <t xml:space="preserve">  -- di cui ammortamenti e svalutazioni</t>
  </si>
  <si>
    <t>Ricavi e proventi</t>
  </si>
  <si>
    <t>Costi</t>
  </si>
  <si>
    <t>Entrate finali</t>
  </si>
  <si>
    <t>Uscite finali</t>
  </si>
  <si>
    <t>Sviluppo sostenibile, tutela territ. e ambiente</t>
  </si>
  <si>
    <t>Saldo naturale</t>
  </si>
  <si>
    <t>Saldo migratorio</t>
  </si>
  <si>
    <t>Verifica</t>
  </si>
  <si>
    <t/>
  </si>
  <si>
    <t>Provincia</t>
  </si>
  <si>
    <t>Rapporto Fcde/Residui attivi (scala dx)</t>
  </si>
  <si>
    <t>Riaccertamento residui attivi</t>
  </si>
  <si>
    <t>Saldo entrate/uscite finali</t>
  </si>
  <si>
    <t>Saldo entrate/uscite nette</t>
  </si>
  <si>
    <t>Capacità riscossione entrate finali</t>
  </si>
  <si>
    <t>Capacità pagamento uscite finali</t>
  </si>
  <si>
    <t>Risultato economico di esercizi precedenti (A4)</t>
  </si>
  <si>
    <t>Riserve negative per beni indisponibili (A5)</t>
  </si>
  <si>
    <t>Saldo censuario</t>
  </si>
  <si>
    <t>Margine operativo lordo</t>
  </si>
  <si>
    <t>Riscossioni 2023</t>
  </si>
  <si>
    <t>Pagamenti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</si>
</sst>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#,##0_ ;\-#,##0\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ont="0" applyBorder="0" applyProtection="0"/>
    <xf numFmtId="164" fontId="3" fillId="0" borderId="0" applyFont="0" applyFill="0" applyBorder="0" applyAlignment="0" applyProtection="0"/>
  </cellStyleXfs>
  <cellXfs count="126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5" fillId="0" borderId="0" xfId="2" applyFont="1" applyFill="1" applyBorder="1" applyAlignment="1" applyProtection="1">
      <alignment vertical="center" readingOrder="1"/>
    </xf>
    <xf numFmtId="166" fontId="0" fillId="0" borderId="0" xfId="0" applyNumberFormat="1"/>
    <xf numFmtId="2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0" fillId="0" borderId="0" xfId="0" applyAlignment="1">
      <alignment horizontal="center"/>
    </xf>
    <xf numFmtId="0" fontId="5" fillId="0" borderId="1" xfId="2" applyFont="1" applyFill="1" applyBorder="1" applyAlignment="1" applyProtection="1">
      <alignment vertical="center" readingOrder="1"/>
    </xf>
    <xf numFmtId="165" fontId="0" fillId="0" borderId="1" xfId="0" applyNumberFormat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0" xfId="0" applyNumberFormat="1" applyBorder="1"/>
    <xf numFmtId="165" fontId="0" fillId="0" borderId="2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2" xfId="0" applyNumberFormat="1" applyBorder="1"/>
    <xf numFmtId="0" fontId="0" fillId="0" borderId="4" xfId="0" applyBorder="1" applyAlignment="1">
      <alignment horizontal="center"/>
    </xf>
    <xf numFmtId="165" fontId="0" fillId="0" borderId="4" xfId="0" applyNumberFormat="1" applyBorder="1"/>
    <xf numFmtId="165" fontId="0" fillId="0" borderId="5" xfId="0" applyNumberFormat="1" applyBorder="1"/>
    <xf numFmtId="0" fontId="0" fillId="0" borderId="0" xfId="0" quotePrefix="1" applyAlignment="1">
      <alignment horizontal="center"/>
    </xf>
    <xf numFmtId="165" fontId="0" fillId="0" borderId="0" xfId="1" applyNumberFormat="1" applyFont="1"/>
    <xf numFmtId="165" fontId="0" fillId="0" borderId="0" xfId="0" applyNumberFormat="1"/>
    <xf numFmtId="165" fontId="0" fillId="2" borderId="0" xfId="1" applyNumberFormat="1" applyFont="1" applyFill="1"/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 quotePrefix="1" applyBorder="1" applyAlignment="1">
      <alignment horizontal="center"/>
    </xf>
    <xf numFmtId="3" fontId="0" fillId="0" borderId="0" xfId="0" applyNumberFormat="1" applyBorder="1"/>
    <xf numFmtId="0" fontId="1" fillId="0" borderId="1" xfId="0" applyFont="1" applyFill="1" applyBorder="1"/>
    <xf numFmtId="0" fontId="1" fillId="0" borderId="1" xfId="0" quotePrefix="1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 vertical="center"/>
    </xf>
    <xf numFmtId="165" fontId="1" fillId="0" borderId="0" xfId="0" applyNumberFormat="1" applyFont="1"/>
    <xf numFmtId="165" fontId="1" fillId="0" borderId="0" xfId="0" applyNumberFormat="1" applyFont="1" applyBorder="1" applyAlignment="1">
      <alignment horizontal="center"/>
    </xf>
    <xf numFmtId="165" fontId="1" fillId="0" borderId="0" xfId="1" applyNumberFormat="1" applyFont="1"/>
    <xf numFmtId="0" fontId="6" fillId="0" borderId="0" xfId="0" applyFont="1"/>
    <xf numFmtId="165" fontId="6" fillId="0" borderId="0" xfId="0" applyNumberFormat="1" applyFont="1"/>
    <xf numFmtId="165" fontId="6" fillId="0" borderId="0" xfId="0" applyNumberFormat="1" applyFont="1" applyBorder="1" applyAlignment="1">
      <alignment horizontal="center"/>
    </xf>
    <xf numFmtId="165" fontId="2" fillId="0" borderId="1" xfId="0" applyNumberFormat="1" applyFont="1" applyBorder="1"/>
    <xf numFmtId="166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7" fillId="4" borderId="0" xfId="0" applyFont="1" applyFill="1"/>
    <xf numFmtId="165" fontId="0" fillId="4" borderId="0" xfId="0" applyNumberFormat="1" applyFill="1"/>
    <xf numFmtId="166" fontId="0" fillId="4" borderId="0" xfId="0" applyNumberFormat="1" applyFill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0" fontId="8" fillId="4" borderId="0" xfId="2" applyFont="1" applyFill="1" applyBorder="1" applyAlignment="1" applyProtection="1">
      <alignment vertical="center" readingOrder="1"/>
    </xf>
    <xf numFmtId="165" fontId="0" fillId="4" borderId="0" xfId="0" applyNumberFormat="1" applyFont="1" applyFill="1"/>
    <xf numFmtId="166" fontId="0" fillId="4" borderId="0" xfId="0" applyNumberFormat="1" applyFont="1" applyFill="1" applyAlignment="1">
      <alignment horizontal="center"/>
    </xf>
    <xf numFmtId="0" fontId="0" fillId="4" borderId="0" xfId="0" applyFont="1" applyFill="1"/>
    <xf numFmtId="0" fontId="0" fillId="0" borderId="0" xfId="0" applyFill="1" applyAlignment="1">
      <alignment horizontal="center"/>
    </xf>
    <xf numFmtId="167" fontId="0" fillId="4" borderId="0" xfId="0" applyNumberFormat="1" applyFont="1" applyFill="1"/>
    <xf numFmtId="167" fontId="3" fillId="4" borderId="0" xfId="1" applyNumberFormat="1" applyFont="1" applyFill="1"/>
    <xf numFmtId="167" fontId="6" fillId="0" borderId="0" xfId="0" applyNumberFormat="1" applyFont="1"/>
    <xf numFmtId="167" fontId="2" fillId="0" borderId="1" xfId="0" applyNumberFormat="1" applyFont="1" applyBorder="1"/>
    <xf numFmtId="0" fontId="0" fillId="5" borderId="0" xfId="0" applyFill="1"/>
    <xf numFmtId="0" fontId="1" fillId="0" borderId="6" xfId="0" applyFont="1" applyBorder="1" applyAlignment="1">
      <alignment horizontal="center"/>
    </xf>
    <xf numFmtId="0" fontId="9" fillId="0" borderId="1" xfId="0" applyFont="1" applyBorder="1"/>
    <xf numFmtId="0" fontId="0" fillId="4" borderId="0" xfId="0" applyFill="1"/>
    <xf numFmtId="0" fontId="1" fillId="0" borderId="0" xfId="0" applyFont="1" applyBorder="1"/>
    <xf numFmtId="0" fontId="1" fillId="0" borderId="6" xfId="0" applyFont="1" applyBorder="1"/>
    <xf numFmtId="0" fontId="1" fillId="0" borderId="6" xfId="0" applyFont="1" applyBorder="1" applyAlignment="1">
      <alignment vertical="center"/>
    </xf>
    <xf numFmtId="167" fontId="0" fillId="4" borderId="0" xfId="0" applyNumberFormat="1" applyFill="1" applyAlignment="1">
      <alignment horizontal="center" vertical="center"/>
    </xf>
    <xf numFmtId="167" fontId="0" fillId="6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10" fillId="4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7" fontId="1" fillId="4" borderId="0" xfId="0" applyNumberFormat="1" applyFont="1" applyFill="1" applyAlignment="1">
      <alignment horizontal="center" vertical="center"/>
    </xf>
    <xf numFmtId="167" fontId="1" fillId="6" borderId="0" xfId="1" applyNumberFormat="1" applyFont="1" applyFill="1" applyAlignment="1">
      <alignment horizontal="center" vertical="center"/>
    </xf>
    <xf numFmtId="167" fontId="9" fillId="4" borderId="0" xfId="0" applyNumberFormat="1" applyFont="1" applyFill="1" applyAlignment="1">
      <alignment horizontal="center" vertical="center"/>
    </xf>
    <xf numFmtId="167" fontId="9" fillId="6" borderId="0" xfId="0" applyNumberFormat="1" applyFont="1" applyFill="1" applyAlignment="1">
      <alignment horizontal="center" vertical="center"/>
    </xf>
    <xf numFmtId="167" fontId="9" fillId="4" borderId="0" xfId="1" applyNumberFormat="1" applyFont="1" applyFill="1" applyAlignment="1">
      <alignment horizontal="center" vertical="center"/>
    </xf>
    <xf numFmtId="167" fontId="9" fillId="6" borderId="0" xfId="1" applyNumberFormat="1" applyFont="1" applyFill="1" applyAlignment="1">
      <alignment horizontal="center" vertical="center"/>
    </xf>
    <xf numFmtId="167" fontId="1" fillId="6" borderId="0" xfId="0" applyNumberFormat="1" applyFont="1" applyFill="1" applyAlignment="1">
      <alignment horizontal="center" vertical="center"/>
    </xf>
    <xf numFmtId="167" fontId="6" fillId="4" borderId="0" xfId="0" quotePrefix="1" applyNumberFormat="1" applyFont="1" applyFill="1" applyAlignment="1">
      <alignment horizontal="center" vertical="center"/>
    </xf>
    <xf numFmtId="167" fontId="6" fillId="6" borderId="0" xfId="1" quotePrefix="1" applyNumberFormat="1" applyFont="1" applyFill="1" applyAlignment="1">
      <alignment horizontal="center" vertical="center"/>
    </xf>
    <xf numFmtId="167" fontId="6" fillId="6" borderId="0" xfId="0" quotePrefix="1" applyNumberFormat="1" applyFont="1" applyFill="1" applyAlignment="1">
      <alignment horizontal="center" vertical="center"/>
    </xf>
    <xf numFmtId="167" fontId="6" fillId="4" borderId="0" xfId="1" quotePrefix="1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3" fontId="1" fillId="0" borderId="1" xfId="0" applyNumberFormat="1" applyFont="1" applyFill="1" applyBorder="1"/>
    <xf numFmtId="3" fontId="0" fillId="0" borderId="0" xfId="0" applyNumberFormat="1" applyFill="1"/>
    <xf numFmtId="3" fontId="0" fillId="0" borderId="0" xfId="0" applyNumberFormat="1" applyFill="1" applyBorder="1"/>
    <xf numFmtId="3" fontId="2" fillId="0" borderId="1" xfId="0" applyNumberFormat="1" applyFont="1" applyFill="1" applyBorder="1"/>
    <xf numFmtId="167" fontId="0" fillId="0" borderId="0" xfId="0" applyNumberFormat="1"/>
    <xf numFmtId="0" fontId="0" fillId="0" borderId="0" xfId="0" applyAlignment="1">
      <alignment wrapText="1"/>
    </xf>
    <xf numFmtId="0" fontId="1" fillId="0" borderId="6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/>
    <xf numFmtId="0" fontId="1" fillId="0" borderId="0" xfId="0" applyFont="1" applyFill="1" applyAlignment="1">
      <alignment horizontal="center"/>
    </xf>
    <xf numFmtId="0" fontId="0" fillId="0" borderId="2" xfId="0" applyBorder="1"/>
    <xf numFmtId="0" fontId="0" fillId="0" borderId="0" xfId="0"/>
    <xf numFmtId="2" fontId="0" fillId="0" borderId="0" xfId="0" applyNumberFormat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1" fillId="0" borderId="0" xfId="0" applyNumberFormat="1" applyFont="1" applyAlignment="1">
      <alignment horizontal="center"/>
    </xf>
    <xf numFmtId="166" fontId="0" fillId="0" borderId="1" xfId="0" applyNumberFormat="1" applyBorder="1" applyAlignment="1">
      <alignment horizontal="center"/>
    </xf>
    <xf numFmtId="2" fontId="0" fillId="0" borderId="0" xfId="0" applyNumberFormat="1" applyFill="1"/>
    <xf numFmtId="0" fontId="5" fillId="0" borderId="0" xfId="2" applyFont="1" applyFill="1" applyBorder="1" applyAlignment="1" applyProtection="1">
      <alignment vertical="center" readingOrder="1"/>
    </xf>
    <xf numFmtId="165" fontId="0" fillId="0" borderId="0" xfId="3" applyNumberFormat="1" applyFont="1"/>
    <xf numFmtId="165" fontId="0" fillId="0" borderId="0" xfId="0" applyNumberFormat="1"/>
    <xf numFmtId="165" fontId="0" fillId="2" borderId="0" xfId="3" applyNumberFormat="1" applyFont="1" applyFill="1"/>
    <xf numFmtId="0" fontId="0" fillId="0" borderId="0" xfId="0" applyAlignment="1">
      <alignment horizontal="center"/>
    </xf>
    <xf numFmtId="165" fontId="0" fillId="4" borderId="0" xfId="0" applyNumberFormat="1" applyFill="1"/>
    <xf numFmtId="0" fontId="6" fillId="0" borderId="0" xfId="0" applyFont="1"/>
    <xf numFmtId="166" fontId="6" fillId="0" borderId="0" xfId="0" applyNumberFormat="1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0" xfId="0" applyAlignment="1"/>
    <xf numFmtId="3" fontId="0" fillId="0" borderId="0" xfId="0" applyNumberFormat="1" applyAlignment="1"/>
    <xf numFmtId="0" fontId="1" fillId="0" borderId="0" xfId="0" quotePrefix="1" applyFont="1" applyBorder="1" applyAlignment="1">
      <alignment horizontal="center"/>
    </xf>
    <xf numFmtId="3" fontId="2" fillId="0" borderId="0" xfId="0" applyNumberFormat="1" applyFont="1" applyBorder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4">
    <cellStyle name="Migliaia" xfId="1" builtinId="3"/>
    <cellStyle name="Migliaia 2" xfId="3"/>
    <cellStyle name="Normal" xfId="2"/>
    <cellStyle name="Normale" xfId="0" builtinId="0"/>
  </cellStyles>
  <dxfs count="113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62199003434213"/>
          <c:y val="2.3868320807725142E-2"/>
          <c:w val="0.86105774146591851"/>
          <c:h val="0.81864027866082034"/>
        </c:manualLayout>
      </c:layout>
      <c:lineChart>
        <c:grouping val="standar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marker>
            <c:symbol val="triangle"/>
            <c:size val="5"/>
          </c:marker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Risultato_amministrazione!$B$3:$K$3</c:f>
              <c:numCache>
                <c:formatCode>#,##0</c:formatCode>
                <c:ptCount val="10"/>
                <c:pt idx="0">
                  <c:v>197851104.27000001</c:v>
                </c:pt>
                <c:pt idx="1">
                  <c:v>197500680.94999999</c:v>
                </c:pt>
                <c:pt idx="2">
                  <c:v>211522335.28</c:v>
                </c:pt>
                <c:pt idx="3">
                  <c:v>197238026.13999999</c:v>
                </c:pt>
                <c:pt idx="4">
                  <c:v>211088047.03</c:v>
                </c:pt>
                <c:pt idx="5">
                  <c:v>217039954.91999999</c:v>
                </c:pt>
                <c:pt idx="6">
                  <c:v>190809706.96000001</c:v>
                </c:pt>
                <c:pt idx="7">
                  <c:v>185902707.28999999</c:v>
                </c:pt>
                <c:pt idx="8">
                  <c:v>180653919.41</c:v>
                </c:pt>
                <c:pt idx="9">
                  <c:v>211559061.16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15-456D-8408-112A4369BD40}"/>
            </c:ext>
          </c:extLst>
        </c:ser>
        <c:ser>
          <c:idx val="1"/>
          <c:order val="1"/>
          <c:tx>
            <c:strRef>
              <c:f>Risultato_amministrazione!$A$4</c:f>
              <c:strCache>
                <c:ptCount val="1"/>
                <c:pt idx="0">
                  <c:v>Residui passivi</c:v>
                </c:pt>
              </c:strCache>
            </c:strRef>
          </c:tx>
          <c:marker>
            <c:symbol val="square"/>
            <c:size val="5"/>
          </c:marker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Risultato_amministrazione!$B$4:$K$4</c:f>
              <c:numCache>
                <c:formatCode>#,##0</c:formatCode>
                <c:ptCount val="10"/>
                <c:pt idx="0">
                  <c:v>107939310.54000001</c:v>
                </c:pt>
                <c:pt idx="1">
                  <c:v>68566315.469999999</c:v>
                </c:pt>
                <c:pt idx="2">
                  <c:v>65022932.270000003</c:v>
                </c:pt>
                <c:pt idx="3">
                  <c:v>62115563.670000002</c:v>
                </c:pt>
                <c:pt idx="4">
                  <c:v>59540433.859999999</c:v>
                </c:pt>
                <c:pt idx="5">
                  <c:v>47281433.159999996</c:v>
                </c:pt>
                <c:pt idx="6">
                  <c:v>51872230.780000001</c:v>
                </c:pt>
                <c:pt idx="7">
                  <c:v>52027637.170000002</c:v>
                </c:pt>
                <c:pt idx="8">
                  <c:v>51703259.130000003</c:v>
                </c:pt>
                <c:pt idx="9">
                  <c:v>46975773.200000003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15-456D-8408-112A4369B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6492688"/>
        <c:axId val="1666493232"/>
      </c:lineChart>
      <c:catAx>
        <c:axId val="166649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666493232"/>
        <c:crosses val="autoZero"/>
        <c:auto val="1"/>
        <c:lblAlgn val="ctr"/>
        <c:lblOffset val="100"/>
        <c:noMultiLvlLbl val="0"/>
      </c:catAx>
      <c:valAx>
        <c:axId val="1666493232"/>
        <c:scaling>
          <c:orientation val="minMax"/>
          <c:max val="220000000.00000003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crossAx val="1666492688"/>
        <c:crosses val="autoZero"/>
        <c:crossBetween val="between"/>
        <c:majorUnit val="5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291809716170241E-3"/>
          <c:y val="6.8630399849759119E-2"/>
          <c:w val="0.9949708190283828"/>
          <c:h val="0.744937018475691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Piano_indicatori!$B$31</c:f>
              <c:strCache>
                <c:ptCount val="1"/>
                <c:pt idx="0">
                  <c:v>Investimenti complessivi procapite</c:v>
                </c:pt>
              </c:strCache>
            </c:strRef>
          </c:tx>
          <c:invertIfNegative val="0"/>
          <c:dLbls>
            <c:dLbl>
              <c:idx val="7"/>
              <c:layout>
                <c:manualLayout>
                  <c:x val="-9.542895314438399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Piano_indicatori!$D$31:$K$31</c:f>
              <c:numCache>
                <c:formatCode>0.00</c:formatCode>
                <c:ptCount val="8"/>
                <c:pt idx="0">
                  <c:v>114.92</c:v>
                </c:pt>
                <c:pt idx="1">
                  <c:v>84.5</c:v>
                </c:pt>
                <c:pt idx="2">
                  <c:v>131.38</c:v>
                </c:pt>
                <c:pt idx="3">
                  <c:v>111.04</c:v>
                </c:pt>
                <c:pt idx="4">
                  <c:v>142.19</c:v>
                </c:pt>
                <c:pt idx="5">
                  <c:v>109.34</c:v>
                </c:pt>
                <c:pt idx="6">
                  <c:v>105.82</c:v>
                </c:pt>
                <c:pt idx="7">
                  <c:v>196.31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3-4A6E-8076-E1B5B866D10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4"/>
              <c:layout>
                <c:manualLayout>
                  <c:x val="0"/>
                  <c:y val="1.1540680900173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Piano_indicatori!$D$90:$K$90</c:f>
              <c:numCache>
                <c:formatCode>0.00</c:formatCode>
                <c:ptCount val="8"/>
                <c:pt idx="0">
                  <c:v>157.51675807997006</c:v>
                </c:pt>
                <c:pt idx="1">
                  <c:v>150.44420956890005</c:v>
                </c:pt>
                <c:pt idx="2">
                  <c:v>170.92035541980178</c:v>
                </c:pt>
                <c:pt idx="3">
                  <c:v>180.492157874811</c:v>
                </c:pt>
                <c:pt idx="4">
                  <c:v>204.57029658165237</c:v>
                </c:pt>
                <c:pt idx="5">
                  <c:v>209.21258224469867</c:v>
                </c:pt>
                <c:pt idx="6">
                  <c:v>229.38618194069946</c:v>
                </c:pt>
                <c:pt idx="7">
                  <c:v>334.14493954817681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3-4A6E-8076-E1B5B866D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1325120"/>
        <c:axId val="1827566192"/>
      </c:barChart>
      <c:catAx>
        <c:axId val="143132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827566192"/>
        <c:crosses val="autoZero"/>
        <c:auto val="1"/>
        <c:lblAlgn val="ctr"/>
        <c:lblOffset val="100"/>
        <c:noMultiLvlLbl val="0"/>
      </c:catAx>
      <c:valAx>
        <c:axId val="1827566192"/>
        <c:scaling>
          <c:orientation val="minMax"/>
          <c:max val="32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1431325120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604501756868032"/>
          <c:y val="0.91535004107865958"/>
          <c:w val="0.3636191867769108"/>
          <c:h val="8.464995892134004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668E-2"/>
          <c:y val="3.6934441366574511E-3"/>
          <c:w val="0.95679921453118566"/>
          <c:h val="0.798793668796940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Piano_indicatori!$B$47</c:f>
              <c:strCache>
                <c:ptCount val="1"/>
                <c:pt idx="0">
                  <c:v>Indicatore annuale di tempestività dei pagamenti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-1.7673048600883652E-2"/>
                  <c:y val="3.6934441366574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407-4A72-AD1D-782F195755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Piano_indicatori!$D$47:$K$47</c:f>
              <c:numCache>
                <c:formatCode>0.00</c:formatCode>
                <c:ptCount val="8"/>
                <c:pt idx="0">
                  <c:v>3.98</c:v>
                </c:pt>
                <c:pt idx="1">
                  <c:v>3.74</c:v>
                </c:pt>
                <c:pt idx="2">
                  <c:v>-1.05</c:v>
                </c:pt>
                <c:pt idx="3">
                  <c:v>-4.33</c:v>
                </c:pt>
                <c:pt idx="4">
                  <c:v>-5.53</c:v>
                </c:pt>
                <c:pt idx="5">
                  <c:v>-6.33</c:v>
                </c:pt>
                <c:pt idx="6">
                  <c:v>-6.06</c:v>
                </c:pt>
                <c:pt idx="7">
                  <c:v>-5.88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44-41B9-BDCF-288E48435941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Piano_indicatori!$D$91:$K$91</c:f>
              <c:numCache>
                <c:formatCode>0.00</c:formatCode>
                <c:ptCount val="8"/>
                <c:pt idx="0">
                  <c:v>30.939403225806455</c:v>
                </c:pt>
                <c:pt idx="1">
                  <c:v>36.337096774193533</c:v>
                </c:pt>
                <c:pt idx="2">
                  <c:v>36.521612903225808</c:v>
                </c:pt>
                <c:pt idx="3">
                  <c:v>24.474374999999998</c:v>
                </c:pt>
                <c:pt idx="4">
                  <c:v>18.420312500000001</c:v>
                </c:pt>
                <c:pt idx="5">
                  <c:v>10.619375</c:v>
                </c:pt>
                <c:pt idx="6">
                  <c:v>3.849687499999999</c:v>
                </c:pt>
                <c:pt idx="7">
                  <c:v>1.0896875000000004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44-41B9-BDCF-288E4843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7572176"/>
        <c:axId val="1827567824"/>
      </c:barChart>
      <c:catAx>
        <c:axId val="182757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827567824"/>
        <c:crosses val="autoZero"/>
        <c:auto val="1"/>
        <c:lblAlgn val="ctr"/>
        <c:lblOffset val="100"/>
        <c:noMultiLvlLbl val="0"/>
      </c:catAx>
      <c:valAx>
        <c:axId val="1827567824"/>
        <c:scaling>
          <c:orientation val="minMax"/>
          <c:max val="40"/>
          <c:min val="-10"/>
        </c:scaling>
        <c:delete val="1"/>
        <c:axPos val="l"/>
        <c:numFmt formatCode="0" sourceLinked="0"/>
        <c:majorTickMark val="none"/>
        <c:minorTickMark val="none"/>
        <c:tickLblPos val="none"/>
        <c:crossAx val="1827572176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668E-2"/>
          <c:y val="5.1708217913204124E-2"/>
          <c:w val="0.95679921453118566"/>
          <c:h val="0.750778895020395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Piano_indicatori!$B$52</c:f>
              <c:strCache>
                <c:ptCount val="1"/>
                <c:pt idx="0">
                  <c:v>Indebitamento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Piano_indicatori!$D$52:$K$52</c:f>
              <c:numCache>
                <c:formatCode>0.00</c:formatCode>
                <c:ptCount val="8"/>
                <c:pt idx="0">
                  <c:v>604.47</c:v>
                </c:pt>
                <c:pt idx="1">
                  <c:v>545.54</c:v>
                </c:pt>
                <c:pt idx="2">
                  <c:v>411.65</c:v>
                </c:pt>
                <c:pt idx="3">
                  <c:v>345.56</c:v>
                </c:pt>
                <c:pt idx="4">
                  <c:v>364.88</c:v>
                </c:pt>
                <c:pt idx="5">
                  <c:v>354.47</c:v>
                </c:pt>
                <c:pt idx="6">
                  <c:v>377.42</c:v>
                </c:pt>
                <c:pt idx="7">
                  <c:v>347.04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10-4DD5-8C34-963CC30C4CF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Piano_indicatori!$D$92:$K$92</c:f>
              <c:numCache>
                <c:formatCode>0.00</c:formatCode>
                <c:ptCount val="8"/>
                <c:pt idx="0">
                  <c:v>1806.715247780151</c:v>
                </c:pt>
                <c:pt idx="1">
                  <c:v>1760.2223341478993</c:v>
                </c:pt>
                <c:pt idx="2">
                  <c:v>1723.4313709635639</c:v>
                </c:pt>
                <c:pt idx="3">
                  <c:v>1688.3834954123995</c:v>
                </c:pt>
                <c:pt idx="4">
                  <c:v>1744.0187221199872</c:v>
                </c:pt>
                <c:pt idx="5">
                  <c:v>1744.7789254873785</c:v>
                </c:pt>
                <c:pt idx="6">
                  <c:v>1726.9557160967668</c:v>
                </c:pt>
                <c:pt idx="7">
                  <c:v>1697.0701833805592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10-4DD5-8C34-963CC30C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7570544"/>
        <c:axId val="1827565648"/>
      </c:barChart>
      <c:catAx>
        <c:axId val="18275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827565648"/>
        <c:crosses val="autoZero"/>
        <c:auto val="1"/>
        <c:lblAlgn val="ctr"/>
        <c:lblOffset val="100"/>
        <c:noMultiLvlLbl val="0"/>
      </c:catAx>
      <c:valAx>
        <c:axId val="1827565648"/>
        <c:scaling>
          <c:orientation val="minMax"/>
          <c:max val="185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827570544"/>
        <c:crosses val="autoZero"/>
        <c:crossBetween val="between"/>
        <c:majorUnit val="10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7752097937642"/>
          <c:y val="7.7745360071207401E-3"/>
          <c:w val="0.83860706462208146"/>
          <c:h val="0.94946551595371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Popolazione!$A$1</c:f>
              <c:strCache>
                <c:ptCount val="1"/>
                <c:pt idx="0">
                  <c:v>al 1° gennaio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Popolazione!$A$2:$A$11</c:f>
              <c:numCache>
                <c:formatCode>General</c:formatCode>
                <c:ptCount val="10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</c:numCache>
            </c:numRef>
          </c:cat>
          <c:val>
            <c:numRef>
              <c:f>Popolazione!$B$2:$B$11</c:f>
              <c:numCache>
                <c:formatCode>#,##0</c:formatCode>
                <c:ptCount val="10"/>
                <c:pt idx="0">
                  <c:v>198034</c:v>
                </c:pt>
                <c:pt idx="1">
                  <c:v>196317</c:v>
                </c:pt>
                <c:pt idx="2">
                  <c:v>195213</c:v>
                </c:pt>
                <c:pt idx="3">
                  <c:v>201410</c:v>
                </c:pt>
                <c:pt idx="4">
                  <c:v>194223</c:v>
                </c:pt>
                <c:pt idx="5">
                  <c:v>193723</c:v>
                </c:pt>
                <c:pt idx="6">
                  <c:v>192934</c:v>
                </c:pt>
                <c:pt idx="7">
                  <c:v>192974</c:v>
                </c:pt>
                <c:pt idx="8">
                  <c:v>191844</c:v>
                </c:pt>
                <c:pt idx="9">
                  <c:v>190994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4-47EF-9023-381B80469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7568368"/>
        <c:axId val="1827567280"/>
      </c:barChart>
      <c:catAx>
        <c:axId val="1827568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/>
            </a:pPr>
            <a:endParaRPr lang="it-IT"/>
          </a:p>
        </c:txPr>
        <c:crossAx val="1827567280"/>
        <c:crosses val="autoZero"/>
        <c:auto val="1"/>
        <c:lblAlgn val="ctr"/>
        <c:lblOffset val="100"/>
        <c:noMultiLvlLbl val="0"/>
      </c:catAx>
      <c:valAx>
        <c:axId val="1827567280"/>
        <c:scaling>
          <c:orientation val="minMax"/>
          <c:max val="210000"/>
          <c:min val="0"/>
        </c:scaling>
        <c:delete val="1"/>
        <c:axPos val="b"/>
        <c:numFmt formatCode="#,##0" sourceLinked="1"/>
        <c:majorTickMark val="none"/>
        <c:minorTickMark val="none"/>
        <c:tickLblPos val="none"/>
        <c:crossAx val="1827568368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Risultato_amministrazione!$B$3:$K$3</c:f>
              <c:numCache>
                <c:formatCode>#,##0</c:formatCode>
                <c:ptCount val="10"/>
                <c:pt idx="0">
                  <c:v>197851104.27000001</c:v>
                </c:pt>
                <c:pt idx="1">
                  <c:v>197500680.94999999</c:v>
                </c:pt>
                <c:pt idx="2">
                  <c:v>211522335.28</c:v>
                </c:pt>
                <c:pt idx="3">
                  <c:v>197238026.13999999</c:v>
                </c:pt>
                <c:pt idx="4">
                  <c:v>211088047.03</c:v>
                </c:pt>
                <c:pt idx="5">
                  <c:v>217039954.91999999</c:v>
                </c:pt>
                <c:pt idx="6">
                  <c:v>190809706.96000001</c:v>
                </c:pt>
                <c:pt idx="7">
                  <c:v>185902707.28999999</c:v>
                </c:pt>
                <c:pt idx="8">
                  <c:v>180653919.41</c:v>
                </c:pt>
                <c:pt idx="9">
                  <c:v>211559061.16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70-4566-BAA9-AA8B82BC92A7}"/>
            </c:ext>
          </c:extLst>
        </c:ser>
        <c:ser>
          <c:idx val="1"/>
          <c:order val="1"/>
          <c:tx>
            <c:strRef>
              <c:f>Risultato_amministrazione!$A$8</c:f>
              <c:strCache>
                <c:ptCount val="1"/>
                <c:pt idx="0">
                  <c:v>Fondo crediti di dubbia esigibilità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Risultato_amministrazione!$B$8:$K$8</c:f>
              <c:numCache>
                <c:formatCode>#,##0</c:formatCode>
                <c:ptCount val="10"/>
                <c:pt idx="0">
                  <c:v>42600807</c:v>
                </c:pt>
                <c:pt idx="1">
                  <c:v>59334996.640000001</c:v>
                </c:pt>
                <c:pt idx="2">
                  <c:v>75724467.120000005</c:v>
                </c:pt>
                <c:pt idx="3">
                  <c:v>108233876.70999999</c:v>
                </c:pt>
                <c:pt idx="4">
                  <c:v>129276166.81</c:v>
                </c:pt>
                <c:pt idx="5">
                  <c:v>142330602.13</c:v>
                </c:pt>
                <c:pt idx="6">
                  <c:v>120216071.56999999</c:v>
                </c:pt>
                <c:pt idx="7">
                  <c:v>112267353.95999999</c:v>
                </c:pt>
                <c:pt idx="8">
                  <c:v>102840527.5</c:v>
                </c:pt>
                <c:pt idx="9">
                  <c:v>133250953.84999999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6494320"/>
        <c:axId val="1666494864"/>
      </c:barChart>
      <c:lineChart>
        <c:grouping val="standard"/>
        <c:varyColors val="0"/>
        <c:ser>
          <c:idx val="2"/>
          <c:order val="2"/>
          <c:tx>
            <c:strRef>
              <c:f>Risultato_amministrazione!$A$23</c:f>
              <c:strCache>
                <c:ptCount val="1"/>
                <c:pt idx="0">
                  <c:v>Rapporto Fcde/Residui attivi (scala dx)</c:v>
                </c:pt>
              </c:strCache>
            </c:strRef>
          </c:tx>
          <c:spPr>
            <a:ln w="444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Risultato_amministrazione!$B$23:$K$23</c:f>
              <c:numCache>
                <c:formatCode>0.0</c:formatCode>
                <c:ptCount val="10"/>
                <c:pt idx="0">
                  <c:v>21.531750938253179</c:v>
                </c:pt>
                <c:pt idx="1">
                  <c:v>30.042932689949293</c:v>
                </c:pt>
                <c:pt idx="2">
                  <c:v>35.799749950642664</c:v>
                </c:pt>
                <c:pt idx="3">
                  <c:v>54.874751501100171</c:v>
                </c:pt>
                <c:pt idx="4">
                  <c:v>61.242769843631727</c:v>
                </c:pt>
                <c:pt idx="5">
                  <c:v>65.578064731197756</c:v>
                </c:pt>
                <c:pt idx="6">
                  <c:v>63.00312153154831</c:v>
                </c:pt>
                <c:pt idx="7">
                  <c:v>60.390381397118595</c:v>
                </c:pt>
                <c:pt idx="8">
                  <c:v>56.926817771719662</c:v>
                </c:pt>
                <c:pt idx="9">
                  <c:v>62.985226498629444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6497040"/>
        <c:axId val="1666495408"/>
      </c:lineChart>
      <c:catAx>
        <c:axId val="1666494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66494864"/>
        <c:crosses val="autoZero"/>
        <c:auto val="1"/>
        <c:lblAlgn val="ctr"/>
        <c:lblOffset val="100"/>
        <c:noMultiLvlLbl val="0"/>
      </c:catAx>
      <c:valAx>
        <c:axId val="1666494864"/>
        <c:scaling>
          <c:orientation val="minMax"/>
          <c:max val="220000000.00000003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66494320"/>
        <c:crosses val="autoZero"/>
        <c:crossBetween val="between"/>
      </c:valAx>
      <c:valAx>
        <c:axId val="1666495408"/>
        <c:scaling>
          <c:orientation val="minMax"/>
          <c:min val="15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66497040"/>
        <c:crosses val="max"/>
        <c:crossBetween val="between"/>
      </c:valAx>
      <c:catAx>
        <c:axId val="1666497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6649540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505091220490724E-2"/>
          <c:y val="1.9227205294990432E-2"/>
          <c:w val="0.84177555990032127"/>
          <c:h val="0.9807727947050087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Conto_economico!$A$28</c:f>
              <c:strCache>
                <c:ptCount val="1"/>
                <c:pt idx="0">
                  <c:v>Risultato dell'esercizio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452-41DC-B25A-48B8A55670DF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452-41DC-B25A-48B8A55670DF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3EF-4EE1-84EC-90209335CF23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>
              <c:idx val="0"/>
              <c:layout>
                <c:manualLayout>
                  <c:x val="4.274886820007804E-2"/>
                  <c:y val="-4.023335345001005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452-41DC-B25A-48B8A55670D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853956195249872E-2"/>
                  <c:y val="3.1711485672015805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452-41DC-B25A-48B8A55670D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4746119541990331E-3"/>
                  <c:y val="7.887954862612527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3EF-4EE1-84EC-90209335CF2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1963655837855647E-2"/>
                  <c:y val="3.8647342995169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3EF-4EE1-84EC-90209335CF23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70C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Conto_economico!$C$1:$L$1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Conto_economico!$C$28:$L$28</c:f>
              <c:numCache>
                <c:formatCode>#,##0</c:formatCode>
                <c:ptCount val="10"/>
                <c:pt idx="0">
                  <c:v>-1266959</c:v>
                </c:pt>
                <c:pt idx="1">
                  <c:v>2742331.3500000285</c:v>
                </c:pt>
                <c:pt idx="2">
                  <c:v>-568075.57999998471</c:v>
                </c:pt>
                <c:pt idx="3">
                  <c:v>-18158878.990000021</c:v>
                </c:pt>
                <c:pt idx="4">
                  <c:v>8407690.0700000077</c:v>
                </c:pt>
                <c:pt idx="5">
                  <c:v>21640756.279999994</c:v>
                </c:pt>
                <c:pt idx="6">
                  <c:v>17507141.339999996</c:v>
                </c:pt>
                <c:pt idx="7">
                  <c:v>-12214131.709999977</c:v>
                </c:pt>
                <c:pt idx="8">
                  <c:v>36963854.700000018</c:v>
                </c:pt>
                <c:pt idx="9">
                  <c:v>-30430493.909999978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52-41DC-B25A-48B8A5567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6495952"/>
        <c:axId val="1666496496"/>
      </c:barChart>
      <c:catAx>
        <c:axId val="1666495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1"/>
            </a:pPr>
            <a:endParaRPr lang="it-IT"/>
          </a:p>
        </c:txPr>
        <c:crossAx val="1666496496"/>
        <c:crosses val="autoZero"/>
        <c:auto val="1"/>
        <c:lblAlgn val="ctr"/>
        <c:lblOffset val="100"/>
        <c:noMultiLvlLbl val="0"/>
      </c:catAx>
      <c:valAx>
        <c:axId val="1666496496"/>
        <c:scaling>
          <c:orientation val="minMax"/>
          <c:max val="40000000"/>
          <c:min val="-35000000"/>
        </c:scaling>
        <c:delete val="1"/>
        <c:axPos val="b"/>
        <c:numFmt formatCode="#,##0" sourceLinked="1"/>
        <c:majorTickMark val="out"/>
        <c:minorTickMark val="none"/>
        <c:tickLblPos val="nextTo"/>
        <c:crossAx val="166649595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40787911938933"/>
          <c:y val="3.9052722972366095E-2"/>
          <c:w val="0.85928019567804137"/>
          <c:h val="0.801651148169216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Stato_patrimoniale!$A$21</c:f>
              <c:strCache>
                <c:ptCount val="1"/>
                <c:pt idx="0">
                  <c:v>Debiti da finanziamento (D1)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Stato_patrimoniale!$B$21:$K$21</c:f>
              <c:numCache>
                <c:formatCode>#,##0</c:formatCode>
                <c:ptCount val="10"/>
                <c:pt idx="0">
                  <c:v>99900270</c:v>
                </c:pt>
                <c:pt idx="1">
                  <c:v>95222491.019999996</c:v>
                </c:pt>
                <c:pt idx="2">
                  <c:v>115545132.48999999</c:v>
                </c:pt>
                <c:pt idx="3">
                  <c:v>104999933.86</c:v>
                </c:pt>
                <c:pt idx="4">
                  <c:v>79582387.569999993</c:v>
                </c:pt>
                <c:pt idx="5">
                  <c:v>67242214.079999998</c:v>
                </c:pt>
                <c:pt idx="6">
                  <c:v>67673145.489999995</c:v>
                </c:pt>
                <c:pt idx="7">
                  <c:v>69047315.530000001</c:v>
                </c:pt>
                <c:pt idx="8">
                  <c:v>73676772.390000001</c:v>
                </c:pt>
                <c:pt idx="9">
                  <c:v>67927588.150000006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78-494A-A3FF-551A6B06C6B4}"/>
            </c:ext>
          </c:extLst>
        </c:ser>
        <c:ser>
          <c:idx val="1"/>
          <c:order val="1"/>
          <c:tx>
            <c:strRef>
              <c:f>Stato_patrimoniale!$A$22</c:f>
              <c:strCache>
                <c:ptCount val="1"/>
                <c:pt idx="0">
                  <c:v>Debiti verso fornitori (D2)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Stato_patrimoniale!$B$22:$K$22</c:f>
              <c:numCache>
                <c:formatCode>#,##0</c:formatCode>
                <c:ptCount val="10"/>
                <c:pt idx="0">
                  <c:v>102151240</c:v>
                </c:pt>
                <c:pt idx="1">
                  <c:v>50161267.780000001</c:v>
                </c:pt>
                <c:pt idx="2">
                  <c:v>38850675.32</c:v>
                </c:pt>
                <c:pt idx="3">
                  <c:v>32541126.91</c:v>
                </c:pt>
                <c:pt idx="4">
                  <c:v>27469793.399999999</c:v>
                </c:pt>
                <c:pt idx="5">
                  <c:v>23275727.710000001</c:v>
                </c:pt>
                <c:pt idx="6">
                  <c:v>25391346.68</c:v>
                </c:pt>
                <c:pt idx="7">
                  <c:v>24042765.539999999</c:v>
                </c:pt>
                <c:pt idx="8">
                  <c:v>22919831.829999998</c:v>
                </c:pt>
                <c:pt idx="9">
                  <c:v>21859210.870000001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78-494A-A3FF-551A6B06C6B4}"/>
            </c:ext>
          </c:extLst>
        </c:ser>
        <c:ser>
          <c:idx val="2"/>
          <c:order val="2"/>
          <c:tx>
            <c:strRef>
              <c:f>Stato_patrimoniale!$A$23</c:f>
              <c:strCache>
                <c:ptCount val="1"/>
                <c:pt idx="0">
                  <c:v>Debiti per trasferimenti e contributi (D4)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Stato_patrimoniale!$B$23:$K$23</c:f>
              <c:numCache>
                <c:formatCode>#,##0</c:formatCode>
                <c:ptCount val="10"/>
                <c:pt idx="0">
                  <c:v>0</c:v>
                </c:pt>
                <c:pt idx="1">
                  <c:v>6360275.29</c:v>
                </c:pt>
                <c:pt idx="2">
                  <c:v>8463550.6099999994</c:v>
                </c:pt>
                <c:pt idx="3">
                  <c:v>11367271.17</c:v>
                </c:pt>
                <c:pt idx="4">
                  <c:v>12172543.32</c:v>
                </c:pt>
                <c:pt idx="5">
                  <c:v>11144424.720000001</c:v>
                </c:pt>
                <c:pt idx="6">
                  <c:v>11481461.880000001</c:v>
                </c:pt>
                <c:pt idx="7">
                  <c:v>11118344.08</c:v>
                </c:pt>
                <c:pt idx="8">
                  <c:v>8653606.6899999995</c:v>
                </c:pt>
                <c:pt idx="9">
                  <c:v>7337816.1299999999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78-494A-A3FF-551A6B06C6B4}"/>
            </c:ext>
          </c:extLst>
        </c:ser>
        <c:ser>
          <c:idx val="3"/>
          <c:order val="3"/>
          <c:tx>
            <c:strRef>
              <c:f>Stato_patrimoniale!$A$24</c:f>
              <c:strCache>
                <c:ptCount val="1"/>
                <c:pt idx="0">
                  <c:v>Altri debiti (D5)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Stato_patrimoniale!$B$24:$K$24</c:f>
              <c:numCache>
                <c:formatCode>#,##0</c:formatCode>
                <c:ptCount val="10"/>
                <c:pt idx="0">
                  <c:v>29072082</c:v>
                </c:pt>
                <c:pt idx="1">
                  <c:v>34687913.829999998</c:v>
                </c:pt>
                <c:pt idx="2">
                  <c:v>17708706.34</c:v>
                </c:pt>
                <c:pt idx="3">
                  <c:v>18388243.109999999</c:v>
                </c:pt>
                <c:pt idx="4">
                  <c:v>15032048.359999999</c:v>
                </c:pt>
                <c:pt idx="5">
                  <c:v>12875500.800000001</c:v>
                </c:pt>
                <c:pt idx="6">
                  <c:v>14794214.039999999</c:v>
                </c:pt>
                <c:pt idx="7">
                  <c:v>16947410.239999998</c:v>
                </c:pt>
                <c:pt idx="8">
                  <c:v>18037520.039999999</c:v>
                </c:pt>
                <c:pt idx="9">
                  <c:v>17747743.760000002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0517136"/>
        <c:axId val="1660519312"/>
      </c:barChart>
      <c:catAx>
        <c:axId val="166051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660519312"/>
        <c:crosses val="autoZero"/>
        <c:auto val="1"/>
        <c:lblAlgn val="ctr"/>
        <c:lblOffset val="100"/>
        <c:noMultiLvlLbl val="0"/>
      </c:catAx>
      <c:valAx>
        <c:axId val="1660519312"/>
        <c:scaling>
          <c:orientation val="minMax"/>
          <c:max val="25000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crossAx val="1660517136"/>
        <c:crosses val="autoZero"/>
        <c:crossBetween val="between"/>
        <c:majorUnit val="5000000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5.7664696882688696E-3"/>
          <c:y val="0.90967336307296176"/>
          <c:w val="0.98689324924141064"/>
          <c:h val="9.0326636927038115E-2"/>
        </c:manualLayout>
      </c:layout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40016946700559E-2"/>
          <c:y val="1.2121212121212118E-2"/>
          <c:w val="0.85667983585870222"/>
          <c:h val="0.83251419708900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Stato_patrimoniale!$A$14</c:f>
              <c:strCache>
                <c:ptCount val="1"/>
                <c:pt idx="0">
                  <c:v>Fondo di dotazione (A1)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Stato_patrimoniale!$B$14:$K$14</c:f>
              <c:numCache>
                <c:formatCode>#,##0</c:formatCode>
                <c:ptCount val="10"/>
                <c:pt idx="0">
                  <c:v>585849744</c:v>
                </c:pt>
                <c:pt idx="1">
                  <c:v>585849744</c:v>
                </c:pt>
                <c:pt idx="2">
                  <c:v>584582785</c:v>
                </c:pt>
                <c:pt idx="3">
                  <c:v>22327754.890000001</c:v>
                </c:pt>
                <c:pt idx="4">
                  <c:v>6600670.1799999997</c:v>
                </c:pt>
                <c:pt idx="5">
                  <c:v>15008360.25</c:v>
                </c:pt>
                <c:pt idx="6">
                  <c:v>36649116.530000001</c:v>
                </c:pt>
                <c:pt idx="7">
                  <c:v>36649116.530000001</c:v>
                </c:pt>
                <c:pt idx="8">
                  <c:v>36649116.530000001</c:v>
                </c:pt>
                <c:pt idx="9">
                  <c:v>36649116.530000001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74-44E8-A59E-6B7D2C2D3CAD}"/>
            </c:ext>
          </c:extLst>
        </c:ser>
        <c:ser>
          <c:idx val="1"/>
          <c:order val="1"/>
          <c:tx>
            <c:strRef>
              <c:f>Stato_patrimoniale!$A$15</c:f>
              <c:strCache>
                <c:ptCount val="1"/>
                <c:pt idx="0">
                  <c:v>Riserve (A2)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Stato_patrimoniale!$B$15:$K$15</c:f>
              <c:numCache>
                <c:formatCode>#,##0</c:formatCode>
                <c:ptCount val="10"/>
                <c:pt idx="0">
                  <c:v>134579065</c:v>
                </c:pt>
                <c:pt idx="1">
                  <c:v>137375332.63</c:v>
                </c:pt>
                <c:pt idx="2">
                  <c:v>133592986.97</c:v>
                </c:pt>
                <c:pt idx="3">
                  <c:v>643880072.22000003</c:v>
                </c:pt>
                <c:pt idx="4">
                  <c:v>728083833.26999998</c:v>
                </c:pt>
                <c:pt idx="5">
                  <c:v>728818282.83000004</c:v>
                </c:pt>
                <c:pt idx="6">
                  <c:v>733405794.22000003</c:v>
                </c:pt>
                <c:pt idx="7">
                  <c:v>737360694.80999994</c:v>
                </c:pt>
                <c:pt idx="8">
                  <c:v>754452298.88999999</c:v>
                </c:pt>
                <c:pt idx="9">
                  <c:v>805339018.88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74-44E8-A59E-6B7D2C2D3CAD}"/>
            </c:ext>
          </c:extLst>
        </c:ser>
        <c:ser>
          <c:idx val="2"/>
          <c:order val="2"/>
          <c:tx>
            <c:strRef>
              <c:f>Stato_patrimoniale!$A$17</c:f>
              <c:strCache>
                <c:ptCount val="1"/>
                <c:pt idx="0">
                  <c:v>Risultato economico dell'esercizio (A3)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Stato_patrimoniale!$B$17:$K$17</c:f>
              <c:numCache>
                <c:formatCode>#,##0</c:formatCode>
                <c:ptCount val="10"/>
                <c:pt idx="0">
                  <c:v>-1266959</c:v>
                </c:pt>
                <c:pt idx="1">
                  <c:v>2742331.35</c:v>
                </c:pt>
                <c:pt idx="2">
                  <c:v>-568075.57999999996</c:v>
                </c:pt>
                <c:pt idx="3">
                  <c:v>-18158878.989999998</c:v>
                </c:pt>
                <c:pt idx="4">
                  <c:v>8407690.0700000003</c:v>
                </c:pt>
                <c:pt idx="5">
                  <c:v>21640756.280000001</c:v>
                </c:pt>
                <c:pt idx="6">
                  <c:v>17507141.34</c:v>
                </c:pt>
                <c:pt idx="7">
                  <c:v>-12214131.710000001</c:v>
                </c:pt>
                <c:pt idx="8">
                  <c:v>36963854.75</c:v>
                </c:pt>
                <c:pt idx="9">
                  <c:v>-30430493.91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74-44E8-A59E-6B7D2C2D3CAD}"/>
            </c:ext>
          </c:extLst>
        </c:ser>
        <c:ser>
          <c:idx val="3"/>
          <c:order val="3"/>
          <c:tx>
            <c:strRef>
              <c:f>Stato_patrimoniale!$A$18</c:f>
              <c:strCache>
                <c:ptCount val="1"/>
                <c:pt idx="0">
                  <c:v>Risultato economico di esercizi precedenti (A4)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Stato_patrimoniale!$B$18:$K$18</c:f>
              <c:numCache>
                <c:formatCode>#,##0</c:formatCode>
                <c:ptCount val="10"/>
                <c:pt idx="6">
                  <c:v>0</c:v>
                </c:pt>
                <c:pt idx="7">
                  <c:v>17507141.34</c:v>
                </c:pt>
                <c:pt idx="8">
                  <c:v>5293009.63</c:v>
                </c:pt>
                <c:pt idx="9">
                  <c:v>42256864.380000003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0517680"/>
        <c:axId val="1660516048"/>
      </c:barChart>
      <c:catAx>
        <c:axId val="1660517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660516048"/>
        <c:crosses val="autoZero"/>
        <c:auto val="1"/>
        <c:lblAlgn val="ctr"/>
        <c:lblOffset val="100"/>
        <c:noMultiLvlLbl val="0"/>
      </c:catAx>
      <c:valAx>
        <c:axId val="1660516048"/>
        <c:scaling>
          <c:orientation val="minMax"/>
          <c:max val="800000000"/>
          <c:min val="-100000000"/>
        </c:scaling>
        <c:delete val="0"/>
        <c:axPos val="b"/>
        <c:numFmt formatCode="#,##0" sourceLinked="0"/>
        <c:majorTickMark val="none"/>
        <c:minorTickMark val="none"/>
        <c:tickLblPos val="nextTo"/>
        <c:crossAx val="1660517680"/>
        <c:crosses val="autoZero"/>
        <c:crossBetween val="between"/>
        <c:majorUnit val="10000000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5.9152935482375329E-3"/>
          <c:y val="0.91948520639465525"/>
          <c:w val="0.9852970877563183"/>
          <c:h val="6.1575399665950853E-2"/>
        </c:manualLayout>
      </c:layout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228191836882E-2"/>
          <c:y val="3.0301278829508255E-2"/>
          <c:w val="0.91226637907374541"/>
          <c:h val="0.68340956050706358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Piano_indicatori!$A$72</c:f>
              <c:strCache>
                <c:ptCount val="1"/>
                <c:pt idx="0">
                  <c:v>Entrate natura tributaria, contributiva e perequativa (Titolo 1)</c:v>
                </c:pt>
              </c:strCache>
            </c:strRef>
          </c:tx>
          <c:marker>
            <c:symbol val="triang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Piano_indicatori!$D$73:$K$73</c:f>
              <c:numCache>
                <c:formatCode>0.00</c:formatCode>
                <c:ptCount val="8"/>
                <c:pt idx="0">
                  <c:v>65.89</c:v>
                </c:pt>
                <c:pt idx="1">
                  <c:v>59.056949451472427</c:v>
                </c:pt>
                <c:pt idx="2">
                  <c:v>62.237738734190032</c:v>
                </c:pt>
                <c:pt idx="3">
                  <c:v>56.858263536900196</c:v>
                </c:pt>
                <c:pt idx="4">
                  <c:v>57.375050694951128</c:v>
                </c:pt>
                <c:pt idx="5">
                  <c:v>55.060845718584808</c:v>
                </c:pt>
                <c:pt idx="6">
                  <c:v>64.124838476698173</c:v>
                </c:pt>
                <c:pt idx="7">
                  <c:v>51.503239166795908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F0-4554-BA49-E20421A575FC}"/>
            </c:ext>
          </c:extLst>
        </c:ser>
        <c:ser>
          <c:idx val="1"/>
          <c:order val="1"/>
          <c:tx>
            <c:strRef>
              <c:f>Piano_indicatori!$A$76</c:f>
              <c:strCache>
                <c:ptCount val="1"/>
                <c:pt idx="0">
                  <c:v>Totale Entrate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Piano_indicatori!$D$76:$K$76</c:f>
              <c:numCache>
                <c:formatCode>0.00</c:formatCode>
                <c:ptCount val="8"/>
                <c:pt idx="0">
                  <c:v>57.380059963933995</c:v>
                </c:pt>
                <c:pt idx="1">
                  <c:v>55.178492771522158</c:v>
                </c:pt>
                <c:pt idx="2">
                  <c:v>57.471545801371285</c:v>
                </c:pt>
                <c:pt idx="3">
                  <c:v>52.254612358485716</c:v>
                </c:pt>
                <c:pt idx="4">
                  <c:v>56.485345589563693</c:v>
                </c:pt>
                <c:pt idx="5">
                  <c:v>56.253132804701252</c:v>
                </c:pt>
                <c:pt idx="6">
                  <c:v>61.085743924912393</c:v>
                </c:pt>
                <c:pt idx="7">
                  <c:v>52.946621249367254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F0-4554-BA49-E20421A575FC}"/>
            </c:ext>
          </c:extLst>
        </c:ser>
        <c:ser>
          <c:idx val="2"/>
          <c:order val="2"/>
          <c:tx>
            <c:strRef>
              <c:f>Piano_indicatori!$A$77</c:f>
              <c:strCache>
                <c:ptCount val="1"/>
                <c:pt idx="0">
                  <c:v>Totale Entrate nette</c:v>
                </c:pt>
              </c:strCache>
            </c:strRef>
          </c:tx>
          <c:marker>
            <c:symbol val="diamond"/>
            <c:size val="7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Piano_indicatori!$D$77:$K$77</c:f>
              <c:numCache>
                <c:formatCode>0.00</c:formatCode>
                <c:ptCount val="8"/>
                <c:pt idx="0">
                  <c:v>54.261939129572504</c:v>
                </c:pt>
                <c:pt idx="1">
                  <c:v>51.690377435789422</c:v>
                </c:pt>
                <c:pt idx="2">
                  <c:v>55.597793402227389</c:v>
                </c:pt>
                <c:pt idx="3">
                  <c:v>49.83472380470765</c:v>
                </c:pt>
                <c:pt idx="4">
                  <c:v>53.962174964711743</c:v>
                </c:pt>
                <c:pt idx="5">
                  <c:v>53.801606513556912</c:v>
                </c:pt>
                <c:pt idx="6">
                  <c:v>59.275268010805618</c:v>
                </c:pt>
                <c:pt idx="7">
                  <c:v>50.988801963917609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3F0-4554-BA49-E20421A57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0518224"/>
        <c:axId val="1660518768"/>
      </c:lineChart>
      <c:catAx>
        <c:axId val="166051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660518768"/>
        <c:crosses val="autoZero"/>
        <c:auto val="1"/>
        <c:lblAlgn val="ctr"/>
        <c:lblOffset val="100"/>
        <c:noMultiLvlLbl val="0"/>
      </c:catAx>
      <c:valAx>
        <c:axId val="1660518768"/>
        <c:scaling>
          <c:orientation val="minMax"/>
          <c:max val="68"/>
          <c:min val="45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660518224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5626467744163592E-2"/>
          <c:y val="0.82043195398447921"/>
          <c:w val="0.9617796744479149"/>
          <c:h val="0.17956804601552581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78781011404414E-2"/>
          <c:y val="4.1350142172088752E-2"/>
          <c:w val="0.9029842635309353"/>
          <c:h val="0.7306143898799745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Piano_indicatori!$B$79</c:f>
              <c:strCache>
                <c:ptCount val="1"/>
                <c:pt idx="0">
                  <c:v>Istruzione e diritto allo studio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Piano_indicatori!$D$79:$K$79</c:f>
              <c:numCache>
                <c:formatCode>0.00</c:formatCode>
                <c:ptCount val="8"/>
                <c:pt idx="0">
                  <c:v>12.220447284345049</c:v>
                </c:pt>
                <c:pt idx="1">
                  <c:v>13.467313467313469</c:v>
                </c:pt>
                <c:pt idx="2">
                  <c:v>12.479015109121434</c:v>
                </c:pt>
                <c:pt idx="3">
                  <c:v>13.011613485173074</c:v>
                </c:pt>
                <c:pt idx="4">
                  <c:v>11.357435197817189</c:v>
                </c:pt>
                <c:pt idx="5">
                  <c:v>10.999216739398006</c:v>
                </c:pt>
                <c:pt idx="6">
                  <c:v>9.81111111111111</c:v>
                </c:pt>
                <c:pt idx="7">
                  <c:v>8.814589665653493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A-4FC4-8050-8C2A7299C75D}"/>
            </c:ext>
          </c:extLst>
        </c:ser>
        <c:ser>
          <c:idx val="1"/>
          <c:order val="1"/>
          <c:tx>
            <c:strRef>
              <c:f>Piano_indicatori!$B$80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Piano_indicatori!$D$80:$K$80</c:f>
              <c:numCache>
                <c:formatCode>0.00</c:formatCode>
                <c:ptCount val="8"/>
                <c:pt idx="0">
                  <c:v>18.986764034687358</c:v>
                </c:pt>
                <c:pt idx="1">
                  <c:v>17.290367290367293</c:v>
                </c:pt>
                <c:pt idx="2">
                  <c:v>14.941242305540012</c:v>
                </c:pt>
                <c:pt idx="3">
                  <c:v>15.954448077573572</c:v>
                </c:pt>
                <c:pt idx="4">
                  <c:v>17.849022282855842</c:v>
                </c:pt>
                <c:pt idx="5">
                  <c:v>21.651560926485399</c:v>
                </c:pt>
                <c:pt idx="6">
                  <c:v>17.655555555555555</c:v>
                </c:pt>
                <c:pt idx="7">
                  <c:v>16.825879287885368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A-4FC4-8050-8C2A7299C75D}"/>
            </c:ext>
          </c:extLst>
        </c:ser>
        <c:ser>
          <c:idx val="2"/>
          <c:order val="2"/>
          <c:tx>
            <c:strRef>
              <c:f>Piano_indicatori!$B$81</c:f>
              <c:strCache>
                <c:ptCount val="1"/>
                <c:pt idx="0">
                  <c:v>Trasporti e diritto alla mobilità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Piano_indicatori!$D$81:$K$81</c:f>
              <c:numCache>
                <c:formatCode>0.00</c:formatCode>
                <c:ptCount val="8"/>
                <c:pt idx="0">
                  <c:v>11.969420356001825</c:v>
                </c:pt>
                <c:pt idx="1">
                  <c:v>11.376761376761376</c:v>
                </c:pt>
                <c:pt idx="2">
                  <c:v>12.188024622271966</c:v>
                </c:pt>
                <c:pt idx="3">
                  <c:v>11.489457661517646</c:v>
                </c:pt>
                <c:pt idx="4">
                  <c:v>11.77808094588449</c:v>
                </c:pt>
                <c:pt idx="5">
                  <c:v>12.621685129237997</c:v>
                </c:pt>
                <c:pt idx="6">
                  <c:v>12.155555555555555</c:v>
                </c:pt>
                <c:pt idx="7">
                  <c:v>16.348241424229265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A-4FC4-8050-8C2A7299C75D}"/>
            </c:ext>
          </c:extLst>
        </c:ser>
        <c:ser>
          <c:idx val="3"/>
          <c:order val="3"/>
          <c:tx>
            <c:strRef>
              <c:f>Piano_indicatori!$B$82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Piano_indicatori!$D$82:$K$82</c:f>
              <c:numCache>
                <c:formatCode>0.00</c:formatCode>
                <c:ptCount val="8"/>
                <c:pt idx="0">
                  <c:v>15.15289821999087</c:v>
                </c:pt>
                <c:pt idx="1">
                  <c:v>13.779163779163778</c:v>
                </c:pt>
                <c:pt idx="2">
                  <c:v>13.195299384443201</c:v>
                </c:pt>
                <c:pt idx="3">
                  <c:v>15.514714172962002</c:v>
                </c:pt>
                <c:pt idx="4">
                  <c:v>16.678035470668483</c:v>
                </c:pt>
                <c:pt idx="5">
                  <c:v>14.949088060870535</c:v>
                </c:pt>
                <c:pt idx="6">
                  <c:v>12.666666666666668</c:v>
                </c:pt>
                <c:pt idx="7">
                  <c:v>13.352149370386451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AA-4FC4-8050-8C2A7299C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1326752"/>
        <c:axId val="1431326208"/>
      </c:barChart>
      <c:catAx>
        <c:axId val="14313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1431326208"/>
        <c:crosses val="autoZero"/>
        <c:auto val="1"/>
        <c:lblAlgn val="ctr"/>
        <c:lblOffset val="100"/>
        <c:noMultiLvlLbl val="0"/>
      </c:catAx>
      <c:valAx>
        <c:axId val="1431326208"/>
        <c:scaling>
          <c:orientation val="minMax"/>
          <c:max val="60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431326752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4972222222222232E-2"/>
          <c:y val="0.85905608055479965"/>
          <c:w val="0.95561111111111163"/>
          <c:h val="0.11316640234232038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073571989068E-2"/>
          <c:y val="3.0301278829508258E-2"/>
          <c:w val="0.9122665336936"/>
          <c:h val="0.72979616909588463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Piano_indicatori!$B$84</c:f>
              <c:strCache>
                <c:ptCount val="1"/>
                <c:pt idx="0">
                  <c:v>Istruzione e diritto allo studio</c:v>
                </c:pt>
              </c:strCache>
            </c:strRef>
          </c:tx>
          <c:marker>
            <c:symbol val="triangle"/>
            <c:size val="5"/>
            <c:spPr>
              <a:solidFill>
                <a:srgbClr val="4BACC6">
                  <a:lumMod val="40000"/>
                  <a:lumOff val="60000"/>
                </a:srgbClr>
              </a:solidFill>
            </c:spPr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Piano_indicatori!$D$84:$K$84</c:f>
              <c:numCache>
                <c:formatCode>0.00</c:formatCode>
                <c:ptCount val="8"/>
                <c:pt idx="0">
                  <c:v>77.64</c:v>
                </c:pt>
                <c:pt idx="1">
                  <c:v>79.209999999999994</c:v>
                </c:pt>
                <c:pt idx="2">
                  <c:v>84.32</c:v>
                </c:pt>
                <c:pt idx="3">
                  <c:v>84.74</c:v>
                </c:pt>
                <c:pt idx="4">
                  <c:v>74.650000000000006</c:v>
                </c:pt>
                <c:pt idx="5">
                  <c:v>80.200732645253296</c:v>
                </c:pt>
                <c:pt idx="6">
                  <c:v>78.159594327441511</c:v>
                </c:pt>
                <c:pt idx="7">
                  <c:v>81.77835918853431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3A-469B-84B2-5562AE3617E1}"/>
            </c:ext>
          </c:extLst>
        </c:ser>
        <c:ser>
          <c:idx val="1"/>
          <c:order val="1"/>
          <c:tx>
            <c:strRef>
              <c:f>Piano_indicatori!$B$85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Piano_indicatori!$D$85:$K$85</c:f>
              <c:numCache>
                <c:formatCode>0.00</c:formatCode>
                <c:ptCount val="8"/>
                <c:pt idx="0">
                  <c:v>82.39</c:v>
                </c:pt>
                <c:pt idx="1">
                  <c:v>78.72</c:v>
                </c:pt>
                <c:pt idx="2">
                  <c:v>82.45</c:v>
                </c:pt>
                <c:pt idx="3">
                  <c:v>84.01</c:v>
                </c:pt>
                <c:pt idx="4">
                  <c:v>85.4</c:v>
                </c:pt>
                <c:pt idx="5">
                  <c:v>86.974093712079465</c:v>
                </c:pt>
                <c:pt idx="6">
                  <c:v>86.306518624534505</c:v>
                </c:pt>
                <c:pt idx="7">
                  <c:v>87.873395062240505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3A-469B-84B2-5562AE3617E1}"/>
            </c:ext>
          </c:extLst>
        </c:ser>
        <c:ser>
          <c:idx val="2"/>
          <c:order val="2"/>
          <c:tx>
            <c:strRef>
              <c:f>Piano_indicatori!$B$86</c:f>
              <c:strCache>
                <c:ptCount val="1"/>
                <c:pt idx="0">
                  <c:v>Trasporti e diritto alla mobilità</c:v>
                </c:pt>
              </c:strCache>
            </c:strRef>
          </c:tx>
          <c:marker>
            <c:symbol val="diamond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Piano_indicatori!$D$86:$K$86</c:f>
              <c:numCache>
                <c:formatCode>0.00</c:formatCode>
                <c:ptCount val="8"/>
                <c:pt idx="0">
                  <c:v>78.959999999999994</c:v>
                </c:pt>
                <c:pt idx="1">
                  <c:v>85.65</c:v>
                </c:pt>
                <c:pt idx="2">
                  <c:v>83.03</c:v>
                </c:pt>
                <c:pt idx="3">
                  <c:v>87.73</c:v>
                </c:pt>
                <c:pt idx="4">
                  <c:v>86.06</c:v>
                </c:pt>
                <c:pt idx="5">
                  <c:v>83.606274065663229</c:v>
                </c:pt>
                <c:pt idx="6">
                  <c:v>78.172917160152181</c:v>
                </c:pt>
                <c:pt idx="7">
                  <c:v>90.183649795827819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73A-469B-84B2-5562AE3617E1}"/>
            </c:ext>
          </c:extLst>
        </c:ser>
        <c:ser>
          <c:idx val="3"/>
          <c:order val="3"/>
          <c:tx>
            <c:strRef>
              <c:f>Piano_indicatori!$B$87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marker>
            <c:symbol val="circ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Piano_indicatori!$D$87:$K$87</c:f>
              <c:numCache>
                <c:formatCode>0.00</c:formatCode>
                <c:ptCount val="8"/>
                <c:pt idx="0">
                  <c:v>76.849999999999994</c:v>
                </c:pt>
                <c:pt idx="1">
                  <c:v>68.760000000000005</c:v>
                </c:pt>
                <c:pt idx="2">
                  <c:v>78.11</c:v>
                </c:pt>
                <c:pt idx="3">
                  <c:v>79.989999999999995</c:v>
                </c:pt>
                <c:pt idx="4">
                  <c:v>77.239999999999995</c:v>
                </c:pt>
                <c:pt idx="5">
                  <c:v>77.867140784621029</c:v>
                </c:pt>
                <c:pt idx="6">
                  <c:v>84.167694513418311</c:v>
                </c:pt>
                <c:pt idx="7">
                  <c:v>85.990249788105217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73A-469B-84B2-5562AE361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324576"/>
        <c:axId val="1431323488"/>
      </c:lineChart>
      <c:catAx>
        <c:axId val="143132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431323488"/>
        <c:crosses val="autoZero"/>
        <c:auto val="1"/>
        <c:lblAlgn val="ctr"/>
        <c:lblOffset val="100"/>
        <c:noMultiLvlLbl val="0"/>
      </c:catAx>
      <c:valAx>
        <c:axId val="1431323488"/>
        <c:scaling>
          <c:orientation val="minMax"/>
          <c:max val="92"/>
          <c:min val="65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431324576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7.9534903497887523E-3"/>
          <c:y val="0.86298514547383764"/>
          <c:w val="0.97653411880215957"/>
          <c:h val="0.10961746802926231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654E-2"/>
          <c:y val="0"/>
          <c:w val="0.95679921453118499"/>
          <c:h val="0.802487112933598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Piano_indicatori!$B$20</c:f>
              <c:strCache>
                <c:ptCount val="1"/>
                <c:pt idx="0">
                  <c:v>Spesa di personale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Piano_indicatori!$D$20:$K$20</c:f>
              <c:numCache>
                <c:formatCode>0.00</c:formatCode>
                <c:ptCount val="8"/>
                <c:pt idx="0">
                  <c:v>199.74</c:v>
                </c:pt>
                <c:pt idx="1">
                  <c:v>193.21</c:v>
                </c:pt>
                <c:pt idx="2">
                  <c:v>199.43</c:v>
                </c:pt>
                <c:pt idx="3">
                  <c:v>197.22</c:v>
                </c:pt>
                <c:pt idx="4">
                  <c:v>193.74</c:v>
                </c:pt>
                <c:pt idx="5">
                  <c:v>195.45</c:v>
                </c:pt>
                <c:pt idx="6">
                  <c:v>206.75</c:v>
                </c:pt>
                <c:pt idx="7">
                  <c:v>204.53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31-4E19-98D9-D92F9A6181BB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Piano_indicatori!$D$89:$K$89</c:f>
              <c:numCache>
                <c:formatCode>0.00</c:formatCode>
                <c:ptCount val="8"/>
                <c:pt idx="0">
                  <c:v>367.13226833883101</c:v>
                </c:pt>
                <c:pt idx="1">
                  <c:v>350.14826884227551</c:v>
                </c:pt>
                <c:pt idx="2">
                  <c:v>362.58510068602214</c:v>
                </c:pt>
                <c:pt idx="3">
                  <c:v>355.01394750014094</c:v>
                </c:pt>
                <c:pt idx="4">
                  <c:v>354.72657825926274</c:v>
                </c:pt>
                <c:pt idx="5">
                  <c:v>352.25227220007974</c:v>
                </c:pt>
                <c:pt idx="6">
                  <c:v>369.77947768871218</c:v>
                </c:pt>
                <c:pt idx="7">
                  <c:v>368.56431741147844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31-4E19-98D9-D92F9A618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1325664"/>
        <c:axId val="1431324032"/>
      </c:barChart>
      <c:catAx>
        <c:axId val="143132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431324032"/>
        <c:crosses val="autoZero"/>
        <c:auto val="1"/>
        <c:lblAlgn val="ctr"/>
        <c:lblOffset val="100"/>
        <c:noMultiLvlLbl val="0"/>
      </c:catAx>
      <c:valAx>
        <c:axId val="1431324032"/>
        <c:scaling>
          <c:orientation val="minMax"/>
          <c:max val="42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431325664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1181099</xdr:colOff>
      <xdr:row>23</xdr:row>
      <xdr:rowOff>182879</xdr:rowOff>
    </xdr:from>
    <xdr:to>
      <xdr:col>10</xdr:col>
      <xdr:colOff>182880</xdr:colOff>
      <xdr:row>48</xdr:row>
      <xdr:rowOff>28574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1082041</xdr:colOff>
      <xdr:row>48</xdr:row>
      <xdr:rowOff>154304</xdr:rowOff>
    </xdr:from>
    <xdr:to>
      <xdr:col>10</xdr:col>
      <xdr:colOff>213361</xdr:colOff>
      <xdr:row>72</xdr:row>
      <xdr:rowOff>53339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683894</xdr:colOff>
      <xdr:row>31</xdr:row>
      <xdr:rowOff>80009</xdr:rowOff>
    </xdr:from>
    <xdr:to>
      <xdr:col>12</xdr:col>
      <xdr:colOff>381000</xdr:colOff>
      <xdr:row>48</xdr:row>
      <xdr:rowOff>127634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29</xdr:row>
      <xdr:rowOff>38100</xdr:rowOff>
    </xdr:from>
    <xdr:to>
      <xdr:col>7</xdr:col>
      <xdr:colOff>205741</xdr:colOff>
      <xdr:row>51</xdr:row>
      <xdr:rowOff>22860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52</xdr:row>
      <xdr:rowOff>85725</xdr:rowOff>
    </xdr:from>
    <xdr:to>
      <xdr:col>8</xdr:col>
      <xdr:colOff>137160</xdr:colOff>
      <xdr:row>74</xdr:row>
      <xdr:rowOff>85725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178</xdr:row>
      <xdr:rowOff>28576</xdr:rowOff>
    </xdr:from>
    <xdr:to>
      <xdr:col>2</xdr:col>
      <xdr:colOff>752475</xdr:colOff>
      <xdr:row>196</xdr:row>
      <xdr:rowOff>180976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552449</xdr:colOff>
      <xdr:row>198</xdr:row>
      <xdr:rowOff>123823</xdr:rowOff>
    </xdr:from>
    <xdr:to>
      <xdr:col>3</xdr:col>
      <xdr:colOff>85724</xdr:colOff>
      <xdr:row>216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218</xdr:row>
      <xdr:rowOff>0</xdr:rowOff>
    </xdr:from>
    <xdr:to>
      <xdr:col>3</xdr:col>
      <xdr:colOff>123825</xdr:colOff>
      <xdr:row>236</xdr:row>
      <xdr:rowOff>152400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94</xdr:row>
      <xdr:rowOff>161924</xdr:rowOff>
    </xdr:from>
    <xdr:to>
      <xdr:col>3</xdr:col>
      <xdr:colOff>123825</xdr:colOff>
      <xdr:row>112</xdr:row>
      <xdr:rowOff>171449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115</xdr:row>
      <xdr:rowOff>142875</xdr:rowOff>
    </xdr:from>
    <xdr:to>
      <xdr:col>3</xdr:col>
      <xdr:colOff>123825</xdr:colOff>
      <xdr:row>133</xdr:row>
      <xdr:rowOff>152400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136</xdr:row>
      <xdr:rowOff>0</xdr:rowOff>
    </xdr:from>
    <xdr:to>
      <xdr:col>3</xdr:col>
      <xdr:colOff>123825</xdr:colOff>
      <xdr:row>154</xdr:row>
      <xdr:rowOff>9525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157</xdr:row>
      <xdr:rowOff>0</xdr:rowOff>
    </xdr:from>
    <xdr:to>
      <xdr:col>3</xdr:col>
      <xdr:colOff>123825</xdr:colOff>
      <xdr:row>175</xdr:row>
      <xdr:rowOff>9525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316227</xdr:colOff>
      <xdr:row>11</xdr:row>
      <xdr:rowOff>171449</xdr:rowOff>
    </xdr:from>
    <xdr:to>
      <xdr:col>11</xdr:col>
      <xdr:colOff>192404</xdr:colOff>
      <xdr:row>41</xdr:row>
      <xdr:rowOff>99060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pane xSplit="1" ySplit="2" topLeftCell="T3" activePane="bottomRight" state="frozen"/>
      <selection pane="topRight" activeCell="B1" sqref="B1"/>
      <selection pane="bottomLeft" activeCell="A3" sqref="A3"/>
      <selection pane="bottomRight" activeCell="W3" sqref="W3:X55"/>
    </sheetView>
  </sheetViews>
  <sheetFormatPr defaultRowHeight="14.4" x14ac:dyDescent="0.3"/>
  <cols>
    <col min="1" max="1" width="60.6640625" bestFit="1" customWidth="1"/>
    <col min="2" max="3" width="15.33203125" bestFit="1" customWidth="1"/>
    <col min="4" max="4" width="7.109375" customWidth="1"/>
    <col min="5" max="6" width="15.33203125" bestFit="1" customWidth="1"/>
    <col min="7" max="7" width="7.109375" customWidth="1"/>
    <col min="8" max="9" width="15.33203125" bestFit="1" customWidth="1"/>
    <col min="10" max="10" width="7.109375" customWidth="1"/>
    <col min="11" max="12" width="15.33203125" style="100" bestFit="1" customWidth="1"/>
    <col min="13" max="13" width="7.109375" style="100" customWidth="1"/>
    <col min="14" max="15" width="15.33203125" style="100" bestFit="1" customWidth="1"/>
    <col min="16" max="16" width="7.109375" style="100" customWidth="1"/>
    <col min="17" max="18" width="15.33203125" style="100" bestFit="1" customWidth="1"/>
    <col min="19" max="19" width="7.109375" style="100" customWidth="1"/>
    <col min="20" max="21" width="15.33203125" style="100" bestFit="1" customWidth="1"/>
    <col min="22" max="22" width="7.109375" style="100" customWidth="1"/>
    <col min="23" max="24" width="15.33203125" bestFit="1" customWidth="1"/>
    <col min="25" max="25" width="7.109375" customWidth="1"/>
    <col min="26" max="27" width="8.88671875" style="100"/>
  </cols>
  <sheetData>
    <row r="1" spans="1:27" x14ac:dyDescent="0.3">
      <c r="B1" s="122">
        <v>2016</v>
      </c>
      <c r="C1" s="122"/>
      <c r="D1" s="123"/>
      <c r="E1" s="124">
        <v>2017</v>
      </c>
      <c r="F1" s="122"/>
      <c r="G1" s="123"/>
      <c r="H1" s="124">
        <v>2018</v>
      </c>
      <c r="I1" s="122"/>
      <c r="J1" s="123"/>
      <c r="K1" s="124">
        <v>2019</v>
      </c>
      <c r="L1" s="122"/>
      <c r="M1" s="123"/>
      <c r="N1" s="124">
        <v>2020</v>
      </c>
      <c r="O1" s="122"/>
      <c r="P1" s="123"/>
      <c r="Q1" s="124">
        <v>2021</v>
      </c>
      <c r="R1" s="122"/>
      <c r="S1" s="123"/>
      <c r="T1" s="124">
        <v>2022</v>
      </c>
      <c r="U1" s="122"/>
      <c r="V1" s="123"/>
      <c r="W1" s="124">
        <v>2023</v>
      </c>
      <c r="X1" s="122"/>
      <c r="Y1" s="123"/>
      <c r="Z1" s="121" t="s">
        <v>233</v>
      </c>
      <c r="AA1" s="121"/>
    </row>
    <row r="2" spans="1:27" x14ac:dyDescent="0.3">
      <c r="B2" s="15" t="s">
        <v>73</v>
      </c>
      <c r="C2" s="15" t="s">
        <v>74</v>
      </c>
      <c r="D2" s="16" t="s">
        <v>234</v>
      </c>
      <c r="E2" s="21" t="s">
        <v>73</v>
      </c>
      <c r="F2" s="15" t="s">
        <v>74</v>
      </c>
      <c r="G2" s="16" t="s">
        <v>234</v>
      </c>
      <c r="H2" s="21" t="s">
        <v>73</v>
      </c>
      <c r="I2" s="15" t="s">
        <v>74</v>
      </c>
      <c r="J2" s="16" t="s">
        <v>234</v>
      </c>
      <c r="K2" s="21" t="s">
        <v>73</v>
      </c>
      <c r="L2" s="15" t="s">
        <v>74</v>
      </c>
      <c r="M2" s="16" t="s">
        <v>234</v>
      </c>
      <c r="N2" s="21" t="s">
        <v>73</v>
      </c>
      <c r="O2" s="15" t="s">
        <v>74</v>
      </c>
      <c r="P2" s="16" t="s">
        <v>234</v>
      </c>
      <c r="Q2" s="21" t="s">
        <v>73</v>
      </c>
      <c r="R2" s="15" t="s">
        <v>74</v>
      </c>
      <c r="S2" s="16" t="s">
        <v>234</v>
      </c>
      <c r="T2" s="21" t="s">
        <v>73</v>
      </c>
      <c r="U2" s="15" t="s">
        <v>74</v>
      </c>
      <c r="V2" s="16" t="s">
        <v>234</v>
      </c>
      <c r="W2" s="21" t="s">
        <v>73</v>
      </c>
      <c r="X2" s="15" t="s">
        <v>74</v>
      </c>
      <c r="Y2" s="16" t="s">
        <v>234</v>
      </c>
      <c r="Z2" s="111" t="s">
        <v>73</v>
      </c>
      <c r="AA2" s="111" t="s">
        <v>74</v>
      </c>
    </row>
    <row r="3" spans="1:27" x14ac:dyDescent="0.3">
      <c r="A3" t="s">
        <v>20</v>
      </c>
      <c r="B3" s="26">
        <v>142689436.56999999</v>
      </c>
      <c r="C3" s="26">
        <v>112291643.61</v>
      </c>
      <c r="D3" s="18">
        <f>IF(B3&gt;0,C3/B3*100,"-")</f>
        <v>78.696535853873399</v>
      </c>
      <c r="E3" s="26">
        <v>145192439.15000001</v>
      </c>
      <c r="F3" s="26">
        <v>103039051.95999999</v>
      </c>
      <c r="G3" s="18">
        <f>IF(E3&gt;0,F3/E3*100,"-")</f>
        <v>70.9672298111537</v>
      </c>
      <c r="H3" s="26">
        <v>146087569.22999999</v>
      </c>
      <c r="I3" s="26">
        <v>114267852.72</v>
      </c>
      <c r="J3" s="18">
        <f>IF(H3&gt;0,I3/H3*100,"-")</f>
        <v>78.218737790137993</v>
      </c>
      <c r="K3" s="109">
        <v>147795813.62</v>
      </c>
      <c r="L3" s="109">
        <v>114043723.58</v>
      </c>
      <c r="M3" s="18">
        <f>IF(K3&gt;0,L3/K3*100,"-")</f>
        <v>77.163027007801105</v>
      </c>
      <c r="N3" s="109">
        <v>144757931.81</v>
      </c>
      <c r="O3" s="109">
        <v>111067353.52</v>
      </c>
      <c r="P3" s="18">
        <f>IF(N3&gt;0,O3/N3*100,"-")</f>
        <v>76.72626441346226</v>
      </c>
      <c r="Q3" s="109">
        <v>143517511.33000001</v>
      </c>
      <c r="R3" s="109">
        <v>102190699.31</v>
      </c>
      <c r="S3" s="18">
        <f>IF(Q3&gt;0,R3/Q3*100,"-")</f>
        <v>71.204341799814003</v>
      </c>
      <c r="T3" s="1">
        <v>148861560.5</v>
      </c>
      <c r="U3" s="1">
        <v>115462411.93000001</v>
      </c>
      <c r="V3" s="18">
        <f>IF(T3&gt;0,U3/T3*100,"-")</f>
        <v>77.563617862248606</v>
      </c>
      <c r="W3" s="1">
        <v>155203640.88</v>
      </c>
      <c r="X3" s="1">
        <v>95136746.719999999</v>
      </c>
      <c r="Y3" s="18">
        <f>IF(W3&gt;0,X3/W3*100,"-")</f>
        <v>61.298012199055051</v>
      </c>
      <c r="Z3" s="103">
        <f>IF(T3&gt;0,W3/T3*100-100,"-")</f>
        <v>4.2603882148608818</v>
      </c>
      <c r="AA3" s="103">
        <f>IF(U3&gt;0,X3/U3*100-100,"-")</f>
        <v>-17.603707449245562</v>
      </c>
    </row>
    <row r="4" spans="1:27" x14ac:dyDescent="0.3">
      <c r="A4" t="s">
        <v>21</v>
      </c>
      <c r="B4" s="26">
        <v>16962622.129999999</v>
      </c>
      <c r="C4" s="26">
        <v>14321007.460000001</v>
      </c>
      <c r="D4" s="18">
        <f t="shared" ref="D4:D21" si="0">IF(B4&gt;0,C4/B4*100,"-")</f>
        <v>84.426849517987833</v>
      </c>
      <c r="E4" s="26">
        <v>18662716.600000001</v>
      </c>
      <c r="F4" s="26">
        <v>15673563</v>
      </c>
      <c r="G4" s="18">
        <f t="shared" ref="G4:G21" si="1">IF(E4&gt;0,F4/E4*100,"-")</f>
        <v>83.983287834955377</v>
      </c>
      <c r="H4" s="26">
        <v>14801797.310000001</v>
      </c>
      <c r="I4" s="26">
        <v>11197687.550000001</v>
      </c>
      <c r="J4" s="18">
        <f t="shared" ref="J4:J13" si="2">IF(H4&gt;0,I4/H4*100,"-")</f>
        <v>75.650863982814528</v>
      </c>
      <c r="K4" s="109">
        <v>14398532.470000001</v>
      </c>
      <c r="L4" s="109">
        <v>11224961.119999999</v>
      </c>
      <c r="M4" s="18">
        <f t="shared" ref="M4:M13" si="3">IF(K4&gt;0,L4/K4*100,"-")</f>
        <v>77.959063837844013</v>
      </c>
      <c r="N4" s="109">
        <v>35883783.649999999</v>
      </c>
      <c r="O4" s="109">
        <v>33089834.449999999</v>
      </c>
      <c r="P4" s="18">
        <f t="shared" ref="P4:P13" si="4">IF(N4&gt;0,O4/N4*100,"-")</f>
        <v>92.213894645973326</v>
      </c>
      <c r="Q4" s="109">
        <v>21633329.699999999</v>
      </c>
      <c r="R4" s="109">
        <v>17531584.710000001</v>
      </c>
      <c r="S4" s="18">
        <f t="shared" ref="S4:S13" si="5">IF(Q4&gt;0,R4/Q4*100,"-")</f>
        <v>81.039696399579213</v>
      </c>
      <c r="T4" s="1">
        <v>13570442.539999999</v>
      </c>
      <c r="U4" s="1">
        <v>10589553.380000001</v>
      </c>
      <c r="V4" s="18">
        <f t="shared" ref="V4:V13" si="6">IF(T4&gt;0,U4/T4*100,"-")</f>
        <v>78.033957616241466</v>
      </c>
      <c r="W4" s="1">
        <v>15200179.699999999</v>
      </c>
      <c r="X4" s="1">
        <v>12664039.26</v>
      </c>
      <c r="Y4" s="18">
        <f t="shared" ref="Y4:Y21" si="7">IF(W4&gt;0,X4/W4*100,"-")</f>
        <v>83.315062781790672</v>
      </c>
      <c r="Z4" s="103">
        <f t="shared" ref="Z4:AA55" si="8">IF(T4&gt;0,W4/T4*100-100,"-")</f>
        <v>12.009462146840207</v>
      </c>
      <c r="AA4" s="103">
        <f t="shared" si="8"/>
        <v>19.589927974847228</v>
      </c>
    </row>
    <row r="5" spans="1:27" x14ac:dyDescent="0.3">
      <c r="A5" t="s">
        <v>22</v>
      </c>
      <c r="B5" s="26">
        <v>50947748.729999997</v>
      </c>
      <c r="C5" s="26">
        <v>28656210.940000001</v>
      </c>
      <c r="D5" s="18">
        <f t="shared" si="0"/>
        <v>56.246275162941828</v>
      </c>
      <c r="E5" s="26">
        <v>45962648</v>
      </c>
      <c r="F5" s="26">
        <v>26176352.489999998</v>
      </c>
      <c r="G5" s="18">
        <f t="shared" si="1"/>
        <v>56.951358611888502</v>
      </c>
      <c r="H5" s="26">
        <v>42018194.710000001</v>
      </c>
      <c r="I5" s="26">
        <v>24926887.609999999</v>
      </c>
      <c r="J5" s="18">
        <f t="shared" si="2"/>
        <v>59.324032795886858</v>
      </c>
      <c r="K5" s="109">
        <v>40905090.450000003</v>
      </c>
      <c r="L5" s="109">
        <v>27731215.77</v>
      </c>
      <c r="M5" s="18">
        <f t="shared" si="3"/>
        <v>67.794045838615176</v>
      </c>
      <c r="N5" s="109">
        <v>35691459.520000003</v>
      </c>
      <c r="O5" s="109">
        <v>21186984.960000001</v>
      </c>
      <c r="P5" s="18">
        <f t="shared" si="4"/>
        <v>59.361497806296491</v>
      </c>
      <c r="Q5" s="109">
        <v>44888590.689999998</v>
      </c>
      <c r="R5" s="109">
        <v>31989038.98</v>
      </c>
      <c r="S5" s="18">
        <f t="shared" si="5"/>
        <v>71.263184003516329</v>
      </c>
      <c r="T5" s="1">
        <v>58783593.630000003</v>
      </c>
      <c r="U5" s="1">
        <v>36202128.479999997</v>
      </c>
      <c r="V5" s="18">
        <f t="shared" si="6"/>
        <v>61.58542927447764</v>
      </c>
      <c r="W5" s="1">
        <v>68042341.180000007</v>
      </c>
      <c r="X5" s="1">
        <v>37417658.420000002</v>
      </c>
      <c r="Y5" s="18">
        <f t="shared" si="7"/>
        <v>54.991726873440307</v>
      </c>
      <c r="Z5" s="103">
        <f t="shared" si="8"/>
        <v>15.75056402348774</v>
      </c>
      <c r="AA5" s="103">
        <f t="shared" si="8"/>
        <v>3.3576200931708371</v>
      </c>
    </row>
    <row r="6" spans="1:27" x14ac:dyDescent="0.3">
      <c r="A6" t="s">
        <v>23</v>
      </c>
      <c r="B6" s="26">
        <v>33431.839999999997</v>
      </c>
      <c r="C6" s="26">
        <v>31895.39</v>
      </c>
      <c r="D6" s="18">
        <f t="shared" si="0"/>
        <v>95.404231415321448</v>
      </c>
      <c r="E6" s="26">
        <v>40681.17</v>
      </c>
      <c r="F6" s="26">
        <v>40681.17</v>
      </c>
      <c r="G6" s="18">
        <f t="shared" si="1"/>
        <v>100</v>
      </c>
      <c r="H6" s="26">
        <v>34544.44</v>
      </c>
      <c r="I6" s="26">
        <v>34544.44</v>
      </c>
      <c r="J6" s="18">
        <f t="shared" si="2"/>
        <v>100</v>
      </c>
      <c r="K6" s="109">
        <v>16325.24</v>
      </c>
      <c r="L6" s="109">
        <v>16325.24</v>
      </c>
      <c r="M6" s="18">
        <f t="shared" si="3"/>
        <v>100</v>
      </c>
      <c r="N6" s="109">
        <v>17326.240000000002</v>
      </c>
      <c r="O6" s="109">
        <v>17326.240000000002</v>
      </c>
      <c r="P6" s="18">
        <f t="shared" si="4"/>
        <v>100</v>
      </c>
      <c r="Q6" s="109">
        <v>33032.910000000003</v>
      </c>
      <c r="R6" s="109">
        <v>33032.910000000003</v>
      </c>
      <c r="S6" s="18">
        <f t="shared" si="5"/>
        <v>100</v>
      </c>
      <c r="T6" s="1">
        <v>29517.54</v>
      </c>
      <c r="U6" s="1">
        <v>29517.54</v>
      </c>
      <c r="V6" s="18">
        <f t="shared" si="6"/>
        <v>100</v>
      </c>
      <c r="W6" s="1">
        <v>57968.66</v>
      </c>
      <c r="X6" s="1">
        <v>57968.66</v>
      </c>
      <c r="Y6" s="18">
        <f t="shared" si="7"/>
        <v>100</v>
      </c>
      <c r="Z6" s="103">
        <f t="shared" si="8"/>
        <v>96.387165055082505</v>
      </c>
      <c r="AA6" s="103">
        <f t="shared" si="8"/>
        <v>96.387165055082505</v>
      </c>
    </row>
    <row r="7" spans="1:27" x14ac:dyDescent="0.3">
      <c r="A7" t="s">
        <v>24</v>
      </c>
      <c r="B7" s="26">
        <v>5347105.97</v>
      </c>
      <c r="C7" s="26">
        <v>625399.57999999996</v>
      </c>
      <c r="D7" s="18">
        <f t="shared" si="0"/>
        <v>11.696038633025259</v>
      </c>
      <c r="E7" s="26">
        <v>3286708.25</v>
      </c>
      <c r="F7" s="26">
        <v>2956390.32</v>
      </c>
      <c r="G7" s="18">
        <f t="shared" si="1"/>
        <v>89.949885877458087</v>
      </c>
      <c r="H7" s="26">
        <v>5601290.6699999999</v>
      </c>
      <c r="I7" s="26">
        <v>2032285.85</v>
      </c>
      <c r="J7" s="18">
        <f t="shared" si="2"/>
        <v>36.282456486051281</v>
      </c>
      <c r="K7" s="109">
        <v>8494092.5700000003</v>
      </c>
      <c r="L7" s="109">
        <v>1884754.16</v>
      </c>
      <c r="M7" s="18">
        <f t="shared" si="3"/>
        <v>22.188999524878028</v>
      </c>
      <c r="N7" s="109">
        <v>11105243.859999999</v>
      </c>
      <c r="O7" s="109">
        <v>5359338.09</v>
      </c>
      <c r="P7" s="18">
        <f t="shared" si="4"/>
        <v>48.259526378378872</v>
      </c>
      <c r="Q7" s="109">
        <v>7250931.0499999998</v>
      </c>
      <c r="R7" s="109">
        <v>2336178.11</v>
      </c>
      <c r="S7" s="18">
        <f t="shared" si="5"/>
        <v>32.219008757502941</v>
      </c>
      <c r="T7" s="1">
        <v>27100707.850000001</v>
      </c>
      <c r="U7" s="1">
        <v>19519866.719999999</v>
      </c>
      <c r="V7" s="18">
        <f t="shared" si="6"/>
        <v>72.027147143317137</v>
      </c>
      <c r="W7" s="1">
        <v>11096064.42</v>
      </c>
      <c r="X7" s="1">
        <v>4783322.42</v>
      </c>
      <c r="Y7" s="18">
        <f t="shared" si="7"/>
        <v>43.108279106404105</v>
      </c>
      <c r="Z7" s="103">
        <f t="shared" si="8"/>
        <v>-59.056182290825291</v>
      </c>
      <c r="AA7" s="103">
        <f t="shared" si="8"/>
        <v>-75.49510717151044</v>
      </c>
    </row>
    <row r="8" spans="1:27" x14ac:dyDescent="0.3">
      <c r="A8" t="s">
        <v>25</v>
      </c>
      <c r="B8" s="26">
        <v>2000000</v>
      </c>
      <c r="C8" s="26">
        <v>254938.63</v>
      </c>
      <c r="D8" s="18">
        <f t="shared" si="0"/>
        <v>12.746931500000001</v>
      </c>
      <c r="E8" s="26">
        <v>0</v>
      </c>
      <c r="F8" s="26">
        <v>0</v>
      </c>
      <c r="G8" s="18" t="str">
        <f t="shared" si="1"/>
        <v>-</v>
      </c>
      <c r="H8" s="26">
        <v>0</v>
      </c>
      <c r="I8" s="26">
        <v>0</v>
      </c>
      <c r="J8" s="18" t="str">
        <f t="shared" si="2"/>
        <v>-</v>
      </c>
      <c r="K8" s="109">
        <v>0</v>
      </c>
      <c r="L8" s="109">
        <v>0</v>
      </c>
      <c r="M8" s="18" t="str">
        <f t="shared" si="3"/>
        <v>-</v>
      </c>
      <c r="N8" s="109">
        <v>0</v>
      </c>
      <c r="O8" s="109">
        <v>0</v>
      </c>
      <c r="P8" s="18" t="str">
        <f t="shared" si="4"/>
        <v>-</v>
      </c>
      <c r="Q8" s="109">
        <v>6260</v>
      </c>
      <c r="R8" s="109">
        <v>6260</v>
      </c>
      <c r="S8" s="18">
        <f t="shared" si="5"/>
        <v>100</v>
      </c>
      <c r="T8" s="1">
        <v>20000</v>
      </c>
      <c r="U8" s="1">
        <v>20000</v>
      </c>
      <c r="V8" s="18">
        <f t="shared" si="6"/>
        <v>100</v>
      </c>
      <c r="W8" s="1">
        <v>0</v>
      </c>
      <c r="X8" s="1">
        <v>0</v>
      </c>
      <c r="Y8" s="18" t="str">
        <f t="shared" si="7"/>
        <v>-</v>
      </c>
      <c r="Z8" s="103">
        <f t="shared" si="8"/>
        <v>-100</v>
      </c>
      <c r="AA8" s="103">
        <f t="shared" si="8"/>
        <v>-100</v>
      </c>
    </row>
    <row r="9" spans="1:27" x14ac:dyDescent="0.3">
      <c r="A9" t="s">
        <v>26</v>
      </c>
      <c r="B9" s="26">
        <v>2640470.15</v>
      </c>
      <c r="C9" s="26">
        <v>2603391.65</v>
      </c>
      <c r="D9" s="18">
        <f t="shared" si="0"/>
        <v>98.595761440438935</v>
      </c>
      <c r="E9" s="26">
        <v>1669920.45</v>
      </c>
      <c r="F9" s="26">
        <v>1638983.96</v>
      </c>
      <c r="G9" s="18">
        <f t="shared" si="1"/>
        <v>98.147427322061958</v>
      </c>
      <c r="H9" s="26">
        <v>37321330.049999997</v>
      </c>
      <c r="I9" s="26">
        <v>37273738.079999998</v>
      </c>
      <c r="J9" s="18">
        <f t="shared" si="2"/>
        <v>99.872480509305973</v>
      </c>
      <c r="K9" s="109">
        <v>2170840.42</v>
      </c>
      <c r="L9" s="109">
        <v>2148366.9</v>
      </c>
      <c r="M9" s="18">
        <f t="shared" si="3"/>
        <v>98.964754857475896</v>
      </c>
      <c r="N9" s="109">
        <v>800777.83</v>
      </c>
      <c r="O9" s="109">
        <v>775824.03</v>
      </c>
      <c r="P9" s="18">
        <f t="shared" si="4"/>
        <v>96.883804837603975</v>
      </c>
      <c r="Q9" s="109">
        <v>1020241.42</v>
      </c>
      <c r="R9" s="109">
        <v>861590.97</v>
      </c>
      <c r="S9" s="18">
        <f t="shared" si="5"/>
        <v>84.449714852784538</v>
      </c>
      <c r="T9" s="1">
        <v>664233.59</v>
      </c>
      <c r="U9" s="1">
        <v>635421.4</v>
      </c>
      <c r="V9" s="18">
        <f t="shared" si="6"/>
        <v>95.662340713603484</v>
      </c>
      <c r="W9" s="1">
        <v>884465.71</v>
      </c>
      <c r="X9" s="1">
        <v>855454.9</v>
      </c>
      <c r="Y9" s="18">
        <f t="shared" si="7"/>
        <v>96.719962156588295</v>
      </c>
      <c r="Z9" s="103">
        <f t="shared" si="8"/>
        <v>33.155823992580679</v>
      </c>
      <c r="AA9" s="103">
        <f t="shared" si="8"/>
        <v>34.627965000864009</v>
      </c>
    </row>
    <row r="10" spans="1:27" x14ac:dyDescent="0.3">
      <c r="A10" t="s">
        <v>27</v>
      </c>
      <c r="B10" s="26">
        <v>4088868.53</v>
      </c>
      <c r="C10" s="26">
        <v>3583130.36</v>
      </c>
      <c r="D10" s="18">
        <f t="shared" si="0"/>
        <v>87.631341866597026</v>
      </c>
      <c r="E10" s="26">
        <v>4939590.88</v>
      </c>
      <c r="F10" s="26">
        <v>4939590.88</v>
      </c>
      <c r="G10" s="18">
        <f t="shared" si="1"/>
        <v>100</v>
      </c>
      <c r="H10" s="26">
        <v>5601521.1900000004</v>
      </c>
      <c r="I10" s="26">
        <v>5220210.6399999997</v>
      </c>
      <c r="J10" s="18">
        <f t="shared" si="2"/>
        <v>93.192732169241324</v>
      </c>
      <c r="K10" s="109">
        <v>4932091.79</v>
      </c>
      <c r="L10" s="109">
        <v>4589820.82</v>
      </c>
      <c r="M10" s="18">
        <f t="shared" si="3"/>
        <v>93.060328465622504</v>
      </c>
      <c r="N10" s="109">
        <v>6063052.1399999997</v>
      </c>
      <c r="O10" s="109">
        <v>6022470.0700000003</v>
      </c>
      <c r="P10" s="18">
        <f t="shared" si="4"/>
        <v>99.330665990281261</v>
      </c>
      <c r="Q10" s="109">
        <v>6476832.8600000003</v>
      </c>
      <c r="R10" s="109">
        <v>6297118.6200000001</v>
      </c>
      <c r="S10" s="18">
        <f t="shared" si="5"/>
        <v>97.225275935250849</v>
      </c>
      <c r="T10" s="1">
        <v>5300923.78</v>
      </c>
      <c r="U10" s="1">
        <v>5274736.38</v>
      </c>
      <c r="V10" s="18">
        <f t="shared" si="6"/>
        <v>99.505984219226036</v>
      </c>
      <c r="W10" s="1">
        <v>4637044.21</v>
      </c>
      <c r="X10" s="1">
        <v>4612464.2</v>
      </c>
      <c r="Y10" s="18">
        <f t="shared" si="7"/>
        <v>99.469920732112243</v>
      </c>
      <c r="Z10" s="103">
        <f t="shared" si="8"/>
        <v>-12.523846739784673</v>
      </c>
      <c r="AA10" s="103">
        <f t="shared" si="8"/>
        <v>-12.55555031169159</v>
      </c>
    </row>
    <row r="11" spans="1:27" x14ac:dyDescent="0.3">
      <c r="A11" t="s">
        <v>28</v>
      </c>
      <c r="B11" s="26">
        <v>131857.46</v>
      </c>
      <c r="C11" s="26">
        <v>131857.46</v>
      </c>
      <c r="D11" s="18">
        <f t="shared" si="0"/>
        <v>100</v>
      </c>
      <c r="E11" s="26">
        <v>6107.15</v>
      </c>
      <c r="F11" s="26">
        <v>6107.15</v>
      </c>
      <c r="G11" s="18">
        <f t="shared" si="1"/>
        <v>100</v>
      </c>
      <c r="H11" s="26">
        <v>0</v>
      </c>
      <c r="I11" s="26">
        <v>0</v>
      </c>
      <c r="J11" s="18" t="str">
        <f t="shared" si="2"/>
        <v>-</v>
      </c>
      <c r="K11" s="109">
        <v>200.33</v>
      </c>
      <c r="L11" s="109">
        <v>200.33</v>
      </c>
      <c r="M11" s="18">
        <f t="shared" si="3"/>
        <v>100</v>
      </c>
      <c r="N11" s="109">
        <v>33831.629999999997</v>
      </c>
      <c r="O11" s="109">
        <v>33831.629999999997</v>
      </c>
      <c r="P11" s="18">
        <f t="shared" si="4"/>
        <v>100</v>
      </c>
      <c r="Q11" s="109">
        <v>0</v>
      </c>
      <c r="R11" s="109">
        <v>0</v>
      </c>
      <c r="S11" s="18" t="str">
        <f t="shared" si="5"/>
        <v>-</v>
      </c>
      <c r="T11" s="109">
        <v>0</v>
      </c>
      <c r="U11" s="109">
        <v>0</v>
      </c>
      <c r="V11" s="18" t="str">
        <f t="shared" si="6"/>
        <v>-</v>
      </c>
      <c r="W11" s="109">
        <v>0</v>
      </c>
      <c r="X11" s="109">
        <v>0</v>
      </c>
      <c r="Y11" s="18" t="str">
        <f t="shared" si="7"/>
        <v>-</v>
      </c>
      <c r="Z11" s="103" t="str">
        <f t="shared" si="8"/>
        <v>-</v>
      </c>
      <c r="AA11" s="103" t="str">
        <f t="shared" si="8"/>
        <v>-</v>
      </c>
    </row>
    <row r="12" spans="1:27" x14ac:dyDescent="0.3">
      <c r="A12" t="s">
        <v>29</v>
      </c>
      <c r="B12" s="26">
        <v>920156.2</v>
      </c>
      <c r="C12" s="26">
        <v>0</v>
      </c>
      <c r="D12" s="18">
        <f t="shared" si="0"/>
        <v>0</v>
      </c>
      <c r="E12" s="26">
        <v>0</v>
      </c>
      <c r="F12" s="26">
        <v>0</v>
      </c>
      <c r="G12" s="18" t="str">
        <f t="shared" si="1"/>
        <v>-</v>
      </c>
      <c r="H12" s="26">
        <v>0</v>
      </c>
      <c r="I12" s="26">
        <v>0</v>
      </c>
      <c r="J12" s="18" t="str">
        <f t="shared" si="2"/>
        <v>-</v>
      </c>
      <c r="K12" s="109">
        <v>0</v>
      </c>
      <c r="L12" s="109">
        <v>0</v>
      </c>
      <c r="M12" s="18" t="str">
        <f t="shared" si="3"/>
        <v>-</v>
      </c>
      <c r="N12" s="109">
        <v>0</v>
      </c>
      <c r="O12" s="109">
        <v>0</v>
      </c>
      <c r="P12" s="18" t="str">
        <f t="shared" si="4"/>
        <v>-</v>
      </c>
      <c r="Q12" s="109">
        <v>0</v>
      </c>
      <c r="R12" s="109">
        <v>0</v>
      </c>
      <c r="S12" s="18" t="str">
        <f t="shared" si="5"/>
        <v>-</v>
      </c>
      <c r="T12" s="109">
        <v>0</v>
      </c>
      <c r="U12" s="109">
        <v>0</v>
      </c>
      <c r="V12" s="18" t="str">
        <f t="shared" si="6"/>
        <v>-</v>
      </c>
      <c r="W12" s="109">
        <v>0</v>
      </c>
      <c r="X12" s="109">
        <v>0</v>
      </c>
      <c r="Y12" s="18" t="str">
        <f t="shared" si="7"/>
        <v>-</v>
      </c>
      <c r="Z12" s="103" t="str">
        <f t="shared" si="8"/>
        <v>-</v>
      </c>
      <c r="AA12" s="103" t="str">
        <f t="shared" si="8"/>
        <v>-</v>
      </c>
    </row>
    <row r="13" spans="1:27" x14ac:dyDescent="0.3">
      <c r="A13" t="s">
        <v>30</v>
      </c>
      <c r="B13" s="26">
        <v>3000000</v>
      </c>
      <c r="C13" s="26">
        <v>3000000</v>
      </c>
      <c r="D13" s="18">
        <f t="shared" si="0"/>
        <v>100</v>
      </c>
      <c r="E13" s="26">
        <v>0</v>
      </c>
      <c r="F13" s="26">
        <v>0</v>
      </c>
      <c r="G13" s="18" t="str">
        <f t="shared" si="1"/>
        <v>-</v>
      </c>
      <c r="H13" s="26">
        <v>0</v>
      </c>
      <c r="I13" s="26">
        <v>0</v>
      </c>
      <c r="J13" s="18" t="str">
        <f t="shared" si="2"/>
        <v>-</v>
      </c>
      <c r="K13" s="109">
        <v>0</v>
      </c>
      <c r="L13" s="109">
        <v>0</v>
      </c>
      <c r="M13" s="18" t="str">
        <f t="shared" si="3"/>
        <v>-</v>
      </c>
      <c r="N13" s="109">
        <v>0</v>
      </c>
      <c r="O13" s="109">
        <v>0</v>
      </c>
      <c r="P13" s="18" t="str">
        <f t="shared" si="4"/>
        <v>-</v>
      </c>
      <c r="Q13" s="109">
        <v>0</v>
      </c>
      <c r="R13" s="109">
        <v>0</v>
      </c>
      <c r="S13" s="18" t="str">
        <f t="shared" si="5"/>
        <v>-</v>
      </c>
      <c r="T13" s="1">
        <v>10111719.25</v>
      </c>
      <c r="U13" s="109">
        <v>0</v>
      </c>
      <c r="V13" s="18">
        <f t="shared" si="6"/>
        <v>0</v>
      </c>
      <c r="W13" s="1">
        <v>2986846.9</v>
      </c>
      <c r="X13" s="109">
        <v>0</v>
      </c>
      <c r="Y13" s="18">
        <f t="shared" si="7"/>
        <v>0</v>
      </c>
      <c r="Z13" s="103">
        <f t="shared" si="8"/>
        <v>-70.461532543044058</v>
      </c>
      <c r="AA13" s="103" t="str">
        <f t="shared" si="8"/>
        <v>-</v>
      </c>
    </row>
    <row r="14" spans="1:27" x14ac:dyDescent="0.3">
      <c r="A14" t="s">
        <v>31</v>
      </c>
      <c r="B14" s="26">
        <f>SUM(B3:B5)</f>
        <v>210599807.42999998</v>
      </c>
      <c r="C14" s="26">
        <f>SUM(C3:C5)</f>
        <v>155268862.00999999</v>
      </c>
      <c r="D14" s="18">
        <f>IF(B14&gt;0,C14/B14*100,"-")</f>
        <v>73.726972453006098</v>
      </c>
      <c r="E14" s="26">
        <f>SUM(E3:E5)</f>
        <v>209817803.75</v>
      </c>
      <c r="F14" s="26">
        <f>SUM(F3:F5)</f>
        <v>144888967.44999999</v>
      </c>
      <c r="G14" s="18">
        <f>IF(E14&gt;0,F14/E14*100,"-")</f>
        <v>69.054658308518285</v>
      </c>
      <c r="H14" s="26">
        <f>SUM(H3:H5)</f>
        <v>202907561.25</v>
      </c>
      <c r="I14" s="26">
        <f>SUM(I3:I5)</f>
        <v>150392427.88</v>
      </c>
      <c r="J14" s="18">
        <f t="shared" ref="J14:J21" si="9">IF(H14&gt;0,I14/H14*100,"-")</f>
        <v>74.118690774023577</v>
      </c>
      <c r="K14" s="109">
        <v>203099436.54000002</v>
      </c>
      <c r="L14" s="109">
        <v>152999900.47</v>
      </c>
      <c r="M14" s="18">
        <f>IF(K14&gt;0,L14/K14*100,"-")</f>
        <v>75.332508586190485</v>
      </c>
      <c r="N14" s="109">
        <f t="shared" ref="N14:O14" si="10">SUM(N3:N5)</f>
        <v>216333174.98000002</v>
      </c>
      <c r="O14" s="109">
        <f t="shared" si="10"/>
        <v>165344172.93000001</v>
      </c>
      <c r="P14" s="18">
        <f>IF(N14&gt;0,O14/N14*100,"-")</f>
        <v>76.430336191056256</v>
      </c>
      <c r="Q14" s="109">
        <f t="shared" ref="Q14:R14" si="11">SUM(Q3:Q5)</f>
        <v>210039431.72</v>
      </c>
      <c r="R14" s="109">
        <f t="shared" si="11"/>
        <v>151711323</v>
      </c>
      <c r="S14" s="18">
        <f>IF(Q14&gt;0,R14/Q14*100,"-")</f>
        <v>72.229924523050414</v>
      </c>
      <c r="T14" s="109">
        <f t="shared" ref="T14:U14" si="12">SUM(T3:T5)</f>
        <v>221215596.66999999</v>
      </c>
      <c r="U14" s="109">
        <f t="shared" si="12"/>
        <v>162254093.78999999</v>
      </c>
      <c r="V14" s="18">
        <f>IF(T14&gt;0,U14/T14*100,"-")</f>
        <v>73.346588682010406</v>
      </c>
      <c r="W14" s="109">
        <f t="shared" ref="W14:X14" si="13">SUM(W3:W5)</f>
        <v>238446161.75999999</v>
      </c>
      <c r="X14" s="109">
        <f t="shared" si="13"/>
        <v>145218444.40000001</v>
      </c>
      <c r="Y14" s="18">
        <f>IF(W14&gt;0,X14/W14*100,"-")</f>
        <v>60.901984468160478</v>
      </c>
      <c r="Z14" s="103">
        <f t="shared" si="8"/>
        <v>7.7890371878723386</v>
      </c>
      <c r="AA14" s="103">
        <f t="shared" si="8"/>
        <v>-10.499364910970229</v>
      </c>
    </row>
    <row r="15" spans="1:27" x14ac:dyDescent="0.3">
      <c r="A15" t="s">
        <v>32</v>
      </c>
      <c r="B15" s="25">
        <f>SUM(B6:B10)</f>
        <v>14109876.489999998</v>
      </c>
      <c r="C15" s="25">
        <f>SUM(C6:C10)</f>
        <v>7098755.6099999994</v>
      </c>
      <c r="D15" s="18">
        <f>IF(B15&gt;0,C15/B15*100,"-")</f>
        <v>50.31054393021126</v>
      </c>
      <c r="E15" s="25">
        <f>SUM(E6:E10)</f>
        <v>9936900.75</v>
      </c>
      <c r="F15" s="25">
        <f>SUM(F6:F10)</f>
        <v>9575646.3299999982</v>
      </c>
      <c r="G15" s="18">
        <f>IF(E15&gt;0,F15/E15*100,"-")</f>
        <v>96.364516169692024</v>
      </c>
      <c r="H15" s="25">
        <f>SUM(H6:H10)</f>
        <v>48558686.349999994</v>
      </c>
      <c r="I15" s="25">
        <f>SUM(I6:I10)</f>
        <v>44560779.009999998</v>
      </c>
      <c r="J15" s="18">
        <f t="shared" si="9"/>
        <v>91.766854417798726</v>
      </c>
      <c r="K15" s="108">
        <v>15613350.02</v>
      </c>
      <c r="L15" s="108">
        <v>8639267.120000001</v>
      </c>
      <c r="M15" s="18">
        <f>IF(K15&gt;0,L15/K15*100,"-")</f>
        <v>55.332565457979797</v>
      </c>
      <c r="N15" s="108">
        <f t="shared" ref="N15:O15" si="14">SUM(N6:N10)</f>
        <v>17986400.07</v>
      </c>
      <c r="O15" s="108">
        <f t="shared" si="14"/>
        <v>12174958.43</v>
      </c>
      <c r="P15" s="18">
        <f>IF(N15&gt;0,O15/N15*100,"-")</f>
        <v>67.689801086471661</v>
      </c>
      <c r="Q15" s="108">
        <f t="shared" ref="Q15:R15" si="15">SUM(Q6:Q10)</f>
        <v>14787298.24</v>
      </c>
      <c r="R15" s="108">
        <f t="shared" si="15"/>
        <v>9534180.6099999994</v>
      </c>
      <c r="S15" s="18">
        <f>IF(Q15&gt;0,R15/Q15*100,"-")</f>
        <v>64.475473850996039</v>
      </c>
      <c r="T15" s="108">
        <f t="shared" ref="T15:U15" si="16">SUM(T6:T10)</f>
        <v>33115382.760000002</v>
      </c>
      <c r="U15" s="108">
        <f t="shared" si="16"/>
        <v>25479542.039999995</v>
      </c>
      <c r="V15" s="18">
        <f>IF(T15&gt;0,U15/T15*100,"-")</f>
        <v>76.941710819591307</v>
      </c>
      <c r="W15" s="108">
        <f t="shared" ref="W15:X15" si="17">SUM(W6:W10)</f>
        <v>16675543</v>
      </c>
      <c r="X15" s="108">
        <f t="shared" si="17"/>
        <v>10309210.18</v>
      </c>
      <c r="Y15" s="18">
        <f>IF(W15&gt;0,X15/W15*100,"-")</f>
        <v>61.822335740431356</v>
      </c>
      <c r="Z15" s="103">
        <f t="shared" si="8"/>
        <v>-49.644118200734333</v>
      </c>
      <c r="AA15" s="103">
        <f t="shared" si="8"/>
        <v>-59.539264230826021</v>
      </c>
    </row>
    <row r="16" spans="1:27" x14ac:dyDescent="0.3">
      <c r="A16" t="s">
        <v>33</v>
      </c>
      <c r="B16" s="26">
        <f>SUM(B11:B13)</f>
        <v>4052013.66</v>
      </c>
      <c r="C16" s="26">
        <f>SUM(C11:C13)</f>
        <v>3131857.46</v>
      </c>
      <c r="D16" s="18">
        <f t="shared" si="0"/>
        <v>77.291384550761848</v>
      </c>
      <c r="E16" s="26">
        <f>SUM(E11:E13)</f>
        <v>6107.15</v>
      </c>
      <c r="F16" s="26">
        <f>SUM(F11:F13)</f>
        <v>6107.15</v>
      </c>
      <c r="G16" s="18">
        <f t="shared" si="1"/>
        <v>100</v>
      </c>
      <c r="H16" s="26">
        <f>SUM(H11:H13)</f>
        <v>0</v>
      </c>
      <c r="I16" s="26">
        <f>SUM(I11:I13)</f>
        <v>0</v>
      </c>
      <c r="J16" s="18" t="str">
        <f t="shared" si="9"/>
        <v>-</v>
      </c>
      <c r="K16" s="109">
        <v>200.33</v>
      </c>
      <c r="L16" s="109">
        <v>200.33</v>
      </c>
      <c r="M16" s="18">
        <f t="shared" ref="M16:M21" si="18">IF(K16&gt;0,L16/K16*100,"-")</f>
        <v>100</v>
      </c>
      <c r="N16" s="109">
        <f t="shared" ref="N16:O16" si="19">SUM(N11:N13)</f>
        <v>33831.629999999997</v>
      </c>
      <c r="O16" s="109">
        <f t="shared" si="19"/>
        <v>33831.629999999997</v>
      </c>
      <c r="P16" s="18">
        <f t="shared" ref="P16:P21" si="20">IF(N16&gt;0,O16/N16*100,"-")</f>
        <v>100</v>
      </c>
      <c r="Q16" s="109">
        <f t="shared" ref="Q16:R16" si="21">SUM(Q11:Q13)</f>
        <v>0</v>
      </c>
      <c r="R16" s="109">
        <f t="shared" si="21"/>
        <v>0</v>
      </c>
      <c r="S16" s="18" t="str">
        <f t="shared" ref="S16:S21" si="22">IF(Q16&gt;0,R16/Q16*100,"-")</f>
        <v>-</v>
      </c>
      <c r="T16" s="109">
        <f t="shared" ref="T16:U16" si="23">SUM(T11:T13)</f>
        <v>10111719.25</v>
      </c>
      <c r="U16" s="109">
        <f t="shared" si="23"/>
        <v>0</v>
      </c>
      <c r="V16" s="18">
        <f t="shared" ref="V16:V21" si="24">IF(T16&gt;0,U16/T16*100,"-")</f>
        <v>0</v>
      </c>
      <c r="W16" s="109">
        <f t="shared" ref="W16:X16" si="25">SUM(W11:W13)</f>
        <v>2986846.9</v>
      </c>
      <c r="X16" s="109">
        <f t="shared" si="25"/>
        <v>0</v>
      </c>
      <c r="Y16" s="18">
        <f t="shared" si="7"/>
        <v>0</v>
      </c>
      <c r="Z16" s="103">
        <f t="shared" si="8"/>
        <v>-70.461532543044058</v>
      </c>
      <c r="AA16" s="103" t="str">
        <f t="shared" si="8"/>
        <v>-</v>
      </c>
    </row>
    <row r="17" spans="1:27" x14ac:dyDescent="0.3">
      <c r="A17" t="s">
        <v>34</v>
      </c>
      <c r="B17" s="26">
        <v>8361066.4100000001</v>
      </c>
      <c r="C17" s="26">
        <v>2000000</v>
      </c>
      <c r="D17" s="18">
        <f t="shared" si="0"/>
        <v>23.920393666625593</v>
      </c>
      <c r="E17" s="26">
        <v>2080490.27</v>
      </c>
      <c r="F17" s="26">
        <v>426112.8</v>
      </c>
      <c r="G17" s="18">
        <f t="shared" si="1"/>
        <v>20.481364712174308</v>
      </c>
      <c r="H17" s="26">
        <v>2631220.5299999998</v>
      </c>
      <c r="I17" s="26">
        <v>131220.53</v>
      </c>
      <c r="J17" s="18">
        <f t="shared" si="9"/>
        <v>4.9870593705043795</v>
      </c>
      <c r="K17" s="109">
        <v>1382912.59</v>
      </c>
      <c r="L17" s="109">
        <v>280602.02</v>
      </c>
      <c r="M17" s="18">
        <f t="shared" si="18"/>
        <v>20.290654812825153</v>
      </c>
      <c r="N17" s="109">
        <v>2542313.33</v>
      </c>
      <c r="O17" s="109">
        <v>628485.94999999995</v>
      </c>
      <c r="P17" s="18">
        <f t="shared" si="20"/>
        <v>24.721026420453057</v>
      </c>
      <c r="Q17" s="109">
        <v>13883082.17</v>
      </c>
      <c r="R17" s="109">
        <v>6834382.1699999999</v>
      </c>
      <c r="S17" s="18">
        <f t="shared" si="22"/>
        <v>49.228133106987151</v>
      </c>
      <c r="T17" s="1">
        <v>10548088.199999999</v>
      </c>
      <c r="U17" s="1">
        <v>10541011.41</v>
      </c>
      <c r="V17" s="18">
        <f t="shared" si="24"/>
        <v>99.932909264069309</v>
      </c>
      <c r="W17" s="1">
        <v>3106309.26</v>
      </c>
      <c r="X17" s="1">
        <v>3106309.26</v>
      </c>
      <c r="Y17" s="18">
        <f t="shared" si="7"/>
        <v>100</v>
      </c>
      <c r="Z17" s="103">
        <f t="shared" si="8"/>
        <v>-70.550973777409254</v>
      </c>
      <c r="AA17" s="103">
        <f t="shared" si="8"/>
        <v>-70.531202944594867</v>
      </c>
    </row>
    <row r="18" spans="1:27" x14ac:dyDescent="0.3">
      <c r="A18" t="s">
        <v>35</v>
      </c>
      <c r="B18" s="26">
        <v>0</v>
      </c>
      <c r="C18" s="26">
        <v>0</v>
      </c>
      <c r="D18" s="18" t="str">
        <f t="shared" si="0"/>
        <v>-</v>
      </c>
      <c r="E18" s="26">
        <v>0</v>
      </c>
      <c r="F18" s="26">
        <v>0</v>
      </c>
      <c r="G18" s="18" t="str">
        <f t="shared" si="1"/>
        <v>-</v>
      </c>
      <c r="H18" s="26">
        <v>0</v>
      </c>
      <c r="I18" s="26">
        <v>0</v>
      </c>
      <c r="J18" s="18" t="str">
        <f t="shared" si="9"/>
        <v>-</v>
      </c>
      <c r="K18" s="109">
        <v>0</v>
      </c>
      <c r="L18" s="109">
        <v>0</v>
      </c>
      <c r="M18" s="18" t="str">
        <f t="shared" si="18"/>
        <v>-</v>
      </c>
      <c r="N18" s="109">
        <v>0</v>
      </c>
      <c r="O18" s="109">
        <v>0</v>
      </c>
      <c r="P18" s="18" t="str">
        <f t="shared" si="20"/>
        <v>-</v>
      </c>
      <c r="Q18" s="109">
        <v>0</v>
      </c>
      <c r="R18" s="109">
        <v>0</v>
      </c>
      <c r="S18" s="18" t="str">
        <f t="shared" si="22"/>
        <v>-</v>
      </c>
      <c r="T18" s="109">
        <v>0</v>
      </c>
      <c r="U18" s="109">
        <v>0</v>
      </c>
      <c r="V18" s="18" t="str">
        <f t="shared" si="24"/>
        <v>-</v>
      </c>
      <c r="W18" s="109">
        <v>0</v>
      </c>
      <c r="X18" s="109">
        <v>0</v>
      </c>
      <c r="Y18" s="18" t="str">
        <f t="shared" si="7"/>
        <v>-</v>
      </c>
      <c r="Z18" s="103" t="str">
        <f t="shared" si="8"/>
        <v>-</v>
      </c>
      <c r="AA18" s="103" t="str">
        <f t="shared" si="8"/>
        <v>-</v>
      </c>
    </row>
    <row r="19" spans="1:27" x14ac:dyDescent="0.3">
      <c r="A19" t="s">
        <v>36</v>
      </c>
      <c r="B19" s="26">
        <v>34796374.210000001</v>
      </c>
      <c r="C19" s="26">
        <v>33144065.199999999</v>
      </c>
      <c r="D19" s="18">
        <f t="shared" si="0"/>
        <v>95.251490859282825</v>
      </c>
      <c r="E19" s="26">
        <v>39206737.979999997</v>
      </c>
      <c r="F19" s="26">
        <v>36374662.859999999</v>
      </c>
      <c r="G19" s="18">
        <f t="shared" si="1"/>
        <v>92.776560188596449</v>
      </c>
      <c r="H19" s="26">
        <v>32784997.309999999</v>
      </c>
      <c r="I19" s="26">
        <v>28165203.66</v>
      </c>
      <c r="J19" s="18">
        <f t="shared" si="9"/>
        <v>85.908817968422156</v>
      </c>
      <c r="K19" s="109">
        <v>29497506.280000001</v>
      </c>
      <c r="L19" s="109">
        <v>25858780.129999999</v>
      </c>
      <c r="M19" s="18">
        <f t="shared" si="18"/>
        <v>87.664292311831318</v>
      </c>
      <c r="N19" s="109">
        <v>32713625.77</v>
      </c>
      <c r="O19" s="109">
        <v>30471209.420000002</v>
      </c>
      <c r="P19" s="18">
        <f t="shared" si="20"/>
        <v>93.145313925867541</v>
      </c>
      <c r="Q19" s="109">
        <v>30901736.949999999</v>
      </c>
      <c r="R19" s="109">
        <v>29351236.73</v>
      </c>
      <c r="S19" s="18">
        <f t="shared" si="22"/>
        <v>94.982481979868126</v>
      </c>
      <c r="T19" s="1">
        <v>30793355.93</v>
      </c>
      <c r="U19" s="1">
        <v>28953480.440000001</v>
      </c>
      <c r="V19" s="18">
        <f t="shared" si="24"/>
        <v>94.025089392067443</v>
      </c>
      <c r="W19" s="1">
        <v>26553233.25</v>
      </c>
      <c r="X19" s="1">
        <v>24446240.699999999</v>
      </c>
      <c r="Y19" s="18">
        <f t="shared" si="7"/>
        <v>92.065024510715659</v>
      </c>
      <c r="Z19" s="103">
        <f t="shared" si="8"/>
        <v>-13.769602409164889</v>
      </c>
      <c r="AA19" s="103">
        <f t="shared" si="8"/>
        <v>-15.567177663978285</v>
      </c>
    </row>
    <row r="20" spans="1:27" x14ac:dyDescent="0.3">
      <c r="A20" t="s">
        <v>37</v>
      </c>
      <c r="B20" s="26">
        <f>B14+B15+B16+B17+B18+B19</f>
        <v>271919138.19999999</v>
      </c>
      <c r="C20" s="26">
        <f>C14+C15+C16+C17+C18+C19</f>
        <v>200643540.28</v>
      </c>
      <c r="D20" s="18">
        <f t="shared" si="0"/>
        <v>73.787943580647905</v>
      </c>
      <c r="E20" s="26">
        <f>E14+E15+E16+E17+E18+E19</f>
        <v>261048039.90000001</v>
      </c>
      <c r="F20" s="26">
        <f>F14+F15+F16+F17+F18+F19</f>
        <v>191271496.58999997</v>
      </c>
      <c r="G20" s="18">
        <f t="shared" si="1"/>
        <v>73.270612054114864</v>
      </c>
      <c r="H20" s="26">
        <f>H14+H15+H16+H17+H18+H19</f>
        <v>286882465.44</v>
      </c>
      <c r="I20" s="26">
        <f>I14+I15+I16+I17+I18+I19</f>
        <v>223249631.07999998</v>
      </c>
      <c r="J20" s="18">
        <f t="shared" si="9"/>
        <v>77.819197049075655</v>
      </c>
      <c r="K20" s="109">
        <v>249593405.76000005</v>
      </c>
      <c r="L20" s="109">
        <v>187778750.07000002</v>
      </c>
      <c r="M20" s="18">
        <f t="shared" si="18"/>
        <v>75.233858642307737</v>
      </c>
      <c r="N20" s="109">
        <f t="shared" ref="N20:O20" si="26">N14+N15+N16+N17+N18+N19</f>
        <v>269609345.78000003</v>
      </c>
      <c r="O20" s="109">
        <f t="shared" si="26"/>
        <v>208652658.36000001</v>
      </c>
      <c r="P20" s="18">
        <f t="shared" si="20"/>
        <v>77.390736495558883</v>
      </c>
      <c r="Q20" s="109">
        <f t="shared" ref="Q20:R20" si="27">Q14+Q15+Q16+Q17+Q18+Q19</f>
        <v>269611549.07999998</v>
      </c>
      <c r="R20" s="109">
        <f t="shared" si="27"/>
        <v>197431122.50999999</v>
      </c>
      <c r="S20" s="18">
        <f t="shared" si="22"/>
        <v>73.227991598912411</v>
      </c>
      <c r="T20" s="109">
        <f t="shared" ref="T20:U20" si="28">T14+T15+T16+T17+T18+T19</f>
        <v>305784142.81</v>
      </c>
      <c r="U20" s="109">
        <f t="shared" si="28"/>
        <v>227228127.67999998</v>
      </c>
      <c r="V20" s="18">
        <f t="shared" si="24"/>
        <v>74.309977486696866</v>
      </c>
      <c r="W20" s="109">
        <f t="shared" ref="W20:X20" si="29">W14+W15+W16+W17+W18+W19</f>
        <v>287768094.16999996</v>
      </c>
      <c r="X20" s="109">
        <f t="shared" si="29"/>
        <v>183080204.53999999</v>
      </c>
      <c r="Y20" s="18">
        <f t="shared" si="7"/>
        <v>63.620744706966981</v>
      </c>
      <c r="Z20" s="103">
        <f t="shared" si="8"/>
        <v>-5.8917537300795857</v>
      </c>
      <c r="AA20" s="103">
        <f t="shared" si="8"/>
        <v>-19.428898873898419</v>
      </c>
    </row>
    <row r="21" spans="1:27" x14ac:dyDescent="0.3">
      <c r="A21" t="s">
        <v>38</v>
      </c>
      <c r="B21" s="26">
        <f>B20-B19</f>
        <v>237122763.98999998</v>
      </c>
      <c r="C21" s="26">
        <f>C20-C19</f>
        <v>167499475.08000001</v>
      </c>
      <c r="D21" s="18">
        <f t="shared" si="0"/>
        <v>70.638293962811531</v>
      </c>
      <c r="E21" s="26">
        <f>E20-E19</f>
        <v>221841301.92000002</v>
      </c>
      <c r="F21" s="26">
        <f>F20-F19</f>
        <v>154896833.72999996</v>
      </c>
      <c r="G21" s="18">
        <f t="shared" si="1"/>
        <v>69.823262119989977</v>
      </c>
      <c r="H21" s="26">
        <f>H20-H19</f>
        <v>254097468.13</v>
      </c>
      <c r="I21" s="26">
        <f>I20-I19</f>
        <v>195084427.41999999</v>
      </c>
      <c r="J21" s="18">
        <f t="shared" si="9"/>
        <v>76.775431434126659</v>
      </c>
      <c r="K21" s="109">
        <v>220095899.48000005</v>
      </c>
      <c r="L21" s="109">
        <v>161919969.94000003</v>
      </c>
      <c r="M21" s="18">
        <f t="shared" si="18"/>
        <v>73.567917586176364</v>
      </c>
      <c r="N21" s="109">
        <f t="shared" ref="N21:O21" si="30">N20-N19</f>
        <v>236895720.01000002</v>
      </c>
      <c r="O21" s="109">
        <f t="shared" si="30"/>
        <v>178181448.94</v>
      </c>
      <c r="P21" s="18">
        <f t="shared" si="20"/>
        <v>75.215140624946059</v>
      </c>
      <c r="Q21" s="109">
        <f t="shared" ref="Q21:R21" si="31">Q20-Q19</f>
        <v>238709812.13</v>
      </c>
      <c r="R21" s="109">
        <f t="shared" si="31"/>
        <v>168079885.78</v>
      </c>
      <c r="S21" s="18">
        <f t="shared" si="22"/>
        <v>70.411804307593627</v>
      </c>
      <c r="T21" s="109">
        <f t="shared" ref="T21:U21" si="32">T20-T19</f>
        <v>274990786.88</v>
      </c>
      <c r="U21" s="109">
        <f t="shared" si="32"/>
        <v>198274647.23999998</v>
      </c>
      <c r="V21" s="18">
        <f t="shared" si="24"/>
        <v>72.102287312819229</v>
      </c>
      <c r="W21" s="109">
        <f t="shared" ref="W21:X21" si="33">W20-W19</f>
        <v>261214860.91999996</v>
      </c>
      <c r="X21" s="109">
        <f t="shared" si="33"/>
        <v>158633963.84</v>
      </c>
      <c r="Y21" s="18">
        <f t="shared" si="7"/>
        <v>60.729302797432908</v>
      </c>
      <c r="Z21" s="103">
        <f t="shared" si="8"/>
        <v>-5.0095954545602837</v>
      </c>
      <c r="AA21" s="103">
        <f t="shared" si="8"/>
        <v>-19.992814992638586</v>
      </c>
    </row>
    <row r="22" spans="1:27" x14ac:dyDescent="0.3">
      <c r="B22" s="12" t="s">
        <v>75</v>
      </c>
      <c r="C22" s="12" t="s">
        <v>76</v>
      </c>
      <c r="D22" s="16"/>
      <c r="E22" s="12" t="s">
        <v>75</v>
      </c>
      <c r="F22" s="12" t="s">
        <v>76</v>
      </c>
      <c r="G22" s="16"/>
      <c r="H22" s="12" t="s">
        <v>75</v>
      </c>
      <c r="I22" s="12" t="s">
        <v>76</v>
      </c>
      <c r="J22" s="16"/>
      <c r="K22" s="111" t="s">
        <v>75</v>
      </c>
      <c r="L22" s="111" t="s">
        <v>76</v>
      </c>
      <c r="M22" s="16"/>
      <c r="N22" s="111" t="s">
        <v>75</v>
      </c>
      <c r="O22" s="111" t="s">
        <v>76</v>
      </c>
      <c r="P22" s="16"/>
      <c r="Q22" s="111" t="s">
        <v>75</v>
      </c>
      <c r="R22" s="111" t="s">
        <v>76</v>
      </c>
      <c r="S22" s="16"/>
      <c r="T22" s="111" t="s">
        <v>75</v>
      </c>
      <c r="U22" s="111" t="s">
        <v>76</v>
      </c>
      <c r="V22" s="16"/>
      <c r="W22" s="111" t="s">
        <v>75</v>
      </c>
      <c r="X22" s="111" t="s">
        <v>76</v>
      </c>
      <c r="Y22" s="16"/>
    </row>
    <row r="23" spans="1:27" x14ac:dyDescent="0.3">
      <c r="A23" s="5" t="s">
        <v>39</v>
      </c>
      <c r="B23" s="25">
        <v>35969142.020000003</v>
      </c>
      <c r="C23" s="25">
        <v>35678657.369999997</v>
      </c>
      <c r="D23" s="18">
        <f>IF(B23&gt;0,C23/B23*100,"-")</f>
        <v>99.192405952195116</v>
      </c>
      <c r="E23" s="25">
        <v>35022736.079999998</v>
      </c>
      <c r="F23" s="25">
        <v>33735289.859999999</v>
      </c>
      <c r="G23" s="18">
        <f>IF(E23&gt;0,F23/E23*100,"-")</f>
        <v>96.323970185940993</v>
      </c>
      <c r="H23" s="25">
        <v>36373560.479999997</v>
      </c>
      <c r="I23" s="25">
        <v>35985243.219999999</v>
      </c>
      <c r="J23" s="18">
        <f>IF(H23&gt;0,I23/H23*100,"-")</f>
        <v>98.932418891976454</v>
      </c>
      <c r="K23" s="108">
        <v>36081758.380000003</v>
      </c>
      <c r="L23" s="108">
        <v>35859026.25</v>
      </c>
      <c r="M23" s="18">
        <f>IF(K23&gt;0,L23/K23*100,"-")</f>
        <v>99.382701564446307</v>
      </c>
      <c r="N23" s="108">
        <v>35222195.509999998</v>
      </c>
      <c r="O23" s="108">
        <v>35085308.530000001</v>
      </c>
      <c r="P23" s="18">
        <f>IF(N23&gt;0,O23/N23*100,"-")</f>
        <v>99.611361591695399</v>
      </c>
      <c r="Q23" s="1">
        <v>35708513.439999998</v>
      </c>
      <c r="R23" s="1">
        <v>35432920.909999996</v>
      </c>
      <c r="S23" s="18">
        <f>IF(Q23&gt;0,R23/Q23*100,"-")</f>
        <v>99.228216177458421</v>
      </c>
      <c r="T23" s="1">
        <v>38262350.93</v>
      </c>
      <c r="U23" s="1">
        <v>36002514.490000002</v>
      </c>
      <c r="V23" s="18">
        <f>IF(T23&gt;0,U23/T23*100,"-")</f>
        <v>94.093837976306489</v>
      </c>
      <c r="W23" s="1">
        <v>37389922.590000004</v>
      </c>
      <c r="X23" s="1">
        <v>36964375.189999998</v>
      </c>
      <c r="Y23" s="18">
        <f>IF(W23&gt;0,X23/W23*100,"-")</f>
        <v>98.861866057690577</v>
      </c>
      <c r="Z23" s="103">
        <f t="shared" si="8"/>
        <v>-2.2801221534873264</v>
      </c>
      <c r="AA23" s="103">
        <f t="shared" si="8"/>
        <v>2.6716486712814458</v>
      </c>
    </row>
    <row r="24" spans="1:27" x14ac:dyDescent="0.3">
      <c r="A24" s="5" t="s">
        <v>40</v>
      </c>
      <c r="B24" s="25">
        <v>2550288.23</v>
      </c>
      <c r="C24" s="25">
        <v>2510592.38</v>
      </c>
      <c r="D24" s="18">
        <f t="shared" ref="D24:D55" si="34">IF(B24&gt;0,C24/B24*100,"-")</f>
        <v>98.443475936051357</v>
      </c>
      <c r="E24" s="25">
        <v>2284568.13</v>
      </c>
      <c r="F24" s="25">
        <v>2270867.04</v>
      </c>
      <c r="G24" s="18">
        <f t="shared" ref="G24:G55" si="35">IF(E24&gt;0,F24/E24*100,"-")</f>
        <v>99.400276585316817</v>
      </c>
      <c r="H24" s="25">
        <v>2611161.71</v>
      </c>
      <c r="I24" s="25">
        <v>2601411.0299999998</v>
      </c>
      <c r="J24" s="18">
        <f t="shared" ref="J24:J55" si="36">IF(H24&gt;0,I24/H24*100,"-")</f>
        <v>99.626576938430972</v>
      </c>
      <c r="K24" s="108">
        <v>2413275.35</v>
      </c>
      <c r="L24" s="108">
        <v>2373447.8199999998</v>
      </c>
      <c r="M24" s="18">
        <f t="shared" ref="M24:M55" si="37">IF(K24&gt;0,L24/K24*100,"-")</f>
        <v>98.349648331675027</v>
      </c>
      <c r="N24" s="108">
        <v>2317863.66</v>
      </c>
      <c r="O24" s="108">
        <v>2309964.83</v>
      </c>
      <c r="P24" s="18">
        <f t="shared" ref="P24:P55" si="38">IF(N24&gt;0,O24/N24*100,"-")</f>
        <v>99.659219386527681</v>
      </c>
      <c r="Q24" s="1">
        <v>2327923.54</v>
      </c>
      <c r="R24" s="1">
        <v>2318010.87</v>
      </c>
      <c r="S24" s="18">
        <f t="shared" ref="S24:S55" si="39">IF(Q24&gt;0,R24/Q24*100,"-")</f>
        <v>99.574184038707742</v>
      </c>
      <c r="T24" s="1">
        <v>2528876.73</v>
      </c>
      <c r="U24" s="1">
        <v>2360718.34</v>
      </c>
      <c r="V24" s="18">
        <f t="shared" ref="V24:V55" si="40">IF(T24&gt;0,U24/T24*100,"-")</f>
        <v>93.350471060722668</v>
      </c>
      <c r="W24" s="1">
        <v>2405757.3199999998</v>
      </c>
      <c r="X24" s="1">
        <v>2378637.2400000002</v>
      </c>
      <c r="Y24" s="18">
        <f t="shared" ref="Y24:Y55" si="41">IF(W24&gt;0,X24/W24*100,"-")</f>
        <v>98.872700925627882</v>
      </c>
      <c r="Z24" s="103">
        <f t="shared" si="8"/>
        <v>-4.8685413780528535</v>
      </c>
      <c r="AA24" s="103">
        <f t="shared" si="8"/>
        <v>0.75904438476979408</v>
      </c>
    </row>
    <row r="25" spans="1:27" x14ac:dyDescent="0.3">
      <c r="A25" s="5" t="s">
        <v>41</v>
      </c>
      <c r="B25" s="25">
        <v>109085276.39</v>
      </c>
      <c r="C25" s="25">
        <v>87943774.709999993</v>
      </c>
      <c r="D25" s="18">
        <f t="shared" si="34"/>
        <v>80.619289440661788</v>
      </c>
      <c r="E25" s="25">
        <v>105913942.20999999</v>
      </c>
      <c r="F25" s="25">
        <v>81130103.629999995</v>
      </c>
      <c r="G25" s="18">
        <f t="shared" si="35"/>
        <v>76.600022562789661</v>
      </c>
      <c r="H25" s="25">
        <v>95682880.120000005</v>
      </c>
      <c r="I25" s="25">
        <v>75803059.310000002</v>
      </c>
      <c r="J25" s="18">
        <f t="shared" si="36"/>
        <v>79.223220721337114</v>
      </c>
      <c r="K25" s="108">
        <v>90531004.390000001</v>
      </c>
      <c r="L25" s="108">
        <v>73461511.530000001</v>
      </c>
      <c r="M25" s="18">
        <f t="shared" si="37"/>
        <v>81.145141407615398</v>
      </c>
      <c r="N25" s="108">
        <v>85842399.439999998</v>
      </c>
      <c r="O25" s="108">
        <v>67583321.129999995</v>
      </c>
      <c r="P25" s="18">
        <f t="shared" si="38"/>
        <v>78.729534089081142</v>
      </c>
      <c r="Q25" s="1">
        <v>101658766.5</v>
      </c>
      <c r="R25" s="1">
        <v>84030806.230000004</v>
      </c>
      <c r="S25" s="18">
        <f t="shared" si="39"/>
        <v>82.659675228304096</v>
      </c>
      <c r="T25" s="1">
        <v>95218712.299999997</v>
      </c>
      <c r="U25" s="1">
        <v>77120476.5</v>
      </c>
      <c r="V25" s="18">
        <f t="shared" si="40"/>
        <v>80.992984085965219</v>
      </c>
      <c r="W25" s="1">
        <v>100460688.06999999</v>
      </c>
      <c r="X25" s="1">
        <v>82263265.629999995</v>
      </c>
      <c r="Y25" s="18">
        <f t="shared" si="41"/>
        <v>81.88602647503248</v>
      </c>
      <c r="Z25" s="103">
        <f t="shared" si="8"/>
        <v>5.5051949804618232</v>
      </c>
      <c r="AA25" s="103">
        <f t="shared" si="8"/>
        <v>6.6685131671871716</v>
      </c>
    </row>
    <row r="26" spans="1:27" x14ac:dyDescent="0.3">
      <c r="A26" s="5" t="s">
        <v>42</v>
      </c>
      <c r="B26" s="25">
        <v>20747092.920000002</v>
      </c>
      <c r="C26" s="25">
        <v>15438058.33</v>
      </c>
      <c r="D26" s="18">
        <f t="shared" si="34"/>
        <v>74.410706066283907</v>
      </c>
      <c r="E26" s="25">
        <v>19801533.109999999</v>
      </c>
      <c r="F26" s="25">
        <v>11753093.51</v>
      </c>
      <c r="G26" s="18">
        <f t="shared" si="35"/>
        <v>59.35446232728593</v>
      </c>
      <c r="H26" s="25">
        <v>23242436.640000001</v>
      </c>
      <c r="I26" s="25">
        <v>17721925.32</v>
      </c>
      <c r="J26" s="18">
        <f t="shared" si="36"/>
        <v>76.248138671918525</v>
      </c>
      <c r="K26" s="108">
        <v>24607197.699999999</v>
      </c>
      <c r="L26" s="108">
        <v>19520702.870000001</v>
      </c>
      <c r="M26" s="18">
        <f t="shared" si="37"/>
        <v>79.329239793932345</v>
      </c>
      <c r="N26" s="108">
        <v>29842153.449999999</v>
      </c>
      <c r="O26" s="108">
        <v>23034484.329999998</v>
      </c>
      <c r="P26" s="18">
        <f t="shared" si="38"/>
        <v>77.187741724449836</v>
      </c>
      <c r="Q26" s="1">
        <v>34324350.740000002</v>
      </c>
      <c r="R26" s="1">
        <v>27163543.850000001</v>
      </c>
      <c r="S26" s="18">
        <f t="shared" si="39"/>
        <v>79.137822753759679</v>
      </c>
      <c r="T26" s="1">
        <v>31652047.199999999</v>
      </c>
      <c r="U26" s="1">
        <v>25753509.949999999</v>
      </c>
      <c r="V26" s="18">
        <f t="shared" si="40"/>
        <v>81.364436831750965</v>
      </c>
      <c r="W26" s="1">
        <v>35352226.25</v>
      </c>
      <c r="X26" s="1">
        <v>29906974.27</v>
      </c>
      <c r="Y26" s="18">
        <f t="shared" si="41"/>
        <v>84.597145476800065</v>
      </c>
      <c r="Z26" s="103">
        <f t="shared" si="8"/>
        <v>11.690172918736195</v>
      </c>
      <c r="AA26" s="103">
        <f t="shared" si="8"/>
        <v>16.127760169638549</v>
      </c>
    </row>
    <row r="27" spans="1:27" x14ac:dyDescent="0.3">
      <c r="A27" s="5" t="s">
        <v>43</v>
      </c>
      <c r="B27" s="25">
        <v>1861828.9</v>
      </c>
      <c r="C27" s="25">
        <v>1855536.46</v>
      </c>
      <c r="D27" s="18">
        <f t="shared" si="34"/>
        <v>99.662029094080566</v>
      </c>
      <c r="E27" s="25">
        <v>3438533.91</v>
      </c>
      <c r="F27" s="25">
        <v>3438478.66</v>
      </c>
      <c r="G27" s="18">
        <f t="shared" si="35"/>
        <v>99.998393210552933</v>
      </c>
      <c r="H27" s="25">
        <v>3077263.66</v>
      </c>
      <c r="I27" s="25">
        <v>3077262.66</v>
      </c>
      <c r="J27" s="18">
        <f t="shared" si="36"/>
        <v>99.999967503597006</v>
      </c>
      <c r="K27" s="108">
        <v>2584562.75</v>
      </c>
      <c r="L27" s="108">
        <v>2582472.2999999998</v>
      </c>
      <c r="M27" s="18">
        <f t="shared" si="37"/>
        <v>99.919117846916265</v>
      </c>
      <c r="N27" s="108">
        <v>2244406.34</v>
      </c>
      <c r="O27" s="108">
        <v>2244406.34</v>
      </c>
      <c r="P27" s="18">
        <f t="shared" si="38"/>
        <v>100</v>
      </c>
      <c r="Q27" s="1">
        <v>2122009.4500000002</v>
      </c>
      <c r="R27" s="1">
        <v>2118977.67</v>
      </c>
      <c r="S27" s="18">
        <f t="shared" si="39"/>
        <v>99.857126932210392</v>
      </c>
      <c r="T27" s="1">
        <v>1921551.82</v>
      </c>
      <c r="U27" s="1">
        <v>1890205.66</v>
      </c>
      <c r="V27" s="18">
        <f t="shared" si="40"/>
        <v>98.368705976401912</v>
      </c>
      <c r="W27" s="1">
        <v>1770071.75</v>
      </c>
      <c r="X27" s="1">
        <v>1770071.75</v>
      </c>
      <c r="Y27" s="18">
        <f t="shared" si="41"/>
        <v>100</v>
      </c>
      <c r="Z27" s="103">
        <f t="shared" si="8"/>
        <v>-7.8832154523940972</v>
      </c>
      <c r="AA27" s="103">
        <f t="shared" si="8"/>
        <v>-6.355599950959828</v>
      </c>
    </row>
    <row r="28" spans="1:27" x14ac:dyDescent="0.3">
      <c r="A28" s="5" t="s">
        <v>44</v>
      </c>
      <c r="B28" s="25">
        <v>0</v>
      </c>
      <c r="C28" s="25">
        <v>0</v>
      </c>
      <c r="D28" s="18" t="str">
        <f t="shared" si="34"/>
        <v>-</v>
      </c>
      <c r="E28" s="25">
        <v>311643.48</v>
      </c>
      <c r="F28" s="25">
        <v>311643.48</v>
      </c>
      <c r="G28" s="18">
        <f t="shared" si="35"/>
        <v>100</v>
      </c>
      <c r="H28" s="25">
        <v>350363.65</v>
      </c>
      <c r="I28" s="25">
        <v>350363.65</v>
      </c>
      <c r="J28" s="18">
        <f t="shared" si="36"/>
        <v>100</v>
      </c>
      <c r="K28" s="108">
        <v>0</v>
      </c>
      <c r="L28" s="108">
        <v>0</v>
      </c>
      <c r="M28" s="18" t="str">
        <f t="shared" si="37"/>
        <v>-</v>
      </c>
      <c r="N28" s="108">
        <v>0</v>
      </c>
      <c r="O28" s="108">
        <v>0</v>
      </c>
      <c r="P28" s="18" t="str">
        <f t="shared" si="38"/>
        <v>-</v>
      </c>
      <c r="Q28" s="1">
        <v>0</v>
      </c>
      <c r="R28" s="1">
        <v>0</v>
      </c>
      <c r="S28" s="18" t="str">
        <f t="shared" si="39"/>
        <v>-</v>
      </c>
      <c r="T28" s="109">
        <v>0</v>
      </c>
      <c r="U28" s="109">
        <v>0</v>
      </c>
      <c r="V28" s="18" t="str">
        <f t="shared" si="40"/>
        <v>-</v>
      </c>
      <c r="W28" s="1">
        <v>0</v>
      </c>
      <c r="X28" s="1">
        <v>0</v>
      </c>
      <c r="Y28" s="18" t="str">
        <f t="shared" si="41"/>
        <v>-</v>
      </c>
      <c r="Z28" s="103" t="str">
        <f t="shared" si="8"/>
        <v>-</v>
      </c>
      <c r="AA28" s="103" t="str">
        <f t="shared" si="8"/>
        <v>-</v>
      </c>
    </row>
    <row r="29" spans="1:27" x14ac:dyDescent="0.3">
      <c r="A29" s="5" t="s">
        <v>45</v>
      </c>
      <c r="B29" s="25">
        <v>555545.91</v>
      </c>
      <c r="C29" s="25">
        <v>347587.05</v>
      </c>
      <c r="D29" s="18">
        <f t="shared" si="34"/>
        <v>62.566755284005239</v>
      </c>
      <c r="E29" s="25">
        <v>1139913.6000000001</v>
      </c>
      <c r="F29" s="25">
        <v>719473.95</v>
      </c>
      <c r="G29" s="18">
        <f t="shared" si="35"/>
        <v>63.116533568859943</v>
      </c>
      <c r="H29" s="25">
        <v>759005.84</v>
      </c>
      <c r="I29" s="25">
        <v>378202.93</v>
      </c>
      <c r="J29" s="18">
        <f t="shared" si="36"/>
        <v>49.828724638008055</v>
      </c>
      <c r="K29" s="108">
        <v>572517.56000000006</v>
      </c>
      <c r="L29" s="108">
        <v>301353.61</v>
      </c>
      <c r="M29" s="18">
        <f t="shared" si="37"/>
        <v>52.636570658199545</v>
      </c>
      <c r="N29" s="108">
        <v>656615.80000000005</v>
      </c>
      <c r="O29" s="108">
        <v>285559.40999999997</v>
      </c>
      <c r="P29" s="18">
        <f t="shared" si="38"/>
        <v>43.489573354768488</v>
      </c>
      <c r="Q29" s="1">
        <v>894135.07</v>
      </c>
      <c r="R29" s="1">
        <v>314318.19</v>
      </c>
      <c r="S29" s="18">
        <f t="shared" si="39"/>
        <v>35.153323087975963</v>
      </c>
      <c r="T29" s="1">
        <v>1630385.44</v>
      </c>
      <c r="U29" s="1">
        <v>1264894.43</v>
      </c>
      <c r="V29" s="18">
        <f t="shared" si="40"/>
        <v>77.58253962326846</v>
      </c>
      <c r="W29" s="1">
        <v>1226123.49</v>
      </c>
      <c r="X29" s="1">
        <v>947842.31</v>
      </c>
      <c r="Y29" s="18">
        <f t="shared" si="41"/>
        <v>77.303984283018679</v>
      </c>
      <c r="Z29" s="103">
        <f t="shared" si="8"/>
        <v>-24.795483330616591</v>
      </c>
      <c r="AA29" s="103">
        <f t="shared" si="8"/>
        <v>-25.065500525605117</v>
      </c>
    </row>
    <row r="30" spans="1:27" x14ac:dyDescent="0.3">
      <c r="A30" s="5" t="s">
        <v>46</v>
      </c>
      <c r="B30" s="25">
        <v>4094800.63</v>
      </c>
      <c r="C30" s="25">
        <v>3628490.59</v>
      </c>
      <c r="D30" s="18">
        <f t="shared" si="34"/>
        <v>88.612143004383583</v>
      </c>
      <c r="E30" s="25">
        <v>19710561.52</v>
      </c>
      <c r="F30" s="25">
        <v>19455769.949999999</v>
      </c>
      <c r="G30" s="18">
        <f t="shared" si="35"/>
        <v>98.707334797430974</v>
      </c>
      <c r="H30" s="25">
        <v>2778392.88</v>
      </c>
      <c r="I30" s="25">
        <v>2518583.11</v>
      </c>
      <c r="J30" s="18">
        <f t="shared" si="36"/>
        <v>90.648918953463493</v>
      </c>
      <c r="K30" s="108">
        <v>2509483.38</v>
      </c>
      <c r="L30" s="108">
        <v>2259662.65</v>
      </c>
      <c r="M30" s="18">
        <f t="shared" si="37"/>
        <v>90.044933870014304</v>
      </c>
      <c r="N30" s="108">
        <v>2217274.5299999998</v>
      </c>
      <c r="O30" s="108">
        <v>2146247.87</v>
      </c>
      <c r="P30" s="18">
        <f t="shared" si="38"/>
        <v>96.796668205086917</v>
      </c>
      <c r="Q30" s="1">
        <v>2499550.34</v>
      </c>
      <c r="R30" s="1">
        <v>2357836.1800000002</v>
      </c>
      <c r="S30" s="18">
        <f t="shared" si="39"/>
        <v>94.330413845555924</v>
      </c>
      <c r="T30" s="1">
        <v>3191268.35</v>
      </c>
      <c r="U30" s="1">
        <v>2802848.95</v>
      </c>
      <c r="V30" s="18">
        <f t="shared" si="40"/>
        <v>87.828682598879539</v>
      </c>
      <c r="W30" s="1">
        <v>2746833.32</v>
      </c>
      <c r="X30" s="1">
        <v>2575360.2400000002</v>
      </c>
      <c r="Y30" s="18">
        <f t="shared" si="41"/>
        <v>93.757426824864652</v>
      </c>
      <c r="Z30" s="103">
        <f t="shared" si="8"/>
        <v>-13.926595361370985</v>
      </c>
      <c r="AA30" s="103">
        <f t="shared" si="8"/>
        <v>-8.116338556168003</v>
      </c>
    </row>
    <row r="31" spans="1:27" x14ac:dyDescent="0.3">
      <c r="A31" s="5" t="s">
        <v>47</v>
      </c>
      <c r="B31" s="26">
        <v>0</v>
      </c>
      <c r="C31" s="26">
        <v>0</v>
      </c>
      <c r="D31" s="18" t="str">
        <f t="shared" si="34"/>
        <v>-</v>
      </c>
      <c r="E31" s="26">
        <v>0</v>
      </c>
      <c r="F31" s="26">
        <v>0</v>
      </c>
      <c r="G31" s="18" t="str">
        <f t="shared" si="35"/>
        <v>-</v>
      </c>
      <c r="H31" s="26">
        <v>0</v>
      </c>
      <c r="I31" s="26">
        <v>0</v>
      </c>
      <c r="J31" s="18" t="str">
        <f t="shared" si="36"/>
        <v>-</v>
      </c>
      <c r="K31" s="109">
        <v>0</v>
      </c>
      <c r="L31" s="109">
        <v>0</v>
      </c>
      <c r="M31" s="18" t="str">
        <f t="shared" si="37"/>
        <v>-</v>
      </c>
      <c r="N31" s="109">
        <v>0</v>
      </c>
      <c r="O31" s="109">
        <v>0</v>
      </c>
      <c r="P31" s="18" t="str">
        <f t="shared" si="38"/>
        <v>-</v>
      </c>
      <c r="Q31" s="109">
        <v>0</v>
      </c>
      <c r="R31" s="109">
        <v>0</v>
      </c>
      <c r="S31" s="18" t="str">
        <f t="shared" si="39"/>
        <v>-</v>
      </c>
      <c r="T31" s="109">
        <v>0</v>
      </c>
      <c r="U31" s="109">
        <v>0</v>
      </c>
      <c r="V31" s="18" t="str">
        <f t="shared" si="40"/>
        <v>-</v>
      </c>
      <c r="W31" s="1">
        <v>0</v>
      </c>
      <c r="X31" s="1">
        <v>0</v>
      </c>
      <c r="Y31" s="18" t="str">
        <f t="shared" si="41"/>
        <v>-</v>
      </c>
      <c r="Z31" s="103" t="str">
        <f t="shared" si="8"/>
        <v>-</v>
      </c>
      <c r="AA31" s="103" t="str">
        <f t="shared" si="8"/>
        <v>-</v>
      </c>
    </row>
    <row r="32" spans="1:27" x14ac:dyDescent="0.3">
      <c r="A32" s="5" t="s">
        <v>48</v>
      </c>
      <c r="B32" s="25">
        <v>20858705</v>
      </c>
      <c r="C32" s="25">
        <v>12715701.279999999</v>
      </c>
      <c r="D32" s="18">
        <f t="shared" si="34"/>
        <v>60.961125247228907</v>
      </c>
      <c r="E32" s="25">
        <v>16158460.98</v>
      </c>
      <c r="F32" s="25">
        <v>13284328.939999999</v>
      </c>
      <c r="G32" s="18">
        <f t="shared" si="35"/>
        <v>82.212835470176074</v>
      </c>
      <c r="H32" s="25">
        <v>24811443.75</v>
      </c>
      <c r="I32" s="25">
        <v>18442139.969999999</v>
      </c>
      <c r="J32" s="18">
        <f t="shared" si="36"/>
        <v>74.329169055307389</v>
      </c>
      <c r="K32" s="108">
        <v>21158850.890000001</v>
      </c>
      <c r="L32" s="108">
        <v>16379512.34</v>
      </c>
      <c r="M32" s="18">
        <f t="shared" si="37"/>
        <v>77.412107231878124</v>
      </c>
      <c r="N32" s="108">
        <v>27692985.530000001</v>
      </c>
      <c r="O32" s="108">
        <v>21714949.260000002</v>
      </c>
      <c r="P32" s="18">
        <f t="shared" si="38"/>
        <v>78.413175193682335</v>
      </c>
      <c r="Q32" s="1">
        <v>21038889.09</v>
      </c>
      <c r="R32" s="1">
        <v>14728266.970000001</v>
      </c>
      <c r="S32" s="18">
        <f t="shared" si="39"/>
        <v>70.004965124325395</v>
      </c>
      <c r="T32" s="1">
        <v>20441857.809999999</v>
      </c>
      <c r="U32" s="1">
        <v>14089380.07</v>
      </c>
      <c r="V32" s="18">
        <f t="shared" si="40"/>
        <v>68.924166291322038</v>
      </c>
      <c r="W32" s="1">
        <v>28277512.620000001</v>
      </c>
      <c r="X32" s="1">
        <v>22833023.280000001</v>
      </c>
      <c r="Y32" s="18">
        <f t="shared" si="41"/>
        <v>80.746222579176774</v>
      </c>
      <c r="Z32" s="103">
        <f t="shared" si="8"/>
        <v>38.331422137995986</v>
      </c>
      <c r="AA32" s="103">
        <f t="shared" si="8"/>
        <v>62.058395518888176</v>
      </c>
    </row>
    <row r="33" spans="1:27" x14ac:dyDescent="0.3">
      <c r="A33" s="5" t="s">
        <v>49</v>
      </c>
      <c r="B33" s="25">
        <v>1107414.8600000001</v>
      </c>
      <c r="C33" s="25">
        <v>559592.93999999994</v>
      </c>
      <c r="D33" s="18">
        <f t="shared" si="34"/>
        <v>50.531463881566474</v>
      </c>
      <c r="E33" s="25">
        <v>104352.64</v>
      </c>
      <c r="F33" s="25">
        <v>40976.21</v>
      </c>
      <c r="G33" s="18">
        <f t="shared" si="35"/>
        <v>39.267056396464909</v>
      </c>
      <c r="H33" s="25">
        <v>587737.9</v>
      </c>
      <c r="I33" s="25">
        <v>306763.71999999997</v>
      </c>
      <c r="J33" s="18">
        <f t="shared" si="36"/>
        <v>52.193966051874476</v>
      </c>
      <c r="K33" s="108">
        <v>447501.03</v>
      </c>
      <c r="L33" s="108">
        <v>271411.5</v>
      </c>
      <c r="M33" s="18">
        <f t="shared" si="37"/>
        <v>60.650474927398491</v>
      </c>
      <c r="N33" s="108">
        <v>46266.3</v>
      </c>
      <c r="O33" s="108">
        <v>24574.86</v>
      </c>
      <c r="P33" s="18">
        <f t="shared" si="38"/>
        <v>53.116112591670394</v>
      </c>
      <c r="Q33" s="1">
        <v>259800.2</v>
      </c>
      <c r="R33" s="1">
        <v>140775.19</v>
      </c>
      <c r="S33" s="18">
        <f t="shared" si="39"/>
        <v>54.185943659781636</v>
      </c>
      <c r="T33" s="1">
        <v>214972.03</v>
      </c>
      <c r="U33" s="1">
        <v>38603.06</v>
      </c>
      <c r="V33" s="18">
        <f t="shared" si="40"/>
        <v>17.957247740554898</v>
      </c>
      <c r="W33" s="1">
        <v>10148207.25</v>
      </c>
      <c r="X33" s="1">
        <v>10016439.560000001</v>
      </c>
      <c r="Y33" s="18">
        <f t="shared" si="41"/>
        <v>98.701566821075716</v>
      </c>
      <c r="Z33" s="103">
        <f t="shared" si="8"/>
        <v>4620.7105268531914</v>
      </c>
      <c r="AA33" s="103">
        <f t="shared" si="8"/>
        <v>25847.268325360739</v>
      </c>
    </row>
    <row r="34" spans="1:27" x14ac:dyDescent="0.3">
      <c r="A34" s="5" t="s">
        <v>50</v>
      </c>
      <c r="B34" s="25">
        <v>0</v>
      </c>
      <c r="C34" s="25">
        <v>0</v>
      </c>
      <c r="D34" s="18" t="str">
        <f t="shared" si="34"/>
        <v>-</v>
      </c>
      <c r="E34" s="25">
        <v>0</v>
      </c>
      <c r="F34" s="25">
        <v>0</v>
      </c>
      <c r="G34" s="18" t="str">
        <f t="shared" si="35"/>
        <v>-</v>
      </c>
      <c r="H34" s="25">
        <v>0</v>
      </c>
      <c r="I34" s="25">
        <v>0</v>
      </c>
      <c r="J34" s="18" t="str">
        <f t="shared" si="36"/>
        <v>-</v>
      </c>
      <c r="K34" s="108">
        <v>0</v>
      </c>
      <c r="L34" s="108">
        <v>0</v>
      </c>
      <c r="M34" s="18" t="str">
        <f t="shared" si="37"/>
        <v>-</v>
      </c>
      <c r="N34" s="108">
        <v>0</v>
      </c>
      <c r="O34" s="108">
        <v>0</v>
      </c>
      <c r="P34" s="18" t="str">
        <f t="shared" si="38"/>
        <v>-</v>
      </c>
      <c r="Q34" s="108">
        <v>0</v>
      </c>
      <c r="R34" s="108">
        <v>0</v>
      </c>
      <c r="S34" s="18" t="str">
        <f t="shared" si="39"/>
        <v>-</v>
      </c>
      <c r="T34" s="108">
        <v>0</v>
      </c>
      <c r="U34" s="108">
        <v>0</v>
      </c>
      <c r="V34" s="18" t="str">
        <f t="shared" si="40"/>
        <v>-</v>
      </c>
      <c r="W34" s="1">
        <v>0</v>
      </c>
      <c r="X34" s="1">
        <v>0</v>
      </c>
      <c r="Y34" s="18" t="str">
        <f t="shared" si="41"/>
        <v>-</v>
      </c>
      <c r="Z34" s="103" t="str">
        <f t="shared" si="8"/>
        <v>-</v>
      </c>
      <c r="AA34" s="103" t="str">
        <f t="shared" si="8"/>
        <v>-</v>
      </c>
    </row>
    <row r="35" spans="1:27" x14ac:dyDescent="0.3">
      <c r="A35" s="5" t="s">
        <v>51</v>
      </c>
      <c r="B35" s="25">
        <v>2936.16</v>
      </c>
      <c r="C35" s="25">
        <v>1890.69</v>
      </c>
      <c r="D35" s="18">
        <f t="shared" si="34"/>
        <v>64.393289194049373</v>
      </c>
      <c r="E35" s="25">
        <v>304355.40000000002</v>
      </c>
      <c r="F35" s="25">
        <v>268580.96000000002</v>
      </c>
      <c r="G35" s="18">
        <f t="shared" si="35"/>
        <v>88.24583365368251</v>
      </c>
      <c r="H35" s="25">
        <v>497046.83</v>
      </c>
      <c r="I35" s="25">
        <v>481061.25</v>
      </c>
      <c r="J35" s="18">
        <f t="shared" si="36"/>
        <v>96.783888552312064</v>
      </c>
      <c r="K35" s="108">
        <v>218750.55</v>
      </c>
      <c r="L35" s="108">
        <v>146726.48000000001</v>
      </c>
      <c r="M35" s="18">
        <f t="shared" si="37"/>
        <v>67.074793640518863</v>
      </c>
      <c r="N35" s="108">
        <v>196231.32</v>
      </c>
      <c r="O35" s="108">
        <v>180521.59</v>
      </c>
      <c r="P35" s="18">
        <f t="shared" si="38"/>
        <v>91.994280016054518</v>
      </c>
      <c r="Q35" s="1">
        <v>262683.06</v>
      </c>
      <c r="R35" s="1">
        <v>260325.9</v>
      </c>
      <c r="S35" s="18">
        <f t="shared" si="39"/>
        <v>99.102660064946704</v>
      </c>
      <c r="T35" s="1">
        <v>210568.99</v>
      </c>
      <c r="U35" s="1">
        <v>210568.99</v>
      </c>
      <c r="V35" s="18">
        <f t="shared" si="40"/>
        <v>100</v>
      </c>
      <c r="W35" s="1">
        <v>54293.120000000003</v>
      </c>
      <c r="X35" s="1">
        <v>45119.61</v>
      </c>
      <c r="Y35" s="18">
        <f t="shared" si="41"/>
        <v>83.103733953767986</v>
      </c>
      <c r="Z35" s="103">
        <f t="shared" si="8"/>
        <v>-74.215994482378434</v>
      </c>
      <c r="AA35" s="103">
        <f t="shared" si="8"/>
        <v>-78.572528652010917</v>
      </c>
    </row>
    <row r="36" spans="1:27" x14ac:dyDescent="0.3">
      <c r="A36" s="5" t="s">
        <v>52</v>
      </c>
      <c r="B36" s="25">
        <v>0</v>
      </c>
      <c r="C36" s="25">
        <v>0</v>
      </c>
      <c r="D36" s="18" t="str">
        <f t="shared" si="34"/>
        <v>-</v>
      </c>
      <c r="E36" s="25">
        <v>0</v>
      </c>
      <c r="F36" s="25">
        <v>0</v>
      </c>
      <c r="G36" s="18" t="str">
        <f t="shared" si="35"/>
        <v>-</v>
      </c>
      <c r="H36" s="25">
        <v>0</v>
      </c>
      <c r="I36" s="25">
        <v>0</v>
      </c>
      <c r="J36" s="18" t="str">
        <f t="shared" si="36"/>
        <v>-</v>
      </c>
      <c r="K36" s="108">
        <v>0</v>
      </c>
      <c r="L36" s="108">
        <v>0</v>
      </c>
      <c r="M36" s="18" t="str">
        <f t="shared" si="37"/>
        <v>-</v>
      </c>
      <c r="N36" s="108">
        <v>2111400</v>
      </c>
      <c r="O36" s="108">
        <v>2111400</v>
      </c>
      <c r="P36" s="18">
        <f t="shared" si="38"/>
        <v>100</v>
      </c>
      <c r="Q36" s="108">
        <v>0</v>
      </c>
      <c r="R36" s="108">
        <v>0</v>
      </c>
      <c r="S36" s="18" t="str">
        <f t="shared" si="39"/>
        <v>-</v>
      </c>
      <c r="T36" s="108">
        <v>0</v>
      </c>
      <c r="U36" s="108">
        <v>0</v>
      </c>
      <c r="V36" s="18" t="str">
        <f t="shared" si="40"/>
        <v>-</v>
      </c>
      <c r="W36" s="108">
        <v>0</v>
      </c>
      <c r="X36" s="108">
        <v>0</v>
      </c>
      <c r="Y36" s="18" t="str">
        <f t="shared" si="41"/>
        <v>-</v>
      </c>
      <c r="Z36" s="103" t="str">
        <f t="shared" si="8"/>
        <v>-</v>
      </c>
      <c r="AA36" s="103" t="str">
        <f t="shared" si="8"/>
        <v>-</v>
      </c>
    </row>
    <row r="37" spans="1:27" x14ac:dyDescent="0.3">
      <c r="A37" s="5" t="s">
        <v>263</v>
      </c>
      <c r="B37" s="25">
        <v>0</v>
      </c>
      <c r="C37" s="25">
        <v>0</v>
      </c>
      <c r="D37" s="18" t="str">
        <f t="shared" si="34"/>
        <v>-</v>
      </c>
      <c r="E37" s="25">
        <v>0</v>
      </c>
      <c r="F37" s="25">
        <v>0</v>
      </c>
      <c r="G37" s="18" t="str">
        <f t="shared" si="35"/>
        <v>-</v>
      </c>
      <c r="H37" s="25">
        <v>0</v>
      </c>
      <c r="I37" s="25">
        <v>0</v>
      </c>
      <c r="J37" s="18" t="str">
        <f t="shared" si="36"/>
        <v>-</v>
      </c>
      <c r="K37" s="108">
        <v>0</v>
      </c>
      <c r="L37" s="108">
        <v>0</v>
      </c>
      <c r="M37" s="18" t="str">
        <f t="shared" si="37"/>
        <v>-</v>
      </c>
      <c r="N37" s="108">
        <v>0</v>
      </c>
      <c r="O37" s="108">
        <v>0</v>
      </c>
      <c r="P37" s="18" t="str">
        <f t="shared" si="38"/>
        <v>-</v>
      </c>
      <c r="Q37" s="108">
        <v>0</v>
      </c>
      <c r="R37" s="108">
        <v>0</v>
      </c>
      <c r="S37" s="18" t="str">
        <f t="shared" si="39"/>
        <v>-</v>
      </c>
      <c r="T37" s="108">
        <v>0</v>
      </c>
      <c r="U37" s="108">
        <v>0</v>
      </c>
      <c r="V37" s="18" t="str">
        <f t="shared" si="40"/>
        <v>-</v>
      </c>
      <c r="W37" s="108">
        <v>0</v>
      </c>
      <c r="X37" s="108">
        <v>0</v>
      </c>
      <c r="Y37" s="18" t="str">
        <f t="shared" si="41"/>
        <v>-</v>
      </c>
      <c r="Z37" s="103" t="str">
        <f t="shared" si="8"/>
        <v>-</v>
      </c>
      <c r="AA37" s="103" t="str">
        <f t="shared" si="8"/>
        <v>-</v>
      </c>
    </row>
    <row r="38" spans="1:27" x14ac:dyDescent="0.3">
      <c r="A38" s="5" t="s">
        <v>53</v>
      </c>
      <c r="B38" s="25">
        <v>920156.2</v>
      </c>
      <c r="C38" s="25">
        <v>920156.2</v>
      </c>
      <c r="D38" s="18">
        <f t="shared" si="34"/>
        <v>100</v>
      </c>
      <c r="E38" s="25">
        <v>0</v>
      </c>
      <c r="F38" s="25">
        <v>0</v>
      </c>
      <c r="G38" s="18" t="str">
        <f t="shared" si="35"/>
        <v>-</v>
      </c>
      <c r="H38" s="25">
        <v>0</v>
      </c>
      <c r="I38" s="25">
        <v>0</v>
      </c>
      <c r="J38" s="18" t="str">
        <f t="shared" si="36"/>
        <v>-</v>
      </c>
      <c r="K38" s="108">
        <v>0</v>
      </c>
      <c r="L38" s="108">
        <v>0</v>
      </c>
      <c r="M38" s="18" t="str">
        <f t="shared" si="37"/>
        <v>-</v>
      </c>
      <c r="N38" s="108">
        <v>0</v>
      </c>
      <c r="O38" s="108">
        <v>0</v>
      </c>
      <c r="P38" s="18" t="str">
        <f t="shared" si="38"/>
        <v>-</v>
      </c>
      <c r="Q38" s="108">
        <v>0</v>
      </c>
      <c r="R38" s="108">
        <v>0</v>
      </c>
      <c r="S38" s="18" t="str">
        <f t="shared" si="39"/>
        <v>-</v>
      </c>
      <c r="T38" s="108">
        <v>0</v>
      </c>
      <c r="U38" s="108">
        <v>0</v>
      </c>
      <c r="V38" s="18" t="str">
        <f t="shared" si="40"/>
        <v>-</v>
      </c>
      <c r="W38" s="108">
        <v>0</v>
      </c>
      <c r="X38" s="108">
        <v>0</v>
      </c>
      <c r="Y38" s="18" t="str">
        <f t="shared" si="41"/>
        <v>-</v>
      </c>
      <c r="Z38" s="103" t="str">
        <f t="shared" si="8"/>
        <v>-</v>
      </c>
      <c r="AA38" s="103" t="str">
        <f t="shared" si="8"/>
        <v>-</v>
      </c>
    </row>
    <row r="39" spans="1:27" x14ac:dyDescent="0.3">
      <c r="A39" s="5" t="s">
        <v>54</v>
      </c>
      <c r="B39" s="25">
        <v>3000000</v>
      </c>
      <c r="C39" s="25">
        <v>3000000</v>
      </c>
      <c r="D39" s="18">
        <f t="shared" si="34"/>
        <v>100</v>
      </c>
      <c r="E39" s="25">
        <v>0</v>
      </c>
      <c r="F39" s="25">
        <v>0</v>
      </c>
      <c r="G39" s="18" t="str">
        <f t="shared" si="35"/>
        <v>-</v>
      </c>
      <c r="H39" s="25">
        <v>0</v>
      </c>
      <c r="I39" s="25">
        <v>0</v>
      </c>
      <c r="J39" s="18" t="str">
        <f t="shared" si="36"/>
        <v>-</v>
      </c>
      <c r="K39" s="108">
        <v>0</v>
      </c>
      <c r="L39" s="108">
        <v>0</v>
      </c>
      <c r="M39" s="18" t="str">
        <f t="shared" si="37"/>
        <v>-</v>
      </c>
      <c r="N39" s="108">
        <v>0</v>
      </c>
      <c r="O39" s="108">
        <v>0</v>
      </c>
      <c r="P39" s="18" t="str">
        <f t="shared" si="38"/>
        <v>-</v>
      </c>
      <c r="Q39" s="108">
        <v>0</v>
      </c>
      <c r="R39" s="108">
        <v>0</v>
      </c>
      <c r="S39" s="18" t="str">
        <f t="shared" si="39"/>
        <v>-</v>
      </c>
      <c r="T39" s="108">
        <v>10111719.199999999</v>
      </c>
      <c r="U39" s="108">
        <v>10111719.199999999</v>
      </c>
      <c r="V39" s="18">
        <f t="shared" si="40"/>
        <v>100</v>
      </c>
      <c r="W39" s="1">
        <v>2986846.9</v>
      </c>
      <c r="X39" s="1">
        <v>2986846.9</v>
      </c>
      <c r="Y39" s="18">
        <f t="shared" si="41"/>
        <v>100</v>
      </c>
      <c r="Z39" s="103">
        <f t="shared" si="8"/>
        <v>-70.461532396983486</v>
      </c>
      <c r="AA39" s="103">
        <f t="shared" si="8"/>
        <v>-70.461532396983486</v>
      </c>
    </row>
    <row r="40" spans="1:27" x14ac:dyDescent="0.3">
      <c r="A40" s="5" t="s">
        <v>55</v>
      </c>
      <c r="B40" s="25">
        <v>5713771.75</v>
      </c>
      <c r="C40" s="25">
        <v>5713771.75</v>
      </c>
      <c r="D40" s="18">
        <f t="shared" si="34"/>
        <v>100</v>
      </c>
      <c r="E40" s="25">
        <v>5830878.9199999999</v>
      </c>
      <c r="F40" s="25">
        <v>5830878.9199999999</v>
      </c>
      <c r="G40" s="18">
        <f t="shared" si="35"/>
        <v>100</v>
      </c>
      <c r="H40" s="25">
        <v>5954771.6600000001</v>
      </c>
      <c r="I40" s="25">
        <v>0</v>
      </c>
      <c r="J40" s="18">
        <f t="shared" si="36"/>
        <v>0</v>
      </c>
      <c r="K40" s="108">
        <v>5482521.2800000003</v>
      </c>
      <c r="L40" s="108">
        <v>5482521.2800000003</v>
      </c>
      <c r="M40" s="18">
        <f t="shared" si="37"/>
        <v>100</v>
      </c>
      <c r="N40" s="108">
        <v>4754495.0999999996</v>
      </c>
      <c r="O40" s="108">
        <v>4754495.0999999996</v>
      </c>
      <c r="P40" s="18">
        <f t="shared" si="38"/>
        <v>100</v>
      </c>
      <c r="Q40" s="108">
        <v>4559564.0999999996</v>
      </c>
      <c r="R40" s="108">
        <v>4559564.0999999996</v>
      </c>
      <c r="S40" s="18">
        <f t="shared" si="39"/>
        <v>100</v>
      </c>
      <c r="T40" s="108">
        <v>4049319.78</v>
      </c>
      <c r="U40" s="108">
        <v>0</v>
      </c>
      <c r="V40" s="18">
        <f t="shared" si="40"/>
        <v>0</v>
      </c>
      <c r="W40" s="1">
        <v>3837713.18</v>
      </c>
      <c r="X40" s="1">
        <v>3837713.18</v>
      </c>
      <c r="Y40" s="18">
        <f t="shared" si="41"/>
        <v>100</v>
      </c>
      <c r="Z40" s="103">
        <f t="shared" si="8"/>
        <v>-5.2257320117108605</v>
      </c>
      <c r="AA40" s="103" t="str">
        <f t="shared" si="8"/>
        <v>-</v>
      </c>
    </row>
    <row r="41" spans="1:27" x14ac:dyDescent="0.3">
      <c r="A41" s="5" t="s">
        <v>56</v>
      </c>
      <c r="B41" s="25">
        <v>0</v>
      </c>
      <c r="C41" s="25">
        <v>0</v>
      </c>
      <c r="D41" s="18" t="str">
        <f t="shared" si="34"/>
        <v>-</v>
      </c>
      <c r="E41" s="25">
        <v>0</v>
      </c>
      <c r="F41" s="25">
        <v>0</v>
      </c>
      <c r="G41" s="18" t="str">
        <f t="shared" si="35"/>
        <v>-</v>
      </c>
      <c r="H41" s="25">
        <v>0</v>
      </c>
      <c r="I41" s="25">
        <v>0</v>
      </c>
      <c r="J41" s="18" t="str">
        <f t="shared" si="36"/>
        <v>-</v>
      </c>
      <c r="K41" s="108">
        <v>0</v>
      </c>
      <c r="L41" s="108">
        <v>0</v>
      </c>
      <c r="M41" s="18" t="str">
        <f t="shared" si="37"/>
        <v>-</v>
      </c>
      <c r="N41" s="108">
        <v>0</v>
      </c>
      <c r="O41" s="108">
        <v>0</v>
      </c>
      <c r="P41" s="18" t="str">
        <f t="shared" si="38"/>
        <v>-</v>
      </c>
      <c r="Q41" s="108">
        <v>0</v>
      </c>
      <c r="R41" s="108">
        <v>0</v>
      </c>
      <c r="S41" s="18" t="str">
        <f t="shared" si="39"/>
        <v>-</v>
      </c>
      <c r="T41" s="108">
        <v>0</v>
      </c>
      <c r="U41" s="108">
        <v>0</v>
      </c>
      <c r="V41" s="18" t="str">
        <f t="shared" si="40"/>
        <v>-</v>
      </c>
      <c r="W41" s="1">
        <v>0</v>
      </c>
      <c r="X41" s="1">
        <v>0</v>
      </c>
      <c r="Y41" s="18" t="str">
        <f t="shared" si="41"/>
        <v>-</v>
      </c>
      <c r="Z41" s="103" t="str">
        <f t="shared" si="8"/>
        <v>-</v>
      </c>
      <c r="AA41" s="103" t="str">
        <f t="shared" si="8"/>
        <v>-</v>
      </c>
    </row>
    <row r="42" spans="1:27" x14ac:dyDescent="0.3">
      <c r="A42" s="5" t="s">
        <v>57</v>
      </c>
      <c r="B42" s="25">
        <v>5762437.9500000002</v>
      </c>
      <c r="C42" s="25">
        <v>5762437.9500000002</v>
      </c>
      <c r="D42" s="18">
        <f t="shared" si="34"/>
        <v>100</v>
      </c>
      <c r="E42" s="25">
        <v>6791573.0899999999</v>
      </c>
      <c r="F42" s="25">
        <v>6791573.0899999999</v>
      </c>
      <c r="G42" s="18">
        <f t="shared" si="35"/>
        <v>100</v>
      </c>
      <c r="H42" s="25">
        <v>29163499.27</v>
      </c>
      <c r="I42" s="25">
        <v>0</v>
      </c>
      <c r="J42" s="18">
        <f t="shared" si="36"/>
        <v>0</v>
      </c>
      <c r="K42" s="108">
        <v>3382342.95</v>
      </c>
      <c r="L42" s="108">
        <v>3382342.95</v>
      </c>
      <c r="M42" s="18">
        <f t="shared" si="37"/>
        <v>100</v>
      </c>
      <c r="N42" s="108">
        <v>1618800.41</v>
      </c>
      <c r="O42" s="108">
        <v>1618800.41</v>
      </c>
      <c r="P42" s="18">
        <f t="shared" si="38"/>
        <v>100</v>
      </c>
      <c r="Q42" s="108">
        <v>2696968.6</v>
      </c>
      <c r="R42" s="108">
        <v>2696968.6</v>
      </c>
      <c r="S42" s="18">
        <f t="shared" si="39"/>
        <v>100</v>
      </c>
      <c r="T42" s="108">
        <v>2995938.14</v>
      </c>
      <c r="U42" s="108">
        <v>0</v>
      </c>
      <c r="V42" s="18">
        <f t="shared" si="40"/>
        <v>0</v>
      </c>
      <c r="W42" s="1">
        <v>2446104.69</v>
      </c>
      <c r="X42" s="1">
        <v>2446104.69</v>
      </c>
      <c r="Y42" s="18">
        <f t="shared" si="41"/>
        <v>100</v>
      </c>
      <c r="Z42" s="103">
        <f t="shared" si="8"/>
        <v>-18.352630271598329</v>
      </c>
      <c r="AA42" s="103" t="str">
        <f t="shared" si="8"/>
        <v>-</v>
      </c>
    </row>
    <row r="43" spans="1:27" x14ac:dyDescent="0.3">
      <c r="A43" s="5" t="s">
        <v>58</v>
      </c>
      <c r="B43" s="25">
        <v>0</v>
      </c>
      <c r="C43" s="25">
        <v>0</v>
      </c>
      <c r="D43" s="18" t="str">
        <f t="shared" si="34"/>
        <v>-</v>
      </c>
      <c r="E43" s="25">
        <v>0</v>
      </c>
      <c r="F43" s="25">
        <v>0</v>
      </c>
      <c r="G43" s="18" t="str">
        <f t="shared" si="35"/>
        <v>-</v>
      </c>
      <c r="H43" s="25">
        <v>0</v>
      </c>
      <c r="I43" s="25">
        <v>0</v>
      </c>
      <c r="J43" s="18" t="str">
        <f t="shared" si="36"/>
        <v>-</v>
      </c>
      <c r="K43" s="108">
        <v>0</v>
      </c>
      <c r="L43" s="108">
        <v>0</v>
      </c>
      <c r="M43" s="18" t="str">
        <f t="shared" si="37"/>
        <v>-</v>
      </c>
      <c r="N43" s="108">
        <v>0</v>
      </c>
      <c r="O43" s="108">
        <v>0</v>
      </c>
      <c r="P43" s="18" t="str">
        <f t="shared" si="38"/>
        <v>-</v>
      </c>
      <c r="Q43" s="108">
        <v>0</v>
      </c>
      <c r="R43" s="108">
        <v>0</v>
      </c>
      <c r="S43" s="18" t="str">
        <f t="shared" si="39"/>
        <v>-</v>
      </c>
      <c r="T43" s="108">
        <v>0</v>
      </c>
      <c r="U43" s="108">
        <v>0</v>
      </c>
      <c r="V43" s="18" t="str">
        <f t="shared" si="40"/>
        <v>-</v>
      </c>
      <c r="W43" s="108">
        <v>0</v>
      </c>
      <c r="X43" s="108">
        <v>0</v>
      </c>
      <c r="Y43" s="18" t="str">
        <f t="shared" si="41"/>
        <v>-</v>
      </c>
      <c r="Z43" s="103" t="str">
        <f t="shared" si="8"/>
        <v>-</v>
      </c>
      <c r="AA43" s="103" t="str">
        <f t="shared" si="8"/>
        <v>-</v>
      </c>
    </row>
    <row r="44" spans="1:27" x14ac:dyDescent="0.3">
      <c r="A44" s="5" t="s">
        <v>59</v>
      </c>
      <c r="B44" s="25">
        <v>0</v>
      </c>
      <c r="C44" s="25">
        <v>0</v>
      </c>
      <c r="D44" s="18" t="str">
        <f t="shared" si="34"/>
        <v>-</v>
      </c>
      <c r="E44" s="25">
        <v>0</v>
      </c>
      <c r="F44" s="25">
        <v>0</v>
      </c>
      <c r="G44" s="18" t="str">
        <f t="shared" si="35"/>
        <v>-</v>
      </c>
      <c r="H44" s="25">
        <v>0</v>
      </c>
      <c r="I44" s="25">
        <v>0</v>
      </c>
      <c r="J44" s="18" t="str">
        <f t="shared" si="36"/>
        <v>-</v>
      </c>
      <c r="K44" s="108">
        <v>0</v>
      </c>
      <c r="L44" s="108">
        <v>0</v>
      </c>
      <c r="M44" s="18" t="str">
        <f t="shared" si="37"/>
        <v>-</v>
      </c>
      <c r="N44" s="108">
        <v>0</v>
      </c>
      <c r="O44" s="108">
        <v>0</v>
      </c>
      <c r="P44" s="18" t="str">
        <f t="shared" si="38"/>
        <v>-</v>
      </c>
      <c r="Q44" s="108">
        <v>0</v>
      </c>
      <c r="R44" s="108">
        <v>0</v>
      </c>
      <c r="S44" s="18" t="str">
        <f t="shared" si="39"/>
        <v>-</v>
      </c>
      <c r="T44" s="108">
        <v>0</v>
      </c>
      <c r="U44" s="108">
        <v>0</v>
      </c>
      <c r="V44" s="18" t="str">
        <f t="shared" si="40"/>
        <v>-</v>
      </c>
      <c r="W44" s="108">
        <v>0</v>
      </c>
      <c r="X44" s="108">
        <v>0</v>
      </c>
      <c r="Y44" s="18" t="str">
        <f t="shared" si="41"/>
        <v>-</v>
      </c>
      <c r="Z44" s="103" t="str">
        <f t="shared" si="8"/>
        <v>-</v>
      </c>
      <c r="AA44" s="103" t="str">
        <f t="shared" si="8"/>
        <v>-</v>
      </c>
    </row>
    <row r="45" spans="1:27" x14ac:dyDescent="0.3">
      <c r="A45" s="5" t="s">
        <v>60</v>
      </c>
      <c r="B45" s="25">
        <v>0</v>
      </c>
      <c r="C45" s="25">
        <v>0</v>
      </c>
      <c r="D45" s="18" t="str">
        <f t="shared" si="34"/>
        <v>-</v>
      </c>
      <c r="E45" s="25">
        <v>0</v>
      </c>
      <c r="F45" s="25">
        <v>0</v>
      </c>
      <c r="G45" s="18" t="str">
        <f t="shared" si="35"/>
        <v>-</v>
      </c>
      <c r="H45" s="25">
        <v>0</v>
      </c>
      <c r="I45" s="25">
        <v>0</v>
      </c>
      <c r="J45" s="18" t="str">
        <f t="shared" si="36"/>
        <v>-</v>
      </c>
      <c r="K45" s="108">
        <v>0</v>
      </c>
      <c r="L45" s="108">
        <v>0</v>
      </c>
      <c r="M45" s="18" t="str">
        <f t="shared" si="37"/>
        <v>-</v>
      </c>
      <c r="N45" s="108">
        <v>0</v>
      </c>
      <c r="O45" s="108">
        <v>0</v>
      </c>
      <c r="P45" s="18" t="str">
        <f t="shared" si="38"/>
        <v>-</v>
      </c>
      <c r="Q45" s="108">
        <v>0</v>
      </c>
      <c r="R45" s="108">
        <v>0</v>
      </c>
      <c r="S45" s="18" t="str">
        <f t="shared" si="39"/>
        <v>-</v>
      </c>
      <c r="T45" s="108">
        <v>0</v>
      </c>
      <c r="U45" s="108">
        <v>0</v>
      </c>
      <c r="V45" s="18" t="str">
        <f t="shared" si="40"/>
        <v>-</v>
      </c>
      <c r="W45" s="108">
        <v>0</v>
      </c>
      <c r="X45" s="108">
        <v>0</v>
      </c>
      <c r="Y45" s="18" t="str">
        <f t="shared" si="41"/>
        <v>-</v>
      </c>
      <c r="Z45" s="103" t="str">
        <f t="shared" si="8"/>
        <v>-</v>
      </c>
      <c r="AA45" s="103" t="str">
        <f t="shared" si="8"/>
        <v>-</v>
      </c>
    </row>
    <row r="46" spans="1:27" x14ac:dyDescent="0.3">
      <c r="A46" s="5" t="s">
        <v>61</v>
      </c>
      <c r="B46" s="25">
        <v>27569121.260000002</v>
      </c>
      <c r="C46" s="25">
        <v>0</v>
      </c>
      <c r="D46" s="18">
        <f t="shared" si="34"/>
        <v>0</v>
      </c>
      <c r="E46" s="25">
        <v>27775247.350000001</v>
      </c>
      <c r="F46" s="25">
        <v>0</v>
      </c>
      <c r="G46" s="18">
        <f t="shared" si="35"/>
        <v>0</v>
      </c>
      <c r="H46" s="25">
        <v>22233258.390000001</v>
      </c>
      <c r="I46" s="25">
        <v>0</v>
      </c>
      <c r="J46" s="18">
        <f t="shared" si="36"/>
        <v>0</v>
      </c>
      <c r="K46" s="108">
        <v>21106010.289999999</v>
      </c>
      <c r="L46" s="108">
        <v>0</v>
      </c>
      <c r="M46" s="18">
        <f t="shared" si="37"/>
        <v>0</v>
      </c>
      <c r="N46" s="108">
        <v>22519484.149999999</v>
      </c>
      <c r="O46" s="108">
        <v>0</v>
      </c>
      <c r="P46" s="18">
        <f t="shared" si="38"/>
        <v>0</v>
      </c>
      <c r="Q46" s="108">
        <v>22321386.530000001</v>
      </c>
      <c r="R46" s="108">
        <v>0</v>
      </c>
      <c r="S46" s="18">
        <f t="shared" si="39"/>
        <v>0</v>
      </c>
      <c r="T46" s="1">
        <v>27364131.670000002</v>
      </c>
      <c r="U46" s="108">
        <v>0</v>
      </c>
      <c r="V46" s="18">
        <f t="shared" si="40"/>
        <v>0</v>
      </c>
      <c r="W46" s="1">
        <v>22878272.82</v>
      </c>
      <c r="X46" s="108">
        <v>0</v>
      </c>
      <c r="Y46" s="18">
        <f t="shared" si="41"/>
        <v>0</v>
      </c>
      <c r="Z46" s="103">
        <f t="shared" si="8"/>
        <v>-16.393207371231739</v>
      </c>
      <c r="AA46" s="103" t="str">
        <f t="shared" si="8"/>
        <v>-</v>
      </c>
    </row>
    <row r="47" spans="1:27" x14ac:dyDescent="0.3">
      <c r="A47" s="5" t="s">
        <v>62</v>
      </c>
      <c r="B47" s="25">
        <v>7227252.9500000002</v>
      </c>
      <c r="C47" s="25">
        <v>0</v>
      </c>
      <c r="D47" s="18">
        <f t="shared" si="34"/>
        <v>0</v>
      </c>
      <c r="E47" s="25">
        <v>11431490.630000001</v>
      </c>
      <c r="F47" s="25">
        <v>0</v>
      </c>
      <c r="G47" s="18">
        <f t="shared" si="35"/>
        <v>0</v>
      </c>
      <c r="H47" s="25">
        <v>10551738.92</v>
      </c>
      <c r="I47" s="25">
        <v>0</v>
      </c>
      <c r="J47" s="18">
        <f t="shared" si="36"/>
        <v>0</v>
      </c>
      <c r="K47" s="108">
        <v>8391495.9900000002</v>
      </c>
      <c r="L47" s="108">
        <v>0</v>
      </c>
      <c r="M47" s="18">
        <f t="shared" si="37"/>
        <v>0</v>
      </c>
      <c r="N47" s="108">
        <v>10194141.619999999</v>
      </c>
      <c r="O47" s="108">
        <v>0</v>
      </c>
      <c r="P47" s="18">
        <f t="shared" si="38"/>
        <v>0</v>
      </c>
      <c r="Q47" s="108">
        <v>8580350.4199999999</v>
      </c>
      <c r="R47" s="108">
        <v>0</v>
      </c>
      <c r="S47" s="18">
        <f t="shared" si="39"/>
        <v>0</v>
      </c>
      <c r="T47" s="1">
        <v>3429224.26</v>
      </c>
      <c r="U47" s="108">
        <v>0</v>
      </c>
      <c r="V47" s="18">
        <f t="shared" si="40"/>
        <v>0</v>
      </c>
      <c r="W47" s="1">
        <v>3674960.43</v>
      </c>
      <c r="X47" s="108">
        <v>0</v>
      </c>
      <c r="Y47" s="18">
        <f t="shared" si="41"/>
        <v>0</v>
      </c>
      <c r="Z47" s="103">
        <f t="shared" si="8"/>
        <v>7.1659404975748231</v>
      </c>
      <c r="AA47" s="103" t="str">
        <f t="shared" si="8"/>
        <v>-</v>
      </c>
    </row>
    <row r="48" spans="1:27" x14ac:dyDescent="0.3">
      <c r="A48" s="5" t="s">
        <v>63</v>
      </c>
      <c r="B48" s="25">
        <f>SUM(B23:B30)</f>
        <v>174863975</v>
      </c>
      <c r="C48" s="25">
        <f>SUM(C23:C30)</f>
        <v>147402696.89000002</v>
      </c>
      <c r="D48" s="18">
        <f t="shared" si="34"/>
        <v>84.295634300890171</v>
      </c>
      <c r="E48" s="25">
        <f>SUM(E23:E30)</f>
        <v>187623432.03999996</v>
      </c>
      <c r="F48" s="25">
        <f>SUM(F23:F30)</f>
        <v>152814720.08000001</v>
      </c>
      <c r="G48" s="18">
        <f t="shared" si="35"/>
        <v>81.447566766298678</v>
      </c>
      <c r="H48" s="25">
        <f>SUM(H23:H30)</f>
        <v>164875064.97999999</v>
      </c>
      <c r="I48" s="25">
        <f>SUM(I23:I30)</f>
        <v>138436051.23000002</v>
      </c>
      <c r="J48" s="18">
        <f t="shared" si="36"/>
        <v>83.964213294953282</v>
      </c>
      <c r="K48" s="108">
        <v>159299799.50999999</v>
      </c>
      <c r="L48" s="108">
        <v>136358177.03</v>
      </c>
      <c r="M48" s="18">
        <f t="shared" si="37"/>
        <v>85.598461171597492</v>
      </c>
      <c r="N48" s="108">
        <f t="shared" ref="N48:O48" si="42">SUM(N23:N30)</f>
        <v>158342908.73000002</v>
      </c>
      <c r="O48" s="108">
        <f t="shared" si="42"/>
        <v>132689292.44</v>
      </c>
      <c r="P48" s="18">
        <f t="shared" si="38"/>
        <v>83.798695820509693</v>
      </c>
      <c r="Q48" s="108">
        <f t="shared" ref="Q48:R48" si="43">SUM(Q23:Q30)</f>
        <v>179535249.07999998</v>
      </c>
      <c r="R48" s="108">
        <f t="shared" si="43"/>
        <v>153736413.89999998</v>
      </c>
      <c r="S48" s="18">
        <f t="shared" si="39"/>
        <v>85.630211720427013</v>
      </c>
      <c r="T48" s="108">
        <f t="shared" ref="T48:U48" si="44">SUM(T23:T30)</f>
        <v>174405192.76999995</v>
      </c>
      <c r="U48" s="108">
        <f t="shared" si="44"/>
        <v>147195168.31999999</v>
      </c>
      <c r="V48" s="18">
        <f t="shared" si="40"/>
        <v>84.398386299263649</v>
      </c>
      <c r="W48" s="108">
        <f t="shared" ref="W48:X48" si="45">SUM(W23:W30)</f>
        <v>181351622.78999999</v>
      </c>
      <c r="X48" s="108">
        <f t="shared" si="45"/>
        <v>156806526.63000003</v>
      </c>
      <c r="Y48" s="18">
        <f t="shared" si="41"/>
        <v>86.465466488589144</v>
      </c>
      <c r="Z48" s="103">
        <f t="shared" si="8"/>
        <v>3.9829261443842228</v>
      </c>
      <c r="AA48" s="103">
        <f t="shared" si="8"/>
        <v>6.5296697029518498</v>
      </c>
    </row>
    <row r="49" spans="1:27" x14ac:dyDescent="0.3">
      <c r="A49" s="5" t="s">
        <v>64</v>
      </c>
      <c r="B49" s="25">
        <f>SUM(B31:B35)</f>
        <v>21969056.02</v>
      </c>
      <c r="C49" s="25">
        <f>SUM(C31:C35)</f>
        <v>13277184.909999998</v>
      </c>
      <c r="D49" s="18">
        <f t="shared" si="34"/>
        <v>60.435846209836363</v>
      </c>
      <c r="E49" s="25">
        <f>SUM(E31:E35)</f>
        <v>16567169.020000001</v>
      </c>
      <c r="F49" s="25">
        <f>SUM(F31:F35)</f>
        <v>13593886.110000001</v>
      </c>
      <c r="G49" s="18">
        <f t="shared" si="35"/>
        <v>82.0531624539435</v>
      </c>
      <c r="H49" s="25">
        <f>SUM(H31:H35)</f>
        <v>25896228.479999997</v>
      </c>
      <c r="I49" s="25">
        <f>SUM(I31:I35)</f>
        <v>19229964.939999998</v>
      </c>
      <c r="J49" s="18">
        <f t="shared" si="36"/>
        <v>74.257782189601684</v>
      </c>
      <c r="K49" s="108">
        <v>21825102.470000003</v>
      </c>
      <c r="L49" s="108">
        <v>16797650.32</v>
      </c>
      <c r="M49" s="18">
        <f t="shared" si="37"/>
        <v>76.964817659341776</v>
      </c>
      <c r="N49" s="108">
        <f t="shared" ref="N49:O49" si="46">SUM(N31:N35)</f>
        <v>27935483.150000002</v>
      </c>
      <c r="O49" s="108">
        <f t="shared" si="46"/>
        <v>21920045.710000001</v>
      </c>
      <c r="P49" s="18">
        <f t="shared" si="38"/>
        <v>78.466678354191984</v>
      </c>
      <c r="Q49" s="108">
        <f t="shared" ref="Q49:R49" si="47">SUM(Q31:Q35)</f>
        <v>21561372.349999998</v>
      </c>
      <c r="R49" s="108">
        <f t="shared" si="47"/>
        <v>15129368.060000001</v>
      </c>
      <c r="S49" s="18">
        <f t="shared" si="39"/>
        <v>70.168854813177063</v>
      </c>
      <c r="T49" s="108">
        <f t="shared" ref="T49:U49" si="48">SUM(T31:T35)</f>
        <v>20867398.829999998</v>
      </c>
      <c r="U49" s="108">
        <f t="shared" si="48"/>
        <v>14338552.120000001</v>
      </c>
      <c r="V49" s="18">
        <f t="shared" si="40"/>
        <v>68.712695035982136</v>
      </c>
      <c r="W49" s="108">
        <f t="shared" ref="W49:X49" si="49">SUM(W31:W35)</f>
        <v>38480012.990000002</v>
      </c>
      <c r="X49" s="108">
        <f t="shared" si="49"/>
        <v>32894582.450000003</v>
      </c>
      <c r="Y49" s="18">
        <f t="shared" si="41"/>
        <v>85.484852769016712</v>
      </c>
      <c r="Z49" s="103">
        <f t="shared" si="8"/>
        <v>84.402537678434783</v>
      </c>
      <c r="AA49" s="103">
        <f t="shared" si="8"/>
        <v>129.41355706422607</v>
      </c>
    </row>
    <row r="50" spans="1:27" x14ac:dyDescent="0.3">
      <c r="A50" s="5" t="s">
        <v>65</v>
      </c>
      <c r="B50" s="25">
        <f>SUM(B36:B39)</f>
        <v>3920156.2</v>
      </c>
      <c r="C50" s="25">
        <f>SUM(C36:C39)</f>
        <v>3920156.2</v>
      </c>
      <c r="D50" s="18">
        <f t="shared" si="34"/>
        <v>100</v>
      </c>
      <c r="E50" s="25">
        <f>SUM(E36:E39)</f>
        <v>0</v>
      </c>
      <c r="F50" s="25">
        <f>SUM(F36:F39)</f>
        <v>0</v>
      </c>
      <c r="G50" s="18" t="str">
        <f t="shared" si="35"/>
        <v>-</v>
      </c>
      <c r="H50" s="25">
        <f>SUM(H36:H39)</f>
        <v>0</v>
      </c>
      <c r="I50" s="25">
        <f>SUM(I36:I39)</f>
        <v>0</v>
      </c>
      <c r="J50" s="18" t="str">
        <f t="shared" si="36"/>
        <v>-</v>
      </c>
      <c r="K50" s="108">
        <v>0</v>
      </c>
      <c r="L50" s="108">
        <v>0</v>
      </c>
      <c r="M50" s="18" t="str">
        <f t="shared" si="37"/>
        <v>-</v>
      </c>
      <c r="N50" s="108">
        <f t="shared" ref="N50:O50" si="50">SUM(N36:N39)</f>
        <v>2111400</v>
      </c>
      <c r="O50" s="108">
        <f t="shared" si="50"/>
        <v>2111400</v>
      </c>
      <c r="P50" s="18">
        <f t="shared" si="38"/>
        <v>100</v>
      </c>
      <c r="Q50" s="108">
        <f t="shared" ref="Q50:R50" si="51">SUM(Q36:Q39)</f>
        <v>0</v>
      </c>
      <c r="R50" s="108">
        <f t="shared" si="51"/>
        <v>0</v>
      </c>
      <c r="S50" s="18" t="str">
        <f t="shared" si="39"/>
        <v>-</v>
      </c>
      <c r="T50" s="108">
        <f t="shared" ref="T50:U50" si="52">SUM(T36:T39)</f>
        <v>10111719.199999999</v>
      </c>
      <c r="U50" s="108">
        <f t="shared" si="52"/>
        <v>10111719.199999999</v>
      </c>
      <c r="V50" s="18">
        <f t="shared" si="40"/>
        <v>100</v>
      </c>
      <c r="W50" s="108">
        <f t="shared" ref="W50:X50" si="53">SUM(W36:W39)</f>
        <v>2986846.9</v>
      </c>
      <c r="X50" s="108">
        <f t="shared" si="53"/>
        <v>2986846.9</v>
      </c>
      <c r="Y50" s="18">
        <f t="shared" si="41"/>
        <v>100</v>
      </c>
      <c r="Z50" s="103">
        <f t="shared" si="8"/>
        <v>-70.461532396983486</v>
      </c>
      <c r="AA50" s="103">
        <f t="shared" si="8"/>
        <v>-70.461532396983486</v>
      </c>
    </row>
    <row r="51" spans="1:27" x14ac:dyDescent="0.3">
      <c r="A51" s="5" t="s">
        <v>66</v>
      </c>
      <c r="B51" s="25">
        <f>SUM(B40:B44)</f>
        <v>11476209.699999999</v>
      </c>
      <c r="C51" s="25">
        <f>SUM(C40:C44)</f>
        <v>11476209.699999999</v>
      </c>
      <c r="D51" s="18">
        <f t="shared" si="34"/>
        <v>100</v>
      </c>
      <c r="E51" s="25">
        <f>SUM(E40:E44)</f>
        <v>12622452.01</v>
      </c>
      <c r="F51" s="25">
        <f>SUM(F40:F44)</f>
        <v>12622452.01</v>
      </c>
      <c r="G51" s="18">
        <f t="shared" si="35"/>
        <v>100</v>
      </c>
      <c r="H51" s="25">
        <f>SUM(H40:H44)</f>
        <v>35118270.93</v>
      </c>
      <c r="I51" s="27">
        <v>30260387.559999999</v>
      </c>
      <c r="J51" s="18">
        <f t="shared" si="36"/>
        <v>86.167077019016546</v>
      </c>
      <c r="K51" s="108">
        <v>8864864.2300000004</v>
      </c>
      <c r="L51" s="108">
        <v>8864864.2300000004</v>
      </c>
      <c r="M51" s="18">
        <f t="shared" si="37"/>
        <v>100</v>
      </c>
      <c r="N51" s="108">
        <f t="shared" ref="N51:O51" si="54">SUM(N40:N44)</f>
        <v>6373295.5099999998</v>
      </c>
      <c r="O51" s="108">
        <f t="shared" si="54"/>
        <v>6373295.5099999998</v>
      </c>
      <c r="P51" s="18">
        <f t="shared" si="38"/>
        <v>100</v>
      </c>
      <c r="Q51" s="108">
        <f t="shared" ref="Q51:R51" si="55">SUM(Q40:Q44)</f>
        <v>7256532.6999999993</v>
      </c>
      <c r="R51" s="108">
        <f t="shared" si="55"/>
        <v>7256532.6999999993</v>
      </c>
      <c r="S51" s="18">
        <f t="shared" si="39"/>
        <v>100</v>
      </c>
      <c r="T51" s="108">
        <f t="shared" ref="T51" si="56">SUM(T40:T44)</f>
        <v>7045257.9199999999</v>
      </c>
      <c r="U51" s="110">
        <v>4991236.2699999996</v>
      </c>
      <c r="V51" s="18">
        <f t="shared" si="40"/>
        <v>70.845330670307092</v>
      </c>
      <c r="W51" s="108">
        <f t="shared" ref="W51:X51" si="57">SUM(W40:W44)</f>
        <v>6283817.8700000001</v>
      </c>
      <c r="X51" s="108">
        <f t="shared" si="57"/>
        <v>6283817.8700000001</v>
      </c>
      <c r="Y51" s="18">
        <f t="shared" si="41"/>
        <v>100</v>
      </c>
      <c r="Z51" s="103">
        <f t="shared" si="8"/>
        <v>-10.80783782008082</v>
      </c>
      <c r="AA51" s="103">
        <f t="shared" si="8"/>
        <v>25.897022903305682</v>
      </c>
    </row>
    <row r="52" spans="1:27" x14ac:dyDescent="0.3">
      <c r="A52" s="5" t="s">
        <v>67</v>
      </c>
      <c r="B52" s="25">
        <f>B45</f>
        <v>0</v>
      </c>
      <c r="C52" s="25">
        <f>C45</f>
        <v>0</v>
      </c>
      <c r="D52" s="18" t="str">
        <f t="shared" si="34"/>
        <v>-</v>
      </c>
      <c r="E52" s="25">
        <f>E45</f>
        <v>0</v>
      </c>
      <c r="F52" s="25">
        <f>F45</f>
        <v>0</v>
      </c>
      <c r="G52" s="18" t="str">
        <f t="shared" si="35"/>
        <v>-</v>
      </c>
      <c r="H52" s="25">
        <f>H45</f>
        <v>0</v>
      </c>
      <c r="I52" s="25">
        <f>I45</f>
        <v>0</v>
      </c>
      <c r="J52" s="18" t="str">
        <f t="shared" si="36"/>
        <v>-</v>
      </c>
      <c r="K52" s="108">
        <v>0</v>
      </c>
      <c r="L52" s="108">
        <v>0</v>
      </c>
      <c r="M52" s="18" t="str">
        <f t="shared" si="37"/>
        <v>-</v>
      </c>
      <c r="N52" s="108">
        <f t="shared" ref="N52:O52" si="58">N45</f>
        <v>0</v>
      </c>
      <c r="O52" s="108">
        <f t="shared" si="58"/>
        <v>0</v>
      </c>
      <c r="P52" s="18" t="str">
        <f t="shared" si="38"/>
        <v>-</v>
      </c>
      <c r="Q52" s="108">
        <f t="shared" ref="Q52:R52" si="59">Q45</f>
        <v>0</v>
      </c>
      <c r="R52" s="108">
        <f t="shared" si="59"/>
        <v>0</v>
      </c>
      <c r="S52" s="18" t="str">
        <f t="shared" si="39"/>
        <v>-</v>
      </c>
      <c r="T52" s="108">
        <f t="shared" ref="T52:U52" si="60">T45</f>
        <v>0</v>
      </c>
      <c r="U52" s="108">
        <f t="shared" si="60"/>
        <v>0</v>
      </c>
      <c r="V52" s="18" t="str">
        <f t="shared" si="40"/>
        <v>-</v>
      </c>
      <c r="W52" s="108">
        <f t="shared" ref="W52:X52" si="61">W45</f>
        <v>0</v>
      </c>
      <c r="X52" s="108">
        <f t="shared" si="61"/>
        <v>0</v>
      </c>
      <c r="Y52" s="18" t="str">
        <f t="shared" si="41"/>
        <v>-</v>
      </c>
      <c r="Z52" s="103" t="str">
        <f t="shared" si="8"/>
        <v>-</v>
      </c>
      <c r="AA52" s="103" t="str">
        <f t="shared" si="8"/>
        <v>-</v>
      </c>
    </row>
    <row r="53" spans="1:27" x14ac:dyDescent="0.3">
      <c r="A53" s="5" t="s">
        <v>68</v>
      </c>
      <c r="B53" s="25">
        <f>SUM(B46:B47)</f>
        <v>34796374.210000001</v>
      </c>
      <c r="C53" s="27">
        <v>28239394.940000001</v>
      </c>
      <c r="D53" s="18">
        <f t="shared" si="34"/>
        <v>81.15614221634732</v>
      </c>
      <c r="E53" s="25">
        <f>SUM(E46:E47)</f>
        <v>39206737.980000004</v>
      </c>
      <c r="F53" s="27">
        <v>30941990.27</v>
      </c>
      <c r="G53" s="18">
        <f t="shared" si="35"/>
        <v>78.920083292274938</v>
      </c>
      <c r="H53" s="25">
        <f>SUM(H46:H47)</f>
        <v>32784997.310000002</v>
      </c>
      <c r="I53" s="27">
        <v>24167693.329999998</v>
      </c>
      <c r="J53" s="18">
        <f t="shared" si="36"/>
        <v>73.715709357793429</v>
      </c>
      <c r="K53" s="108">
        <v>29497506.280000001</v>
      </c>
      <c r="L53" s="110">
        <v>23268528.48</v>
      </c>
      <c r="M53" s="18">
        <f t="shared" si="37"/>
        <v>78.883035939131602</v>
      </c>
      <c r="N53" s="108">
        <f>SUM(N46:N47)</f>
        <v>32713625.769999996</v>
      </c>
      <c r="O53" s="110">
        <v>26949300.530000001</v>
      </c>
      <c r="P53" s="18">
        <f t="shared" si="38"/>
        <v>82.379436383703563</v>
      </c>
      <c r="Q53" s="108">
        <f>SUM(Q46:Q47)</f>
        <v>30901736.950000003</v>
      </c>
      <c r="R53" s="110">
        <v>25774104.02</v>
      </c>
      <c r="S53" s="18">
        <f t="shared" si="39"/>
        <v>83.406651418020033</v>
      </c>
      <c r="T53" s="108">
        <f>SUM(T46:T47)</f>
        <v>30793355.93</v>
      </c>
      <c r="U53" s="110">
        <v>26154138.379999999</v>
      </c>
      <c r="V53" s="18">
        <f t="shared" si="40"/>
        <v>84.934355448149418</v>
      </c>
      <c r="W53" s="108">
        <f>SUM(W46:W47)</f>
        <v>26553233.25</v>
      </c>
      <c r="X53" s="110">
        <v>21276833.48</v>
      </c>
      <c r="Y53" s="18">
        <f t="shared" si="41"/>
        <v>80.128974425364945</v>
      </c>
      <c r="Z53" s="103">
        <f t="shared" si="8"/>
        <v>-13.769602409164889</v>
      </c>
      <c r="AA53" s="103">
        <f t="shared" si="8"/>
        <v>-18.648310371140582</v>
      </c>
    </row>
    <row r="54" spans="1:27" x14ac:dyDescent="0.3">
      <c r="A54" s="5" t="s">
        <v>69</v>
      </c>
      <c r="B54" s="17">
        <f>SUM(B48:B53)</f>
        <v>247025771.13</v>
      </c>
      <c r="C54" s="17">
        <f>SUM(C48:C53)</f>
        <v>204315642.63999999</v>
      </c>
      <c r="D54" s="18">
        <f t="shared" si="34"/>
        <v>82.710253956651613</v>
      </c>
      <c r="E54" s="22">
        <f>SUM(E48:E53)</f>
        <v>256019791.04999995</v>
      </c>
      <c r="F54" s="17">
        <f>SUM(F48:F53)</f>
        <v>209973048.47000003</v>
      </c>
      <c r="G54" s="18">
        <f t="shared" si="35"/>
        <v>82.014381626064562</v>
      </c>
      <c r="H54" s="22">
        <f>SUM(H48:H53)</f>
        <v>258674561.69999999</v>
      </c>
      <c r="I54" s="17">
        <f>SUM(I48:I53)</f>
        <v>212094097.06</v>
      </c>
      <c r="J54" s="18">
        <f t="shared" si="36"/>
        <v>81.992638033722827</v>
      </c>
      <c r="K54" s="22">
        <f>SUM(K48:K53)</f>
        <v>219487272.48999998</v>
      </c>
      <c r="L54" s="17">
        <f>SUM(L48:L53)</f>
        <v>185289220.05999997</v>
      </c>
      <c r="M54" s="18">
        <f t="shared" si="37"/>
        <v>84.419118228571506</v>
      </c>
      <c r="N54" s="22">
        <f>SUM(N48:N53)</f>
        <v>227476713.16000003</v>
      </c>
      <c r="O54" s="17">
        <f>SUM(O48:O53)</f>
        <v>190043334.19</v>
      </c>
      <c r="P54" s="18">
        <f t="shared" si="38"/>
        <v>83.544083062396567</v>
      </c>
      <c r="Q54" s="22">
        <f>SUM(Q48:Q53)</f>
        <v>239254891.07999998</v>
      </c>
      <c r="R54" s="17">
        <f>SUM(R48:R53)</f>
        <v>201896418.67999998</v>
      </c>
      <c r="S54" s="18">
        <f t="shared" si="39"/>
        <v>84.385492713915554</v>
      </c>
      <c r="T54" s="22">
        <f>SUM(T48:T53)</f>
        <v>243222924.64999995</v>
      </c>
      <c r="U54" s="17">
        <f>SUM(U48:U53)</f>
        <v>202790814.28999999</v>
      </c>
      <c r="V54" s="18">
        <f t="shared" si="40"/>
        <v>83.376521593027405</v>
      </c>
      <c r="W54" s="109">
        <f t="shared" ref="W54:X54" si="62">SUM(W48:W53)</f>
        <v>255655533.80000001</v>
      </c>
      <c r="X54" s="109">
        <f t="shared" si="62"/>
        <v>220248607.33000004</v>
      </c>
      <c r="Y54" s="18">
        <f t="shared" si="41"/>
        <v>86.150533906416868</v>
      </c>
      <c r="Z54" s="103">
        <f t="shared" si="8"/>
        <v>5.1116107447070362</v>
      </c>
      <c r="AA54" s="103">
        <f t="shared" si="8"/>
        <v>8.6087691403194526</v>
      </c>
    </row>
    <row r="55" spans="1:27" x14ac:dyDescent="0.3">
      <c r="A55" s="13" t="s">
        <v>70</v>
      </c>
      <c r="B55" s="14">
        <f>B54-B53</f>
        <v>212229396.91999999</v>
      </c>
      <c r="C55" s="14">
        <f>C54-C53</f>
        <v>176076247.69999999</v>
      </c>
      <c r="D55" s="19">
        <f t="shared" si="34"/>
        <v>82.965060569046443</v>
      </c>
      <c r="E55" s="23">
        <f>E54-E53</f>
        <v>216813053.06999993</v>
      </c>
      <c r="F55" s="14">
        <f>F54-F53</f>
        <v>179031058.20000002</v>
      </c>
      <c r="G55" s="19">
        <f t="shared" si="35"/>
        <v>82.573929781892943</v>
      </c>
      <c r="H55" s="23">
        <f>H54-H53</f>
        <v>225889564.38999999</v>
      </c>
      <c r="I55" s="14">
        <f>I54-I53</f>
        <v>187926403.73000002</v>
      </c>
      <c r="J55" s="19">
        <f t="shared" si="36"/>
        <v>83.193928961474157</v>
      </c>
      <c r="K55" s="23">
        <f>K54-K53</f>
        <v>189989766.20999998</v>
      </c>
      <c r="L55" s="14">
        <f>L54-L53</f>
        <v>162020691.57999998</v>
      </c>
      <c r="M55" s="19">
        <f t="shared" si="37"/>
        <v>85.278641482675894</v>
      </c>
      <c r="N55" s="23">
        <f>N54-N53</f>
        <v>194763087.39000005</v>
      </c>
      <c r="O55" s="14">
        <f>O54-O53</f>
        <v>163094033.66</v>
      </c>
      <c r="P55" s="19">
        <f t="shared" si="38"/>
        <v>83.739704399640729</v>
      </c>
      <c r="Q55" s="23">
        <f>Q54-Q53</f>
        <v>208353154.13</v>
      </c>
      <c r="R55" s="14">
        <f>R54-R53</f>
        <v>176122314.65999997</v>
      </c>
      <c r="S55" s="19">
        <f t="shared" si="39"/>
        <v>84.530668803847391</v>
      </c>
      <c r="T55" s="23">
        <f>T54-T53</f>
        <v>212429568.71999994</v>
      </c>
      <c r="U55" s="14">
        <f>U54-U53</f>
        <v>176636675.91</v>
      </c>
      <c r="V55" s="19">
        <f t="shared" si="40"/>
        <v>83.150701182669167</v>
      </c>
      <c r="W55" s="109">
        <f t="shared" ref="W55:X55" si="63">W54-W53</f>
        <v>229102300.55000001</v>
      </c>
      <c r="X55" s="109">
        <f t="shared" si="63"/>
        <v>198971773.85000005</v>
      </c>
      <c r="Y55" s="19">
        <f t="shared" si="41"/>
        <v>86.848439920652751</v>
      </c>
      <c r="Z55" s="105">
        <f t="shared" si="8"/>
        <v>7.8485927973502356</v>
      </c>
      <c r="AA55" s="105">
        <f t="shared" si="8"/>
        <v>12.64465481188077</v>
      </c>
    </row>
    <row r="56" spans="1:27" s="100" customFormat="1" x14ac:dyDescent="0.3">
      <c r="A56" s="107" t="s">
        <v>71</v>
      </c>
      <c r="B56" s="109">
        <f>B14-B48</f>
        <v>35735832.429999977</v>
      </c>
      <c r="C56" s="109">
        <f>C14-C48</f>
        <v>7866165.119999975</v>
      </c>
      <c r="D56" s="20"/>
      <c r="E56" s="109">
        <f>E14-E48</f>
        <v>22194371.710000038</v>
      </c>
      <c r="F56" s="109">
        <f>F14-F48</f>
        <v>-7925752.630000025</v>
      </c>
      <c r="G56" s="20"/>
      <c r="H56" s="109">
        <f>H14-H48</f>
        <v>38032496.270000011</v>
      </c>
      <c r="I56" s="109">
        <f>I14-I48</f>
        <v>11956376.649999976</v>
      </c>
      <c r="J56" s="20"/>
      <c r="K56" s="109">
        <f>K14-K48</f>
        <v>43799637.030000031</v>
      </c>
      <c r="L56" s="109">
        <f>L14-L48</f>
        <v>16641723.439999998</v>
      </c>
      <c r="M56" s="20"/>
      <c r="N56" s="109">
        <f>N14-N48</f>
        <v>57990266.25</v>
      </c>
      <c r="O56" s="109">
        <f>O14-O48</f>
        <v>32654880.49000001</v>
      </c>
      <c r="P56" s="20"/>
      <c r="Q56" s="109">
        <f>Q14-Q48</f>
        <v>30504182.640000015</v>
      </c>
      <c r="R56" s="109">
        <f>R14-R48</f>
        <v>-2025090.8999999762</v>
      </c>
      <c r="S56" s="20"/>
      <c r="T56" s="109">
        <f>T14-T48</f>
        <v>46810403.900000036</v>
      </c>
      <c r="U56" s="109">
        <f>U14-U48</f>
        <v>15058925.469999999</v>
      </c>
      <c r="V56" s="20"/>
      <c r="W56" s="109">
        <f>W14-W48</f>
        <v>57094538.969999999</v>
      </c>
      <c r="X56" s="109">
        <f>X14-X48</f>
        <v>-11588082.230000019</v>
      </c>
      <c r="Y56" s="20"/>
      <c r="Z56" s="103">
        <f t="shared" ref="Z56:AA59" si="64">IF(T56&gt;0,W56/T56*100-100,"-")</f>
        <v>21.969763584970806</v>
      </c>
      <c r="AA56" s="103">
        <f t="shared" si="64"/>
        <v>-176.95158763542258</v>
      </c>
    </row>
    <row r="57" spans="1:27" s="100" customFormat="1" x14ac:dyDescent="0.3">
      <c r="A57" s="107" t="s">
        <v>72</v>
      </c>
      <c r="B57" s="109">
        <f>B15-B49</f>
        <v>-7859179.5300000012</v>
      </c>
      <c r="C57" s="109">
        <f>C15-C49</f>
        <v>-6178429.2999999989</v>
      </c>
      <c r="D57" s="20"/>
      <c r="E57" s="109">
        <f>E15-E49</f>
        <v>-6630268.2700000014</v>
      </c>
      <c r="F57" s="109">
        <f>F15-F49</f>
        <v>-4018239.7800000031</v>
      </c>
      <c r="G57" s="20"/>
      <c r="H57" s="109">
        <f>H15-H49</f>
        <v>22662457.869999997</v>
      </c>
      <c r="I57" s="109">
        <f>I15-I49</f>
        <v>25330814.07</v>
      </c>
      <c r="J57" s="20"/>
      <c r="K57" s="109">
        <f>K15-K49</f>
        <v>-6211752.450000003</v>
      </c>
      <c r="L57" s="109">
        <f>L15-L49</f>
        <v>-8158383.1999999993</v>
      </c>
      <c r="M57" s="20"/>
      <c r="N57" s="109">
        <f>N15-N49</f>
        <v>-9949083.0800000019</v>
      </c>
      <c r="O57" s="109">
        <f>O15-O49</f>
        <v>-9745087.2800000012</v>
      </c>
      <c r="P57" s="20"/>
      <c r="Q57" s="109">
        <f>Q15-Q49</f>
        <v>-6774074.1099999975</v>
      </c>
      <c r="R57" s="109">
        <f>R15-R49</f>
        <v>-5595187.4500000011</v>
      </c>
      <c r="S57" s="20"/>
      <c r="T57" s="109">
        <f>T15-T49</f>
        <v>12247983.930000003</v>
      </c>
      <c r="U57" s="109">
        <f>U15-U49</f>
        <v>11140989.919999994</v>
      </c>
      <c r="V57" s="20"/>
      <c r="W57" s="109">
        <f>W15-W49</f>
        <v>-21804469.990000002</v>
      </c>
      <c r="X57" s="109">
        <f>X15-X49</f>
        <v>-22585372.270000003</v>
      </c>
      <c r="Y57" s="20"/>
      <c r="Z57" s="103">
        <f t="shared" si="64"/>
        <v>-278.02497222904174</v>
      </c>
      <c r="AA57" s="103">
        <f t="shared" si="64"/>
        <v>-302.72320890853132</v>
      </c>
    </row>
    <row r="58" spans="1:27" s="100" customFormat="1" x14ac:dyDescent="0.3">
      <c r="A58" s="107" t="s">
        <v>358</v>
      </c>
      <c r="B58" s="109">
        <f>SUM(B14:B16)-SUM(B48:B50)</f>
        <v>28008510.359999985</v>
      </c>
      <c r="C58" s="109">
        <f>SUM(C14:C16)-SUM(C48:C50)</f>
        <v>899437.08000001311</v>
      </c>
      <c r="D58" s="20"/>
      <c r="E58" s="109">
        <f>SUM(E14:E16)-SUM(E48:E50)</f>
        <v>15570210.590000033</v>
      </c>
      <c r="F58" s="109">
        <f>SUM(F14:F16)-SUM(F48:F50)</f>
        <v>-11937885.26000005</v>
      </c>
      <c r="G58" s="20"/>
      <c r="H58" s="109">
        <f>SUM(H14:H16)-SUM(H48:H50)</f>
        <v>60694954.140000015</v>
      </c>
      <c r="I58" s="109">
        <f>SUM(I14:I16)-SUM(I48:I50)</f>
        <v>37287190.719999969</v>
      </c>
      <c r="J58" s="20"/>
      <c r="K58" s="109">
        <f>SUM(K14:K16)-SUM(K48:K50)</f>
        <v>37588084.910000056</v>
      </c>
      <c r="L58" s="109">
        <f>SUM(L14:L16)-SUM(L48:L50)</f>
        <v>8483540.5700000226</v>
      </c>
      <c r="M58" s="20"/>
      <c r="N58" s="109">
        <f>SUM(N14:N16)-SUM(N48:N50)</f>
        <v>45963614.799999982</v>
      </c>
      <c r="O58" s="109">
        <f>SUM(O14:O16)-SUM(O48:O50)</f>
        <v>20832224.840000004</v>
      </c>
      <c r="P58" s="20"/>
      <c r="Q58" s="109">
        <f>SUM(Q14:Q16)-SUM(Q48:Q50)</f>
        <v>23730108.530000031</v>
      </c>
      <c r="R58" s="109">
        <f>SUM(R14:R16)-SUM(R48:R50)</f>
        <v>-7620278.3499999642</v>
      </c>
      <c r="S58" s="20"/>
      <c r="T58" s="109">
        <f>SUM(T14:T16)-SUM(T48:T50)</f>
        <v>59058387.880000025</v>
      </c>
      <c r="U58" s="109">
        <f>SUM(U14:U16)-SUM(U48:U50)</f>
        <v>16088196.189999998</v>
      </c>
      <c r="V58" s="20"/>
      <c r="W58" s="109">
        <f>SUM(W14:W16)-SUM(W48:W50)</f>
        <v>35290068.979999989</v>
      </c>
      <c r="X58" s="109">
        <f>SUM(X14:X16)-SUM(X48:X50)</f>
        <v>-37160301.400000036</v>
      </c>
      <c r="Y58" s="20"/>
      <c r="Z58" s="103">
        <f t="shared" si="64"/>
        <v>-40.245458356050243</v>
      </c>
      <c r="AA58" s="103">
        <f t="shared" si="64"/>
        <v>-330.97866883981629</v>
      </c>
    </row>
    <row r="59" spans="1:27" s="100" customFormat="1" x14ac:dyDescent="0.3">
      <c r="A59" s="107" t="s">
        <v>359</v>
      </c>
      <c r="B59" s="109">
        <f>B21-B55</f>
        <v>24893367.069999993</v>
      </c>
      <c r="C59" s="109">
        <f>C21-C55</f>
        <v>-8576772.619999975</v>
      </c>
      <c r="D59" s="99"/>
      <c r="E59" s="109">
        <f>E21-E55</f>
        <v>5028248.8500000834</v>
      </c>
      <c r="F59" s="109">
        <f>F21-F55</f>
        <v>-24134224.470000058</v>
      </c>
      <c r="G59" s="99"/>
      <c r="H59" s="109">
        <f>H21-H55</f>
        <v>28207903.74000001</v>
      </c>
      <c r="I59" s="109">
        <f>I21-I55</f>
        <v>7158023.6899999678</v>
      </c>
      <c r="J59" s="99"/>
      <c r="K59" s="109">
        <f>K21-K55</f>
        <v>30106133.27000007</v>
      </c>
      <c r="L59" s="109">
        <f>L21-L55</f>
        <v>-100721.63999995589</v>
      </c>
      <c r="M59" s="99"/>
      <c r="N59" s="109">
        <f>N21-N55</f>
        <v>42132632.619999975</v>
      </c>
      <c r="O59" s="109">
        <f>O21-O55</f>
        <v>15087415.280000001</v>
      </c>
      <c r="P59" s="99"/>
      <c r="Q59" s="109">
        <f>Q21-Q55</f>
        <v>30356658</v>
      </c>
      <c r="R59" s="109">
        <f>R21-R55</f>
        <v>-8042428.8799999654</v>
      </c>
      <c r="S59" s="99"/>
      <c r="T59" s="109">
        <f>T21-T55</f>
        <v>62561218.160000056</v>
      </c>
      <c r="U59" s="109">
        <f>U21-U55</f>
        <v>21637971.329999983</v>
      </c>
      <c r="V59" s="99"/>
      <c r="W59" s="109">
        <f>W21-W55</f>
        <v>32112560.369999945</v>
      </c>
      <c r="X59" s="109">
        <f>X21-X55</f>
        <v>-40337810.01000005</v>
      </c>
      <c r="Y59" s="99"/>
      <c r="Z59" s="103">
        <f t="shared" si="64"/>
        <v>-48.67018048166485</v>
      </c>
      <c r="AA59" s="103">
        <f t="shared" si="64"/>
        <v>-286.42140427496389</v>
      </c>
    </row>
    <row r="60" spans="1:27" s="100" customFormat="1" x14ac:dyDescent="0.3">
      <c r="A60" s="107" t="s">
        <v>360</v>
      </c>
      <c r="C60" s="102">
        <f>SUM(C14:C16)/SUM(B14:B16)*100</f>
        <v>72.345797758439602</v>
      </c>
      <c r="D60" s="99"/>
      <c r="F60" s="102">
        <f>SUM(F14:F16)/SUM(E14:E16)*100</f>
        <v>70.290385155664751</v>
      </c>
      <c r="G60" s="99"/>
      <c r="I60" s="102">
        <f>SUM(I14:I16)/SUM(H14:H16)*100</f>
        <v>77.526590049614271</v>
      </c>
      <c r="J60" s="99"/>
      <c r="L60" s="102">
        <f>SUM(L14:L16)/SUM(K14:K16)*100</f>
        <v>73.904787373826707</v>
      </c>
      <c r="M60" s="99"/>
      <c r="O60" s="102">
        <f>SUM(O14:O16)/SUM(N14:N16)*100</f>
        <v>75.762911026269535</v>
      </c>
      <c r="P60" s="99"/>
      <c r="R60" s="102">
        <f>SUM(R14:R16)/SUM(Q14:Q16)*100</f>
        <v>71.719898981178957</v>
      </c>
      <c r="S60" s="99"/>
      <c r="U60" s="102">
        <f>SUM(U14:U16)/SUM(T14:T16)*100</f>
        <v>70.992179692272387</v>
      </c>
      <c r="V60" s="99"/>
      <c r="X60" s="102">
        <f>SUM(X14:X16)/SUM(W14:W16)*100</f>
        <v>60.256684088821956</v>
      </c>
      <c r="Y60" s="99"/>
    </row>
    <row r="61" spans="1:27" s="100" customFormat="1" x14ac:dyDescent="0.3">
      <c r="A61" s="107" t="s">
        <v>361</v>
      </c>
      <c r="C61" s="102">
        <f>SUM(C48:C50)/SUM(B48:B50)*100</f>
        <v>81.991245209780544</v>
      </c>
      <c r="D61" s="99"/>
      <c r="F61" s="102">
        <f>SUM(F48:F50)/SUM(E48:E50)*100</f>
        <v>81.496702260601126</v>
      </c>
      <c r="G61" s="99"/>
      <c r="I61" s="102">
        <f>SUM(I48:I50)/SUM(H48:H50)*100</f>
        <v>82.646614860353012</v>
      </c>
      <c r="J61" s="99"/>
      <c r="L61" s="102">
        <f>SUM(L48:L50)/SUM(K48:K50)*100</f>
        <v>84.558128493514175</v>
      </c>
      <c r="M61" s="99"/>
      <c r="O61" s="102">
        <f>SUM(O48:O50)/SUM(N48:N50)*100</f>
        <v>83.189612656840524</v>
      </c>
      <c r="P61" s="99"/>
      <c r="R61" s="102">
        <f>SUM(R48:R50)/SUM(Q48:Q50)*100</f>
        <v>83.972460978804023</v>
      </c>
      <c r="S61" s="99"/>
      <c r="U61" s="102">
        <f>SUM(U48:U50)/SUM(T48:T50)*100</f>
        <v>83.57280990520529</v>
      </c>
      <c r="V61" s="99"/>
      <c r="X61" s="102">
        <f>SUM(X48:X50)/SUM(W48:W50)*100</f>
        <v>86.477546055606254</v>
      </c>
      <c r="Y61" s="99"/>
    </row>
  </sheetData>
  <mergeCells count="9">
    <mergeCell ref="Z1:AA1"/>
    <mergeCell ref="B1:D1"/>
    <mergeCell ref="E1:G1"/>
    <mergeCell ref="W1:Y1"/>
    <mergeCell ref="H1:J1"/>
    <mergeCell ref="K1:M1"/>
    <mergeCell ref="N1:P1"/>
    <mergeCell ref="Q1:S1"/>
    <mergeCell ref="T1:V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showGridLines="0" workbookViewId="0">
      <selection activeCell="L2" sqref="L2"/>
    </sheetView>
  </sheetViews>
  <sheetFormatPr defaultRowHeight="14.4" x14ac:dyDescent="0.3"/>
  <cols>
    <col min="1" max="2" width="10.33203125" bestFit="1" customWidth="1"/>
    <col min="3" max="3" width="50.6640625" bestFit="1" customWidth="1"/>
    <col min="4" max="4" width="7.44140625" customWidth="1"/>
    <col min="5" max="7" width="7.5546875" customWidth="1"/>
    <col min="8" max="12" width="7.5546875" style="100" customWidth="1"/>
  </cols>
  <sheetData>
    <row r="1" spans="1:12" ht="23.25" customHeight="1" x14ac:dyDescent="0.3">
      <c r="A1" s="69" t="s">
        <v>311</v>
      </c>
      <c r="B1" s="69" t="s">
        <v>312</v>
      </c>
      <c r="C1" s="69" t="s">
        <v>322</v>
      </c>
      <c r="D1" s="40" t="s">
        <v>211</v>
      </c>
      <c r="E1" s="40">
        <v>2016</v>
      </c>
      <c r="F1" s="40">
        <v>2017</v>
      </c>
      <c r="G1" s="40">
        <v>2018</v>
      </c>
      <c r="H1" s="115">
        <v>2019</v>
      </c>
      <c r="I1" s="115">
        <v>2020</v>
      </c>
      <c r="J1" s="115">
        <v>2021</v>
      </c>
      <c r="K1" s="115">
        <v>2022</v>
      </c>
      <c r="L1" s="115">
        <v>2023</v>
      </c>
    </row>
    <row r="2" spans="1:12" ht="29.25" customHeight="1" x14ac:dyDescent="0.3">
      <c r="A2" s="70" t="s">
        <v>313</v>
      </c>
      <c r="B2" s="70" t="s">
        <v>78</v>
      </c>
      <c r="C2" s="72" t="s">
        <v>321</v>
      </c>
      <c r="D2" s="84" t="s">
        <v>328</v>
      </c>
      <c r="E2" s="77">
        <f>Piano_indicatori!D3</f>
        <v>24.39</v>
      </c>
      <c r="F2" s="77">
        <f>Piano_indicatori!E3</f>
        <v>28.22</v>
      </c>
      <c r="G2" s="77">
        <f>Piano_indicatori!F3</f>
        <v>42.95</v>
      </c>
      <c r="H2" s="77">
        <f>Piano_indicatori!G3</f>
        <v>24.72</v>
      </c>
      <c r="I2" s="77">
        <f>Piano_indicatori!H3</f>
        <v>21.46</v>
      </c>
      <c r="J2" s="77">
        <f>Piano_indicatori!I3</f>
        <v>22.59</v>
      </c>
      <c r="K2" s="77">
        <f>Piano_indicatori!J3</f>
        <v>23.27</v>
      </c>
      <c r="L2" s="77">
        <f>Piano_indicatori!K3</f>
        <v>20.22</v>
      </c>
    </row>
    <row r="3" spans="1:12" ht="29.25" customHeight="1" x14ac:dyDescent="0.3">
      <c r="A3" s="71" t="s">
        <v>314</v>
      </c>
      <c r="B3" s="71" t="s">
        <v>95</v>
      </c>
      <c r="C3" s="73" t="s">
        <v>96</v>
      </c>
      <c r="D3" s="85" t="s">
        <v>329</v>
      </c>
      <c r="E3" s="78">
        <f>Piano_indicatori!D12</f>
        <v>52.35</v>
      </c>
      <c r="F3" s="78">
        <f>Piano_indicatori!E12</f>
        <v>51.71</v>
      </c>
      <c r="G3" s="78">
        <f>Piano_indicatori!F12</f>
        <v>59.84</v>
      </c>
      <c r="H3" s="78">
        <f>Piano_indicatori!G12</f>
        <v>57.15</v>
      </c>
      <c r="I3" s="78">
        <f>Piano_indicatori!H12</f>
        <v>50.37</v>
      </c>
      <c r="J3" s="78">
        <f>Piano_indicatori!I12</f>
        <v>57.8</v>
      </c>
      <c r="K3" s="78">
        <f>Piano_indicatori!J12</f>
        <v>64.459999999999994</v>
      </c>
      <c r="L3" s="78">
        <f>Piano_indicatori!K12</f>
        <v>52.17</v>
      </c>
    </row>
    <row r="4" spans="1:12" ht="29.25" customHeight="1" x14ac:dyDescent="0.3">
      <c r="A4" s="70" t="s">
        <v>315</v>
      </c>
      <c r="B4" s="70" t="s">
        <v>100</v>
      </c>
      <c r="C4" s="74" t="s">
        <v>324</v>
      </c>
      <c r="D4" s="84" t="s">
        <v>330</v>
      </c>
      <c r="E4" s="79">
        <f>Piano_indicatori!D15</f>
        <v>0</v>
      </c>
      <c r="F4" s="79">
        <f>Piano_indicatori!E15</f>
        <v>0</v>
      </c>
      <c r="G4" s="79">
        <f>Piano_indicatori!F15</f>
        <v>0</v>
      </c>
      <c r="H4" s="79">
        <f>Piano_indicatori!G15</f>
        <v>0</v>
      </c>
      <c r="I4" s="79">
        <f>Piano_indicatori!H15</f>
        <v>0</v>
      </c>
      <c r="J4" s="79">
        <f>Piano_indicatori!I15</f>
        <v>0</v>
      </c>
      <c r="K4" s="79">
        <f>Piano_indicatori!J15</f>
        <v>0</v>
      </c>
      <c r="L4" s="79">
        <f>Piano_indicatori!K15</f>
        <v>0</v>
      </c>
    </row>
    <row r="5" spans="1:12" ht="29.25" customHeight="1" x14ac:dyDescent="0.3">
      <c r="A5" s="71" t="s">
        <v>316</v>
      </c>
      <c r="B5" s="71" t="s">
        <v>165</v>
      </c>
      <c r="C5" s="75" t="s">
        <v>325</v>
      </c>
      <c r="D5" s="86" t="s">
        <v>331</v>
      </c>
      <c r="E5" s="80">
        <f>Piano_indicatori!D51</f>
        <v>6.33</v>
      </c>
      <c r="F5" s="80">
        <f>Piano_indicatori!E51</f>
        <v>6.86</v>
      </c>
      <c r="G5" s="80">
        <f>Piano_indicatori!F51</f>
        <v>6.44</v>
      </c>
      <c r="H5" s="80">
        <f>Piano_indicatori!G51</f>
        <v>5.63</v>
      </c>
      <c r="I5" s="80">
        <f>Piano_indicatori!H51</f>
        <v>3.97</v>
      </c>
      <c r="J5" s="80">
        <f>Piano_indicatori!I51</f>
        <v>4.46</v>
      </c>
      <c r="K5" s="80">
        <f>Piano_indicatori!J51</f>
        <v>4.04</v>
      </c>
      <c r="L5" s="80">
        <f>Piano_indicatori!K51</f>
        <v>3.38</v>
      </c>
    </row>
    <row r="6" spans="1:12" ht="29.25" customHeight="1" x14ac:dyDescent="0.3">
      <c r="A6" s="70" t="s">
        <v>317</v>
      </c>
      <c r="B6" s="70" t="s">
        <v>185</v>
      </c>
      <c r="C6" s="88" t="s">
        <v>186</v>
      </c>
      <c r="D6" s="87" t="s">
        <v>332</v>
      </c>
      <c r="E6" s="81">
        <f>Piano_indicatori!D62</f>
        <v>0</v>
      </c>
      <c r="F6" s="81">
        <f>Piano_indicatori!E62</f>
        <v>2.85</v>
      </c>
      <c r="G6" s="81">
        <f>Piano_indicatori!F62</f>
        <v>5.12</v>
      </c>
      <c r="H6" s="81">
        <f>Piano_indicatori!G62</f>
        <v>0</v>
      </c>
      <c r="I6" s="81">
        <f>Piano_indicatori!H62</f>
        <v>0</v>
      </c>
      <c r="J6" s="81">
        <f>Piano_indicatori!I62</f>
        <v>0</v>
      </c>
      <c r="K6" s="81">
        <f>Piano_indicatori!J62</f>
        <v>0.97</v>
      </c>
      <c r="L6" s="81">
        <f>Piano_indicatori!K62</f>
        <v>0</v>
      </c>
    </row>
    <row r="7" spans="1:12" ht="29.25" customHeight="1" x14ac:dyDescent="0.3">
      <c r="A7" s="71" t="s">
        <v>318</v>
      </c>
      <c r="B7" s="71" t="s">
        <v>188</v>
      </c>
      <c r="C7" s="75" t="s">
        <v>189</v>
      </c>
      <c r="D7" s="85" t="s">
        <v>333</v>
      </c>
      <c r="E7" s="82">
        <f>Piano_indicatori!D64</f>
        <v>0.11</v>
      </c>
      <c r="F7" s="82">
        <f>Piano_indicatori!E64</f>
        <v>7.94</v>
      </c>
      <c r="G7" s="82">
        <f>Piano_indicatori!F64</f>
        <v>0.15</v>
      </c>
      <c r="H7" s="82">
        <f>Piano_indicatori!G64</f>
        <v>0.16</v>
      </c>
      <c r="I7" s="82">
        <f>Piano_indicatori!H64</f>
        <v>0.11</v>
      </c>
      <c r="J7" s="82">
        <f>Piano_indicatori!I64</f>
        <v>0.03</v>
      </c>
      <c r="K7" s="82">
        <f>Piano_indicatori!J64</f>
        <v>0.19</v>
      </c>
      <c r="L7" s="82">
        <f>Piano_indicatori!K64</f>
        <v>0.76</v>
      </c>
    </row>
    <row r="8" spans="1:12" ht="29.25" customHeight="1" x14ac:dyDescent="0.3">
      <c r="A8" s="70" t="s">
        <v>319</v>
      </c>
      <c r="B8" s="70" t="s">
        <v>323</v>
      </c>
      <c r="C8" s="74" t="s">
        <v>326</v>
      </c>
      <c r="D8" s="84" t="s">
        <v>334</v>
      </c>
      <c r="E8" s="79">
        <f>Piano_indicatori!D65+Piano_indicatori!D66</f>
        <v>0.5</v>
      </c>
      <c r="F8" s="79">
        <f>Piano_indicatori!E65+Piano_indicatori!E66</f>
        <v>7.95</v>
      </c>
      <c r="G8" s="79">
        <f>Piano_indicatori!F65+Piano_indicatori!F66</f>
        <v>0.06</v>
      </c>
      <c r="H8" s="79">
        <f>Piano_indicatori!G65+Piano_indicatori!G66</f>
        <v>0</v>
      </c>
      <c r="I8" s="79">
        <f>Piano_indicatori!H65+Piano_indicatori!H66</f>
        <v>0</v>
      </c>
      <c r="J8" s="79">
        <f>Piano_indicatori!I65+Piano_indicatori!I66</f>
        <v>0.18</v>
      </c>
      <c r="K8" s="79">
        <f>Piano_indicatori!J65+Piano_indicatori!J66</f>
        <v>0.06</v>
      </c>
      <c r="L8" s="79">
        <f>Piano_indicatori!K65+Piano_indicatori!K66</f>
        <v>0.04</v>
      </c>
    </row>
    <row r="9" spans="1:12" ht="29.25" customHeight="1" x14ac:dyDescent="0.3">
      <c r="A9" s="71" t="s">
        <v>320</v>
      </c>
      <c r="B9" s="71"/>
      <c r="C9" s="76" t="s">
        <v>327</v>
      </c>
      <c r="D9" s="86" t="s">
        <v>335</v>
      </c>
      <c r="E9" s="83">
        <f>Piano_indicatori!D76</f>
        <v>57.380059963933995</v>
      </c>
      <c r="F9" s="83">
        <f>Piano_indicatori!E76</f>
        <v>55.178492771522158</v>
      </c>
      <c r="G9" s="83">
        <f>Piano_indicatori!F76</f>
        <v>57.471545801371285</v>
      </c>
      <c r="H9" s="83">
        <f>Piano_indicatori!G76</f>
        <v>52.254612358485716</v>
      </c>
      <c r="I9" s="83">
        <f>Piano_indicatori!H76</f>
        <v>56.485345589563693</v>
      </c>
      <c r="J9" s="83">
        <f>Piano_indicatori!I76</f>
        <v>56.253132804701252</v>
      </c>
      <c r="K9" s="83">
        <f>Piano_indicatori!J76</f>
        <v>61.085743924912393</v>
      </c>
      <c r="L9" s="83">
        <f>Piano_indicatori!K76</f>
        <v>52.946621249367254</v>
      </c>
    </row>
  </sheetData>
  <conditionalFormatting sqref="E2:H2 L2">
    <cfRule type="cellIs" dxfId="31" priority="32" operator="greaterThan">
      <formula>48</formula>
    </cfRule>
  </conditionalFormatting>
  <conditionalFormatting sqref="E3:H3 L3">
    <cfRule type="cellIs" dxfId="30" priority="31" operator="lessThan">
      <formula>22</formula>
    </cfRule>
  </conditionalFormatting>
  <conditionalFormatting sqref="E4:H4 L4">
    <cfRule type="cellIs" dxfId="29" priority="30" operator="greaterThan">
      <formula>0</formula>
    </cfRule>
  </conditionalFormatting>
  <conditionalFormatting sqref="E5:H5 L5">
    <cfRule type="cellIs" dxfId="28" priority="29" operator="greaterThan">
      <formula>16</formula>
    </cfRule>
  </conditionalFormatting>
  <conditionalFormatting sqref="E6:H6 L6">
    <cfRule type="cellIs" dxfId="27" priority="28" operator="greaterThan">
      <formula>1.2</formula>
    </cfRule>
  </conditionalFormatting>
  <conditionalFormatting sqref="E7:H7 L7">
    <cfRule type="cellIs" dxfId="26" priority="27" operator="greaterThan">
      <formula>1</formula>
    </cfRule>
  </conditionalFormatting>
  <conditionalFormatting sqref="E8:H8 L8">
    <cfRule type="cellIs" dxfId="25" priority="26" operator="greaterThan">
      <formula>0.6</formula>
    </cfRule>
  </conditionalFormatting>
  <conditionalFormatting sqref="E9:H9 L9">
    <cfRule type="cellIs" dxfId="24" priority="25" operator="lessThan">
      <formula>47</formula>
    </cfRule>
  </conditionalFormatting>
  <conditionalFormatting sqref="I2">
    <cfRule type="cellIs" dxfId="23" priority="24" operator="greaterThan">
      <formula>48</formula>
    </cfRule>
  </conditionalFormatting>
  <conditionalFormatting sqref="I3">
    <cfRule type="cellIs" dxfId="22" priority="23" operator="lessThan">
      <formula>22</formula>
    </cfRule>
  </conditionalFormatting>
  <conditionalFormatting sqref="I4">
    <cfRule type="cellIs" dxfId="21" priority="22" operator="greaterThan">
      <formula>0</formula>
    </cfRule>
  </conditionalFormatting>
  <conditionalFormatting sqref="I5">
    <cfRule type="cellIs" dxfId="20" priority="21" operator="greaterThan">
      <formula>16</formula>
    </cfRule>
  </conditionalFormatting>
  <conditionalFormatting sqref="I6">
    <cfRule type="cellIs" dxfId="19" priority="20" operator="greaterThan">
      <formula>1.2</formula>
    </cfRule>
  </conditionalFormatting>
  <conditionalFormatting sqref="I7">
    <cfRule type="cellIs" dxfId="18" priority="19" operator="greaterThan">
      <formula>1</formula>
    </cfRule>
  </conditionalFormatting>
  <conditionalFormatting sqref="I8">
    <cfRule type="cellIs" dxfId="17" priority="18" operator="greaterThan">
      <formula>0.6</formula>
    </cfRule>
  </conditionalFormatting>
  <conditionalFormatting sqref="I9">
    <cfRule type="cellIs" dxfId="16" priority="17" operator="lessThan">
      <formula>47</formula>
    </cfRule>
  </conditionalFormatting>
  <conditionalFormatting sqref="J2">
    <cfRule type="cellIs" dxfId="15" priority="16" operator="greaterThan">
      <formula>48</formula>
    </cfRule>
  </conditionalFormatting>
  <conditionalFormatting sqref="J3">
    <cfRule type="cellIs" dxfId="14" priority="15" operator="lessThan">
      <formula>22</formula>
    </cfRule>
  </conditionalFormatting>
  <conditionalFormatting sqref="J4">
    <cfRule type="cellIs" dxfId="13" priority="14" operator="greaterThan">
      <formula>0</formula>
    </cfRule>
  </conditionalFormatting>
  <conditionalFormatting sqref="J5">
    <cfRule type="cellIs" dxfId="12" priority="13" operator="greaterThan">
      <formula>16</formula>
    </cfRule>
  </conditionalFormatting>
  <conditionalFormatting sqref="J6">
    <cfRule type="cellIs" dxfId="11" priority="12" operator="greaterThan">
      <formula>1.2</formula>
    </cfRule>
  </conditionalFormatting>
  <conditionalFormatting sqref="J7">
    <cfRule type="cellIs" dxfId="10" priority="11" operator="greaterThan">
      <formula>1</formula>
    </cfRule>
  </conditionalFormatting>
  <conditionalFormatting sqref="J8">
    <cfRule type="cellIs" dxfId="9" priority="10" operator="greaterThan">
      <formula>0.6</formula>
    </cfRule>
  </conditionalFormatting>
  <conditionalFormatting sqref="J9">
    <cfRule type="cellIs" dxfId="8" priority="9" operator="lessThan">
      <formula>47</formula>
    </cfRule>
  </conditionalFormatting>
  <conditionalFormatting sqref="K2">
    <cfRule type="cellIs" dxfId="7" priority="8" operator="greaterThan">
      <formula>48</formula>
    </cfRule>
  </conditionalFormatting>
  <conditionalFormatting sqref="K3">
    <cfRule type="cellIs" dxfId="6" priority="7" operator="lessThan">
      <formula>22</formula>
    </cfRule>
  </conditionalFormatting>
  <conditionalFormatting sqref="K4">
    <cfRule type="cellIs" dxfId="5" priority="6" operator="greaterThan">
      <formula>0</formula>
    </cfRule>
  </conditionalFormatting>
  <conditionalFormatting sqref="K5">
    <cfRule type="cellIs" dxfId="4" priority="5" operator="greaterThan">
      <formula>16</formula>
    </cfRule>
  </conditionalFormatting>
  <conditionalFormatting sqref="K6">
    <cfRule type="cellIs" dxfId="3" priority="4" operator="greaterThan">
      <formula>1.2</formula>
    </cfRule>
  </conditionalFormatting>
  <conditionalFormatting sqref="K7">
    <cfRule type="cellIs" dxfId="2" priority="3" operator="greaterThan">
      <formula>1</formula>
    </cfRule>
  </conditionalFormatting>
  <conditionalFormatting sqref="K8">
    <cfRule type="cellIs" dxfId="1" priority="2" operator="greaterThan">
      <formula>0.6</formula>
    </cfRule>
  </conditionalFormatting>
  <conditionalFormatting sqref="K9">
    <cfRule type="cellIs" dxfId="0" priority="1" operator="lessThan">
      <formula>47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workbookViewId="0">
      <selection activeCell="B3" sqref="B3"/>
    </sheetView>
  </sheetViews>
  <sheetFormatPr defaultRowHeight="14.4" x14ac:dyDescent="0.3"/>
  <cols>
    <col min="2" max="2" width="12.33203125" bestFit="1" customWidth="1"/>
    <col min="5" max="5" width="10.33203125" customWidth="1"/>
    <col min="6" max="6" width="10" style="100" customWidth="1"/>
    <col min="7" max="7" width="8.88671875" style="100"/>
  </cols>
  <sheetData>
    <row r="1" spans="1:21" ht="28.8" x14ac:dyDescent="0.3">
      <c r="A1" s="94" t="s">
        <v>336</v>
      </c>
      <c r="B1" s="94" t="s">
        <v>337</v>
      </c>
      <c r="C1" s="94" t="s">
        <v>355</v>
      </c>
      <c r="D1" s="94" t="s">
        <v>351</v>
      </c>
      <c r="E1" s="94" t="s">
        <v>352</v>
      </c>
      <c r="F1" s="94" t="s">
        <v>364</v>
      </c>
      <c r="G1" s="94" t="s">
        <v>353</v>
      </c>
    </row>
    <row r="2" spans="1:21" s="100" customFormat="1" x14ac:dyDescent="0.3">
      <c r="A2" s="29">
        <v>2024</v>
      </c>
      <c r="B2" s="1">
        <v>198034</v>
      </c>
      <c r="C2" s="1">
        <v>260972</v>
      </c>
      <c r="D2" s="94"/>
    </row>
    <row r="3" spans="1:21" s="100" customFormat="1" x14ac:dyDescent="0.3">
      <c r="A3" s="29">
        <v>2023</v>
      </c>
      <c r="B3" s="1">
        <v>196317</v>
      </c>
      <c r="C3" s="1">
        <v>259244</v>
      </c>
      <c r="D3" s="1">
        <v>-705</v>
      </c>
      <c r="E3" s="1">
        <v>2422</v>
      </c>
      <c r="G3" s="1">
        <f t="shared" ref="G3:G4" si="0">B2-B3-D3-E3-F3</f>
        <v>0</v>
      </c>
    </row>
    <row r="4" spans="1:21" s="100" customFormat="1" x14ac:dyDescent="0.3">
      <c r="A4" s="29">
        <v>2022</v>
      </c>
      <c r="B4" s="1">
        <v>195213</v>
      </c>
      <c r="C4" s="1">
        <v>258123</v>
      </c>
      <c r="D4" s="1">
        <v>-1022</v>
      </c>
      <c r="E4" s="1">
        <v>2028</v>
      </c>
      <c r="F4" s="1">
        <v>98</v>
      </c>
      <c r="G4" s="1">
        <f t="shared" si="0"/>
        <v>0</v>
      </c>
    </row>
    <row r="5" spans="1:21" s="100" customFormat="1" x14ac:dyDescent="0.3">
      <c r="A5" s="29">
        <v>2021</v>
      </c>
      <c r="B5" s="1">
        <v>201410</v>
      </c>
      <c r="C5" s="1">
        <v>265269</v>
      </c>
      <c r="D5" s="1">
        <v>-1070</v>
      </c>
      <c r="E5" s="1">
        <v>497</v>
      </c>
      <c r="F5" s="1">
        <v>-5624</v>
      </c>
      <c r="G5" s="1">
        <f>B4-B5-D5-E5-F5</f>
        <v>0</v>
      </c>
    </row>
    <row r="6" spans="1:21" x14ac:dyDescent="0.3">
      <c r="A6" s="29">
        <v>2020</v>
      </c>
      <c r="B6" s="1">
        <v>194223</v>
      </c>
      <c r="C6" s="1">
        <v>257073</v>
      </c>
      <c r="D6" s="1">
        <v>-817</v>
      </c>
      <c r="E6" s="1">
        <v>254</v>
      </c>
      <c r="F6" s="1">
        <v>7750</v>
      </c>
      <c r="G6" s="1">
        <f t="shared" ref="G6:G11" si="1">B5-B6-D6-E6-F6</f>
        <v>0</v>
      </c>
    </row>
    <row r="7" spans="1:21" x14ac:dyDescent="0.3">
      <c r="A7" s="29">
        <v>2019</v>
      </c>
      <c r="B7" s="1">
        <v>193723</v>
      </c>
      <c r="C7" s="1">
        <v>256534</v>
      </c>
      <c r="D7" s="1">
        <v>-461</v>
      </c>
      <c r="E7" s="1">
        <v>893</v>
      </c>
      <c r="F7" s="1">
        <v>68</v>
      </c>
      <c r="G7" s="1">
        <f t="shared" si="1"/>
        <v>0</v>
      </c>
      <c r="L7" s="117"/>
      <c r="M7" s="118"/>
      <c r="N7" s="118"/>
      <c r="O7" s="118"/>
      <c r="P7" s="118"/>
      <c r="Q7" s="118"/>
      <c r="R7" s="118"/>
      <c r="S7" s="117"/>
      <c r="T7" s="118"/>
      <c r="U7" s="118"/>
    </row>
    <row r="8" spans="1:21" x14ac:dyDescent="0.3">
      <c r="A8" s="29">
        <v>2018</v>
      </c>
      <c r="B8" s="1">
        <v>192934</v>
      </c>
      <c r="C8" s="1">
        <v>255259</v>
      </c>
      <c r="D8" s="1">
        <v>-566</v>
      </c>
      <c r="E8" s="1">
        <v>1355</v>
      </c>
      <c r="F8" s="1"/>
      <c r="G8" s="1">
        <f t="shared" si="1"/>
        <v>0</v>
      </c>
      <c r="L8" s="117"/>
      <c r="M8" s="118"/>
      <c r="N8" s="118"/>
      <c r="O8" s="118"/>
      <c r="P8" s="118"/>
      <c r="Q8" s="118"/>
      <c r="R8" s="118"/>
      <c r="S8" s="118"/>
      <c r="T8" s="118"/>
      <c r="U8" s="118"/>
    </row>
    <row r="9" spans="1:21" x14ac:dyDescent="0.3">
      <c r="A9" s="29">
        <v>2017</v>
      </c>
      <c r="B9" s="1">
        <v>192974</v>
      </c>
      <c r="C9" s="1">
        <v>254606</v>
      </c>
      <c r="D9" s="1">
        <v>-285</v>
      </c>
      <c r="E9" s="1">
        <v>245</v>
      </c>
      <c r="F9" s="1"/>
      <c r="G9" s="1">
        <f t="shared" si="1"/>
        <v>0</v>
      </c>
      <c r="L9" s="117"/>
      <c r="M9" s="118"/>
      <c r="N9" s="118"/>
      <c r="O9" s="118"/>
      <c r="P9" s="118"/>
      <c r="Q9" s="118"/>
      <c r="R9" s="118"/>
      <c r="S9" s="118"/>
      <c r="T9" s="118"/>
      <c r="U9" s="118"/>
    </row>
    <row r="10" spans="1:21" x14ac:dyDescent="0.3">
      <c r="A10" s="29">
        <v>2016</v>
      </c>
      <c r="B10" s="1">
        <v>191844</v>
      </c>
      <c r="C10" s="1">
        <v>253400</v>
      </c>
      <c r="D10" s="1">
        <v>-216</v>
      </c>
      <c r="E10" s="1">
        <v>1346</v>
      </c>
      <c r="F10" s="1"/>
      <c r="G10" s="1">
        <f t="shared" si="1"/>
        <v>0</v>
      </c>
      <c r="L10" s="117"/>
      <c r="M10" s="118"/>
      <c r="N10" s="118"/>
      <c r="O10" s="118"/>
      <c r="P10" s="118"/>
      <c r="Q10" s="118"/>
      <c r="R10" s="118"/>
      <c r="S10" s="118"/>
      <c r="T10" s="118"/>
      <c r="U10" s="118"/>
    </row>
    <row r="11" spans="1:21" x14ac:dyDescent="0.3">
      <c r="A11" s="29">
        <v>2015</v>
      </c>
      <c r="B11" s="1">
        <v>190994</v>
      </c>
      <c r="C11" s="1">
        <v>252588</v>
      </c>
      <c r="D11" s="1">
        <v>-269</v>
      </c>
      <c r="E11" s="1">
        <v>1119</v>
      </c>
      <c r="F11" s="1"/>
      <c r="G11" s="1">
        <f t="shared" si="1"/>
        <v>0</v>
      </c>
    </row>
    <row r="22" spans="6:6" ht="9" customHeight="1" x14ac:dyDescent="0.3"/>
    <row r="23" spans="6:6" hidden="1" x14ac:dyDescent="0.3"/>
    <row r="24" spans="6:6" hidden="1" x14ac:dyDescent="0.3"/>
    <row r="25" spans="6:6" hidden="1" x14ac:dyDescent="0.3"/>
    <row r="26" spans="6:6" hidden="1" x14ac:dyDescent="0.3"/>
    <row r="27" spans="6:6" hidden="1" x14ac:dyDescent="0.3"/>
    <row r="28" spans="6:6" hidden="1" x14ac:dyDescent="0.3"/>
    <row r="29" spans="6:6" s="100" customFormat="1" hidden="1" x14ac:dyDescent="0.3"/>
    <row r="30" spans="6:6" hidden="1" x14ac:dyDescent="0.3"/>
    <row r="31" spans="6:6" hidden="1" x14ac:dyDescent="0.3"/>
    <row r="32" spans="6:6" hidden="1" x14ac:dyDescent="0.3">
      <c r="F32" s="117"/>
    </row>
    <row r="33" spans="6:6" hidden="1" x14ac:dyDescent="0.3">
      <c r="F33" s="117"/>
    </row>
    <row r="34" spans="6:6" hidden="1" x14ac:dyDescent="0.3">
      <c r="F34" s="117"/>
    </row>
    <row r="35" spans="6:6" hidden="1" x14ac:dyDescent="0.3">
      <c r="F35" s="117"/>
    </row>
    <row r="36" spans="6:6" x14ac:dyDescent="0.3">
      <c r="F36" s="117"/>
    </row>
    <row r="37" spans="6:6" x14ac:dyDescent="0.3">
      <c r="F37" s="117"/>
    </row>
    <row r="38" spans="6:6" x14ac:dyDescent="0.3">
      <c r="F38" s="117"/>
    </row>
    <row r="39" spans="6:6" x14ac:dyDescent="0.3">
      <c r="F39" s="117"/>
    </row>
    <row r="40" spans="6:6" x14ac:dyDescent="0.3">
      <c r="F40" s="117"/>
    </row>
  </sheetData>
  <sortState ref="A2:B6">
    <sortCondition descending="1" ref="A2:A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topLeftCell="B1" workbookViewId="0">
      <selection activeCell="I1" sqref="I1:L1"/>
    </sheetView>
  </sheetViews>
  <sheetFormatPr defaultRowHeight="14.4" x14ac:dyDescent="0.3"/>
  <cols>
    <col min="1" max="1" width="55.6640625" bestFit="1" customWidth="1"/>
    <col min="2" max="3" width="12.5546875" bestFit="1" customWidth="1"/>
    <col min="4" max="8" width="12.5546875" style="100" bestFit="1" customWidth="1"/>
    <col min="9" max="9" width="12.5546875" bestFit="1" customWidth="1"/>
    <col min="10" max="10" width="8.44140625" customWidth="1"/>
    <col min="11" max="11" width="6.5546875" style="100" bestFit="1" customWidth="1"/>
    <col min="12" max="12" width="12.5546875" bestFit="1" customWidth="1"/>
    <col min="13" max="13" width="7" bestFit="1" customWidth="1"/>
  </cols>
  <sheetData>
    <row r="1" spans="1:13" ht="28.8" x14ac:dyDescent="0.3">
      <c r="A1" s="39"/>
      <c r="B1" s="40">
        <v>2016</v>
      </c>
      <c r="C1" s="40">
        <v>2017</v>
      </c>
      <c r="D1" s="115">
        <v>2018</v>
      </c>
      <c r="E1" s="115">
        <v>2019</v>
      </c>
      <c r="F1" s="115">
        <v>2020</v>
      </c>
      <c r="G1" s="115">
        <v>2021</v>
      </c>
      <c r="H1" s="115">
        <v>2022</v>
      </c>
      <c r="I1" s="115">
        <v>2023</v>
      </c>
      <c r="J1" s="116" t="s">
        <v>297</v>
      </c>
      <c r="K1" s="115" t="s">
        <v>233</v>
      </c>
      <c r="L1" s="116" t="s">
        <v>366</v>
      </c>
      <c r="M1" s="40" t="s">
        <v>269</v>
      </c>
    </row>
    <row r="2" spans="1:13" x14ac:dyDescent="0.3">
      <c r="A2" s="50" t="s">
        <v>20</v>
      </c>
      <c r="B2" s="51">
        <f>Entrate_Uscite!B3</f>
        <v>142689436.56999999</v>
      </c>
      <c r="C2" s="51">
        <f>Entrate_Uscite!E3</f>
        <v>145192439.15000001</v>
      </c>
      <c r="D2" s="112">
        <f>Entrate_Uscite!H3</f>
        <v>146087569.22999999</v>
      </c>
      <c r="E2" s="112">
        <f>Entrate_Uscite!K3</f>
        <v>147795813.62</v>
      </c>
      <c r="F2" s="112">
        <f>Entrate_Uscite!N3</f>
        <v>144757931.81</v>
      </c>
      <c r="G2" s="112">
        <f>Entrate_Uscite!Q3</f>
        <v>143517511.33000001</v>
      </c>
      <c r="H2" s="112">
        <f>Entrate_Uscite!T3</f>
        <v>148861560.5</v>
      </c>
      <c r="I2" s="51">
        <f>Entrate_Uscite!W3</f>
        <v>155203640.88</v>
      </c>
      <c r="J2" s="51">
        <f>I2/I$21*100</f>
        <v>59.416083883348769</v>
      </c>
      <c r="K2" s="52">
        <f>IF(H2&gt;0,I2/H2*100-100,"-")</f>
        <v>4.2603882148608818</v>
      </c>
      <c r="L2" s="51">
        <f>Entrate_Uscite!X3</f>
        <v>95136746.719999999</v>
      </c>
      <c r="M2" s="53">
        <f>IF(I2&gt;0,L2/I2*100,"-")</f>
        <v>61.298012199055051</v>
      </c>
    </row>
    <row r="3" spans="1:13" x14ac:dyDescent="0.3">
      <c r="A3" s="50" t="s">
        <v>21</v>
      </c>
      <c r="B3" s="51">
        <f>Entrate_Uscite!B4</f>
        <v>16962622.129999999</v>
      </c>
      <c r="C3" s="51">
        <f>Entrate_Uscite!E4</f>
        <v>18662716.600000001</v>
      </c>
      <c r="D3" s="112">
        <f>Entrate_Uscite!H4</f>
        <v>14801797.310000001</v>
      </c>
      <c r="E3" s="112">
        <f>Entrate_Uscite!K4</f>
        <v>14398532.470000001</v>
      </c>
      <c r="F3" s="112">
        <f>Entrate_Uscite!N4</f>
        <v>35883783.649999999</v>
      </c>
      <c r="G3" s="112">
        <f>Entrate_Uscite!Q4</f>
        <v>21633329.699999999</v>
      </c>
      <c r="H3" s="112">
        <f>Entrate_Uscite!T4</f>
        <v>13570442.539999999</v>
      </c>
      <c r="I3" s="51">
        <f>Entrate_Uscite!W4</f>
        <v>15200179.699999999</v>
      </c>
      <c r="J3" s="51">
        <f t="shared" ref="J3:J21" si="0">I3/I$21*100</f>
        <v>5.8190332841190182</v>
      </c>
      <c r="K3" s="52">
        <f t="shared" ref="K3:K21" si="1">IF(H3&gt;0,I3/H3*100-100,"-")</f>
        <v>12.009462146840207</v>
      </c>
      <c r="L3" s="51">
        <f>Entrate_Uscite!X4</f>
        <v>12664039.26</v>
      </c>
      <c r="M3" s="53">
        <f t="shared" ref="M3:M21" si="2">IF(I3&gt;0,L3/I3*100,"-")</f>
        <v>83.315062781790672</v>
      </c>
    </row>
    <row r="4" spans="1:13" x14ac:dyDescent="0.3">
      <c r="A4" s="50" t="s">
        <v>22</v>
      </c>
      <c r="B4" s="51">
        <f>Entrate_Uscite!B5</f>
        <v>50947748.729999997</v>
      </c>
      <c r="C4" s="51">
        <f>Entrate_Uscite!E5</f>
        <v>45962648</v>
      </c>
      <c r="D4" s="112">
        <f>Entrate_Uscite!H5</f>
        <v>42018194.710000001</v>
      </c>
      <c r="E4" s="112">
        <f>Entrate_Uscite!K5</f>
        <v>40905090.450000003</v>
      </c>
      <c r="F4" s="112">
        <f>Entrate_Uscite!N5</f>
        <v>35691459.520000003</v>
      </c>
      <c r="G4" s="112">
        <f>Entrate_Uscite!Q5</f>
        <v>44888590.689999998</v>
      </c>
      <c r="H4" s="112">
        <f>Entrate_Uscite!T5</f>
        <v>58783593.630000003</v>
      </c>
      <c r="I4" s="51">
        <f>Entrate_Uscite!W5</f>
        <v>68042341.180000007</v>
      </c>
      <c r="J4" s="51">
        <f t="shared" si="0"/>
        <v>26.048418891771536</v>
      </c>
      <c r="K4" s="52">
        <f t="shared" si="1"/>
        <v>15.75056402348774</v>
      </c>
      <c r="L4" s="51">
        <f>Entrate_Uscite!X5</f>
        <v>37417658.420000002</v>
      </c>
      <c r="M4" s="53">
        <f t="shared" si="2"/>
        <v>54.991726873440307</v>
      </c>
    </row>
    <row r="5" spans="1:13" x14ac:dyDescent="0.3">
      <c r="A5" s="4" t="s">
        <v>31</v>
      </c>
      <c r="B5" s="41">
        <f t="shared" ref="B5:I5" si="3">SUM(B2:B4)</f>
        <v>210599807.42999998</v>
      </c>
      <c r="C5" s="41">
        <f t="shared" si="3"/>
        <v>209817803.75</v>
      </c>
      <c r="D5" s="41">
        <f t="shared" si="3"/>
        <v>202907561.25</v>
      </c>
      <c r="E5" s="41">
        <f t="shared" si="3"/>
        <v>203099436.54000002</v>
      </c>
      <c r="F5" s="41">
        <f t="shared" si="3"/>
        <v>216333174.98000002</v>
      </c>
      <c r="G5" s="41">
        <f t="shared" ref="G5:H5" si="4">SUM(G2:G4)</f>
        <v>210039431.72</v>
      </c>
      <c r="H5" s="41">
        <f t="shared" si="4"/>
        <v>221215596.66999999</v>
      </c>
      <c r="I5" s="41">
        <f t="shared" si="3"/>
        <v>238446161.75999999</v>
      </c>
      <c r="J5" s="41">
        <f t="shared" si="0"/>
        <v>91.28353605923931</v>
      </c>
      <c r="K5" s="104">
        <f t="shared" si="1"/>
        <v>7.7890371878723386</v>
      </c>
      <c r="L5" s="41">
        <f>SUM(L2:L4)</f>
        <v>145218444.40000001</v>
      </c>
      <c r="M5" s="42">
        <f>IF(I5&gt;0,L5/I5*100,"-")</f>
        <v>60.901984468160478</v>
      </c>
    </row>
    <row r="6" spans="1:13" x14ac:dyDescent="0.3">
      <c r="A6" s="50" t="s">
        <v>23</v>
      </c>
      <c r="B6" s="51">
        <f>Entrate_Uscite!B6</f>
        <v>33431.839999999997</v>
      </c>
      <c r="C6" s="51">
        <f>Entrate_Uscite!E6</f>
        <v>40681.17</v>
      </c>
      <c r="D6" s="112">
        <f>Entrate_Uscite!H6</f>
        <v>34544.44</v>
      </c>
      <c r="E6" s="112">
        <f>Entrate_Uscite!K6</f>
        <v>16325.24</v>
      </c>
      <c r="F6" s="112">
        <f>Entrate_Uscite!N6</f>
        <v>17326.240000000002</v>
      </c>
      <c r="G6" s="112">
        <f>Entrate_Uscite!Q6</f>
        <v>33032.910000000003</v>
      </c>
      <c r="H6" s="112">
        <f>Entrate_Uscite!T6</f>
        <v>29517.54</v>
      </c>
      <c r="I6" s="51">
        <f>Entrate_Uscite!W6</f>
        <v>57968.66</v>
      </c>
      <c r="J6" s="51">
        <f t="shared" si="0"/>
        <v>2.2191945663364677E-2</v>
      </c>
      <c r="K6" s="52">
        <f t="shared" si="1"/>
        <v>96.387165055082505</v>
      </c>
      <c r="L6" s="51">
        <f>Entrate_Uscite!X6</f>
        <v>57968.66</v>
      </c>
      <c r="M6" s="53">
        <f t="shared" si="2"/>
        <v>100</v>
      </c>
    </row>
    <row r="7" spans="1:13" x14ac:dyDescent="0.3">
      <c r="A7" s="50" t="s">
        <v>24</v>
      </c>
      <c r="B7" s="51">
        <f>Entrate_Uscite!B7</f>
        <v>5347105.97</v>
      </c>
      <c r="C7" s="51">
        <f>Entrate_Uscite!E7</f>
        <v>3286708.25</v>
      </c>
      <c r="D7" s="112">
        <f>Entrate_Uscite!H7</f>
        <v>5601290.6699999999</v>
      </c>
      <c r="E7" s="112">
        <f>Entrate_Uscite!K7</f>
        <v>8494092.5700000003</v>
      </c>
      <c r="F7" s="112">
        <f>Entrate_Uscite!N7</f>
        <v>11105243.859999999</v>
      </c>
      <c r="G7" s="112">
        <f>Entrate_Uscite!Q7</f>
        <v>7250931.0499999998</v>
      </c>
      <c r="H7" s="112">
        <f>Entrate_Uscite!T7</f>
        <v>27100707.850000001</v>
      </c>
      <c r="I7" s="51">
        <f>Entrate_Uscite!W7</f>
        <v>11096064.42</v>
      </c>
      <c r="J7" s="51">
        <f t="shared" si="0"/>
        <v>4.2478687395194932</v>
      </c>
      <c r="K7" s="52">
        <f t="shared" si="1"/>
        <v>-59.056182290825291</v>
      </c>
      <c r="L7" s="51">
        <f>Entrate_Uscite!X7</f>
        <v>4783322.42</v>
      </c>
      <c r="M7" s="53">
        <f t="shared" si="2"/>
        <v>43.108279106404105</v>
      </c>
    </row>
    <row r="8" spans="1:13" x14ac:dyDescent="0.3">
      <c r="A8" s="50" t="s">
        <v>25</v>
      </c>
      <c r="B8" s="51">
        <f>Entrate_Uscite!B8</f>
        <v>2000000</v>
      </c>
      <c r="C8" s="51">
        <f>Entrate_Uscite!E8</f>
        <v>0</v>
      </c>
      <c r="D8" s="112">
        <f>Entrate_Uscite!H8</f>
        <v>0</v>
      </c>
      <c r="E8" s="112">
        <f>Entrate_Uscite!K8</f>
        <v>0</v>
      </c>
      <c r="F8" s="112">
        <f>Entrate_Uscite!N8</f>
        <v>0</v>
      </c>
      <c r="G8" s="112">
        <f>Entrate_Uscite!Q8</f>
        <v>6260</v>
      </c>
      <c r="H8" s="112">
        <f>Entrate_Uscite!T8</f>
        <v>20000</v>
      </c>
      <c r="I8" s="51">
        <f>Entrate_Uscite!W8</f>
        <v>0</v>
      </c>
      <c r="J8" s="51">
        <f t="shared" si="0"/>
        <v>0</v>
      </c>
      <c r="K8" s="52">
        <f t="shared" si="1"/>
        <v>-100</v>
      </c>
      <c r="L8" s="51">
        <f>Entrate_Uscite!X8</f>
        <v>0</v>
      </c>
      <c r="M8" s="53" t="str">
        <f t="shared" si="2"/>
        <v>-</v>
      </c>
    </row>
    <row r="9" spans="1:13" x14ac:dyDescent="0.3">
      <c r="A9" s="50" t="s">
        <v>26</v>
      </c>
      <c r="B9" s="51">
        <f>Entrate_Uscite!B9</f>
        <v>2640470.15</v>
      </c>
      <c r="C9" s="51">
        <f>Entrate_Uscite!E9</f>
        <v>1669920.45</v>
      </c>
      <c r="D9" s="112">
        <f>Entrate_Uscite!H9</f>
        <v>37321330.049999997</v>
      </c>
      <c r="E9" s="112">
        <f>Entrate_Uscite!K9</f>
        <v>2170840.42</v>
      </c>
      <c r="F9" s="112">
        <f>Entrate_Uscite!N9</f>
        <v>800777.83</v>
      </c>
      <c r="G9" s="112">
        <f>Entrate_Uscite!Q9</f>
        <v>1020241.42</v>
      </c>
      <c r="H9" s="112">
        <f>Entrate_Uscite!T9</f>
        <v>664233.59</v>
      </c>
      <c r="I9" s="51">
        <f>Entrate_Uscite!W9</f>
        <v>884465.71</v>
      </c>
      <c r="J9" s="51">
        <f t="shared" si="0"/>
        <v>0.33859701047823526</v>
      </c>
      <c r="K9" s="52">
        <f t="shared" si="1"/>
        <v>33.155823992580679</v>
      </c>
      <c r="L9" s="51">
        <f>Entrate_Uscite!X9</f>
        <v>855454.9</v>
      </c>
      <c r="M9" s="53">
        <f t="shared" si="2"/>
        <v>96.719962156588295</v>
      </c>
    </row>
    <row r="10" spans="1:13" x14ac:dyDescent="0.3">
      <c r="A10" s="50" t="s">
        <v>27</v>
      </c>
      <c r="B10" s="51">
        <f>Entrate_Uscite!B10</f>
        <v>4088868.53</v>
      </c>
      <c r="C10" s="51">
        <f>Entrate_Uscite!E10</f>
        <v>4939590.88</v>
      </c>
      <c r="D10" s="112">
        <f>Entrate_Uscite!H10</f>
        <v>5601521.1900000004</v>
      </c>
      <c r="E10" s="112">
        <f>Entrate_Uscite!K10</f>
        <v>4932091.79</v>
      </c>
      <c r="F10" s="112">
        <f>Entrate_Uscite!N10</f>
        <v>6063052.1399999997</v>
      </c>
      <c r="G10" s="112">
        <f>Entrate_Uscite!Q10</f>
        <v>6476832.8600000003</v>
      </c>
      <c r="H10" s="112">
        <f>Entrate_Uscite!T10</f>
        <v>5300923.78</v>
      </c>
      <c r="I10" s="51">
        <f>Entrate_Uscite!W10</f>
        <v>4637044.21</v>
      </c>
      <c r="J10" s="51">
        <f t="shared" si="0"/>
        <v>1.7751839208796576</v>
      </c>
      <c r="K10" s="52">
        <f t="shared" si="1"/>
        <v>-12.523846739784673</v>
      </c>
      <c r="L10" s="51">
        <f>Entrate_Uscite!X10</f>
        <v>4612464.2</v>
      </c>
      <c r="M10" s="53">
        <f t="shared" si="2"/>
        <v>99.469920732112243</v>
      </c>
    </row>
    <row r="11" spans="1:13" x14ac:dyDescent="0.3">
      <c r="A11" s="4" t="s">
        <v>32</v>
      </c>
      <c r="B11" s="43">
        <f t="shared" ref="B11:I11" si="5">SUM(B6:B10)</f>
        <v>14109876.489999998</v>
      </c>
      <c r="C11" s="43">
        <f t="shared" si="5"/>
        <v>9936900.75</v>
      </c>
      <c r="D11" s="43">
        <f t="shared" si="5"/>
        <v>48558686.349999994</v>
      </c>
      <c r="E11" s="43">
        <f t="shared" si="5"/>
        <v>15613350.02</v>
      </c>
      <c r="F11" s="43">
        <f t="shared" si="5"/>
        <v>17986400.07</v>
      </c>
      <c r="G11" s="43">
        <f t="shared" ref="G11" si="6">SUM(G6:G10)</f>
        <v>14787298.24</v>
      </c>
      <c r="H11" s="43">
        <f t="shared" ref="H11" si="7">SUM(H6:H10)</f>
        <v>33115382.760000002</v>
      </c>
      <c r="I11" s="43">
        <f t="shared" si="5"/>
        <v>16675543</v>
      </c>
      <c r="J11" s="43">
        <f t="shared" si="0"/>
        <v>6.3838416165407512</v>
      </c>
      <c r="K11" s="104">
        <f t="shared" si="1"/>
        <v>-49.644118200734333</v>
      </c>
      <c r="L11" s="43">
        <f>SUM(L6:L10)</f>
        <v>10309210.18</v>
      </c>
      <c r="M11" s="42">
        <f>IF(I11&gt;0,L11/I11*100,"-")</f>
        <v>61.822335740431356</v>
      </c>
    </row>
    <row r="12" spans="1:13" x14ac:dyDescent="0.3">
      <c r="A12" s="50" t="s">
        <v>28</v>
      </c>
      <c r="B12" s="51">
        <f>Entrate_Uscite!B11</f>
        <v>131857.46</v>
      </c>
      <c r="C12" s="51">
        <f>Entrate_Uscite!E11</f>
        <v>6107.15</v>
      </c>
      <c r="D12" s="112">
        <f>Entrate_Uscite!H11</f>
        <v>0</v>
      </c>
      <c r="E12" s="112">
        <f>Entrate_Uscite!K11</f>
        <v>200.33</v>
      </c>
      <c r="F12" s="112">
        <f>Entrate_Uscite!N11</f>
        <v>33831.629999999997</v>
      </c>
      <c r="G12" s="112">
        <f>Entrate_Uscite!Q11</f>
        <v>0</v>
      </c>
      <c r="H12" s="112">
        <f>Entrate_Uscite!T11</f>
        <v>0</v>
      </c>
      <c r="I12" s="51">
        <f>Entrate_Uscite!W11</f>
        <v>0</v>
      </c>
      <c r="J12" s="51">
        <f t="shared" si="0"/>
        <v>0</v>
      </c>
      <c r="K12" s="52" t="str">
        <f t="shared" si="1"/>
        <v>-</v>
      </c>
      <c r="L12" s="51">
        <f>Entrate_Uscite!X11</f>
        <v>0</v>
      </c>
      <c r="M12" s="53" t="str">
        <f t="shared" si="2"/>
        <v>-</v>
      </c>
    </row>
    <row r="13" spans="1:13" x14ac:dyDescent="0.3">
      <c r="A13" s="50" t="s">
        <v>29</v>
      </c>
      <c r="B13" s="51">
        <f>Entrate_Uscite!B12</f>
        <v>920156.2</v>
      </c>
      <c r="C13" s="51">
        <f>Entrate_Uscite!E12</f>
        <v>0</v>
      </c>
      <c r="D13" s="112">
        <f>Entrate_Uscite!H12</f>
        <v>0</v>
      </c>
      <c r="E13" s="112">
        <f>Entrate_Uscite!K12</f>
        <v>0</v>
      </c>
      <c r="F13" s="112">
        <f>Entrate_Uscite!N12</f>
        <v>0</v>
      </c>
      <c r="G13" s="112">
        <f>Entrate_Uscite!Q12</f>
        <v>0</v>
      </c>
      <c r="H13" s="112">
        <f>Entrate_Uscite!T12</f>
        <v>0</v>
      </c>
      <c r="I13" s="51">
        <f>Entrate_Uscite!W12</f>
        <v>0</v>
      </c>
      <c r="J13" s="51">
        <f t="shared" si="0"/>
        <v>0</v>
      </c>
      <c r="K13" s="52" t="str">
        <f t="shared" si="1"/>
        <v>-</v>
      </c>
      <c r="L13" s="51">
        <f>Entrate_Uscite!X12</f>
        <v>0</v>
      </c>
      <c r="M13" s="53" t="str">
        <f t="shared" si="2"/>
        <v>-</v>
      </c>
    </row>
    <row r="14" spans="1:13" x14ac:dyDescent="0.3">
      <c r="A14" s="50" t="s">
        <v>30</v>
      </c>
      <c r="B14" s="51">
        <f>Entrate_Uscite!B13</f>
        <v>3000000</v>
      </c>
      <c r="C14" s="51">
        <f>Entrate_Uscite!E13</f>
        <v>0</v>
      </c>
      <c r="D14" s="112">
        <f>Entrate_Uscite!H13</f>
        <v>0</v>
      </c>
      <c r="E14" s="112">
        <f>Entrate_Uscite!K13</f>
        <v>0</v>
      </c>
      <c r="F14" s="112">
        <f>Entrate_Uscite!N13</f>
        <v>0</v>
      </c>
      <c r="G14" s="112">
        <f>Entrate_Uscite!Q13</f>
        <v>0</v>
      </c>
      <c r="H14" s="112">
        <f>Entrate_Uscite!T13</f>
        <v>10111719.25</v>
      </c>
      <c r="I14" s="51">
        <f>Entrate_Uscite!W13</f>
        <v>2986846.9</v>
      </c>
      <c r="J14" s="51">
        <f t="shared" si="0"/>
        <v>1.1434444768878429</v>
      </c>
      <c r="K14" s="52">
        <f t="shared" si="1"/>
        <v>-70.461532543044058</v>
      </c>
      <c r="L14" s="51">
        <f>Entrate_Uscite!X13</f>
        <v>0</v>
      </c>
      <c r="M14" s="53">
        <f t="shared" si="2"/>
        <v>0</v>
      </c>
    </row>
    <row r="15" spans="1:13" x14ac:dyDescent="0.3">
      <c r="A15" s="4" t="s">
        <v>33</v>
      </c>
      <c r="B15" s="41">
        <f t="shared" ref="B15:I15" si="8">SUM(B12:B14)</f>
        <v>4052013.66</v>
      </c>
      <c r="C15" s="41">
        <f t="shared" si="8"/>
        <v>6107.15</v>
      </c>
      <c r="D15" s="41">
        <f t="shared" si="8"/>
        <v>0</v>
      </c>
      <c r="E15" s="41">
        <f t="shared" si="8"/>
        <v>200.33</v>
      </c>
      <c r="F15" s="41">
        <f t="shared" si="8"/>
        <v>33831.629999999997</v>
      </c>
      <c r="G15" s="41">
        <f t="shared" ref="G15" si="9">SUM(G12:G14)</f>
        <v>0</v>
      </c>
      <c r="H15" s="41">
        <f t="shared" ref="H15" si="10">SUM(H12:H14)</f>
        <v>10111719.25</v>
      </c>
      <c r="I15" s="41">
        <f t="shared" si="8"/>
        <v>2986846.9</v>
      </c>
      <c r="J15" s="41">
        <f t="shared" si="0"/>
        <v>1.1434444768878429</v>
      </c>
      <c r="K15" s="104">
        <f t="shared" si="1"/>
        <v>-70.461532543044058</v>
      </c>
      <c r="L15" s="41">
        <f>SUM(L12:L14)</f>
        <v>0</v>
      </c>
      <c r="M15" s="42">
        <f t="shared" si="2"/>
        <v>0</v>
      </c>
    </row>
    <row r="16" spans="1:13" x14ac:dyDescent="0.3">
      <c r="A16" s="44" t="s">
        <v>348</v>
      </c>
      <c r="B16" s="45">
        <f t="shared" ref="B16:I16" si="11">B5+B11+B15</f>
        <v>228761697.57999998</v>
      </c>
      <c r="C16" s="45">
        <f t="shared" si="11"/>
        <v>219760811.65000001</v>
      </c>
      <c r="D16" s="45">
        <f t="shared" si="11"/>
        <v>251466247.59999999</v>
      </c>
      <c r="E16" s="45">
        <f t="shared" si="11"/>
        <v>218712986.89000005</v>
      </c>
      <c r="F16" s="45">
        <f t="shared" si="11"/>
        <v>234353406.68000001</v>
      </c>
      <c r="G16" s="45">
        <f t="shared" ref="G16:H16" si="12">G5+G11+G15</f>
        <v>224826729.96000001</v>
      </c>
      <c r="H16" s="45">
        <f t="shared" si="12"/>
        <v>264442698.67999998</v>
      </c>
      <c r="I16" s="45">
        <f t="shared" si="11"/>
        <v>258108551.66</v>
      </c>
      <c r="J16" s="45">
        <f t="shared" si="0"/>
        <v>98.81082215266791</v>
      </c>
      <c r="K16" s="114">
        <f t="shared" si="1"/>
        <v>-2.395281492594691</v>
      </c>
      <c r="L16" s="45">
        <f>L5+L11+L15</f>
        <v>155527654.58000001</v>
      </c>
      <c r="M16" s="46">
        <f t="shared" si="2"/>
        <v>60.256684088821956</v>
      </c>
    </row>
    <row r="17" spans="1:13" x14ac:dyDescent="0.3">
      <c r="A17" s="4" t="s">
        <v>34</v>
      </c>
      <c r="B17" s="41">
        <f>Entrate_Uscite!B17</f>
        <v>8361066.4100000001</v>
      </c>
      <c r="C17" s="41">
        <f>Entrate_Uscite!E17</f>
        <v>2080490.27</v>
      </c>
      <c r="D17" s="41">
        <f>Entrate_Uscite!H17</f>
        <v>2631220.5299999998</v>
      </c>
      <c r="E17" s="41">
        <f>Entrate_Uscite!K17</f>
        <v>1382912.59</v>
      </c>
      <c r="F17" s="41">
        <f>Entrate_Uscite!N17</f>
        <v>2542313.33</v>
      </c>
      <c r="G17" s="41">
        <f>Entrate_Uscite!Q17</f>
        <v>13883082.17</v>
      </c>
      <c r="H17" s="41">
        <f>Entrate_Uscite!T17</f>
        <v>10548088.199999999</v>
      </c>
      <c r="I17" s="41">
        <f>Entrate_Uscite!W17</f>
        <v>3106309.26</v>
      </c>
      <c r="J17" s="41">
        <f t="shared" si="0"/>
        <v>1.189177847332102</v>
      </c>
      <c r="K17" s="104">
        <f t="shared" si="1"/>
        <v>-70.550973777409254</v>
      </c>
      <c r="L17" s="41">
        <f>Entrate_Uscite!X17</f>
        <v>3106309.26</v>
      </c>
      <c r="M17" s="42">
        <f t="shared" si="2"/>
        <v>100</v>
      </c>
    </row>
    <row r="18" spans="1:13" x14ac:dyDescent="0.3">
      <c r="A18" s="4" t="s">
        <v>35</v>
      </c>
      <c r="B18" s="41">
        <f>Entrate_Uscite!B18</f>
        <v>0</v>
      </c>
      <c r="C18" s="41">
        <f>Entrate_Uscite!E18</f>
        <v>0</v>
      </c>
      <c r="D18" s="41">
        <f>Entrate_Uscite!H18</f>
        <v>0</v>
      </c>
      <c r="E18" s="41">
        <f>Entrate_Uscite!K18</f>
        <v>0</v>
      </c>
      <c r="F18" s="41">
        <f>Entrate_Uscite!N18</f>
        <v>0</v>
      </c>
      <c r="G18" s="41">
        <f>Entrate_Uscite!Q18</f>
        <v>0</v>
      </c>
      <c r="H18" s="41">
        <f>Entrate_Uscite!T18</f>
        <v>0</v>
      </c>
      <c r="I18" s="41">
        <f>Entrate_Uscite!W18</f>
        <v>0</v>
      </c>
      <c r="J18" s="41">
        <f t="shared" si="0"/>
        <v>0</v>
      </c>
      <c r="K18" s="104" t="str">
        <f t="shared" si="1"/>
        <v>-</v>
      </c>
      <c r="L18" s="41">
        <f>Entrate_Uscite!X18</f>
        <v>0</v>
      </c>
      <c r="M18" s="42" t="str">
        <f t="shared" si="2"/>
        <v>-</v>
      </c>
    </row>
    <row r="19" spans="1:13" x14ac:dyDescent="0.3">
      <c r="A19" s="4" t="s">
        <v>36</v>
      </c>
      <c r="B19" s="41">
        <f>Entrate_Uscite!B19</f>
        <v>34796374.210000001</v>
      </c>
      <c r="C19" s="41">
        <f>Entrate_Uscite!E19</f>
        <v>39206737.979999997</v>
      </c>
      <c r="D19" s="41">
        <f>Entrate_Uscite!H19</f>
        <v>32784997.309999999</v>
      </c>
      <c r="E19" s="41">
        <f>Entrate_Uscite!K19</f>
        <v>29497506.280000001</v>
      </c>
      <c r="F19" s="41">
        <f>Entrate_Uscite!N19</f>
        <v>32713625.77</v>
      </c>
      <c r="G19" s="41">
        <f>Entrate_Uscite!Q19</f>
        <v>30901736.949999999</v>
      </c>
      <c r="H19" s="41">
        <f>Entrate_Uscite!T19</f>
        <v>30793355.93</v>
      </c>
      <c r="I19" s="41">
        <f>Entrate_Uscite!W19</f>
        <v>26553233.25</v>
      </c>
      <c r="J19" s="41"/>
      <c r="K19" s="104">
        <f t="shared" si="1"/>
        <v>-13.769602409164889</v>
      </c>
      <c r="L19" s="41">
        <f>Entrate_Uscite!X19</f>
        <v>24446240.699999999</v>
      </c>
      <c r="M19" s="42">
        <f t="shared" si="2"/>
        <v>92.065024510715659</v>
      </c>
    </row>
    <row r="20" spans="1:13" x14ac:dyDescent="0.3">
      <c r="A20" s="44" t="s">
        <v>37</v>
      </c>
      <c r="B20" s="45">
        <f t="shared" ref="B20:I20" si="13">B5+B11+B15+B17+B18+B19</f>
        <v>271919138.19999999</v>
      </c>
      <c r="C20" s="45">
        <f t="shared" si="13"/>
        <v>261048039.90000001</v>
      </c>
      <c r="D20" s="45">
        <f t="shared" si="13"/>
        <v>286882465.44</v>
      </c>
      <c r="E20" s="45">
        <f t="shared" si="13"/>
        <v>249593405.76000005</v>
      </c>
      <c r="F20" s="45">
        <f t="shared" si="13"/>
        <v>269609345.78000003</v>
      </c>
      <c r="G20" s="45">
        <f t="shared" ref="G20:H20" si="14">G5+G11+G15+G17+G18+G19</f>
        <v>269611549.07999998</v>
      </c>
      <c r="H20" s="45">
        <f t="shared" si="14"/>
        <v>305784142.81</v>
      </c>
      <c r="I20" s="45">
        <f t="shared" si="13"/>
        <v>287768094.16999996</v>
      </c>
      <c r="J20" s="45"/>
      <c r="K20" s="114">
        <f t="shared" si="1"/>
        <v>-5.8917537300795857</v>
      </c>
      <c r="L20" s="45">
        <f>L5+L11+L15+L17+L18+L19</f>
        <v>183080204.53999999</v>
      </c>
      <c r="M20" s="46">
        <f t="shared" si="2"/>
        <v>63.620744706966981</v>
      </c>
    </row>
    <row r="21" spans="1:13" x14ac:dyDescent="0.3">
      <c r="A21" s="36" t="s">
        <v>38</v>
      </c>
      <c r="B21" s="47">
        <f t="shared" ref="B21:I21" si="15">B20-B19</f>
        <v>237122763.98999998</v>
      </c>
      <c r="C21" s="47">
        <f t="shared" si="15"/>
        <v>221841301.92000002</v>
      </c>
      <c r="D21" s="47">
        <f t="shared" si="15"/>
        <v>254097468.13</v>
      </c>
      <c r="E21" s="47">
        <f t="shared" si="15"/>
        <v>220095899.48000005</v>
      </c>
      <c r="F21" s="47">
        <f t="shared" si="15"/>
        <v>236895720.01000002</v>
      </c>
      <c r="G21" s="47">
        <f t="shared" ref="G21:H21" si="16">G20-G19</f>
        <v>238709812.13</v>
      </c>
      <c r="H21" s="47">
        <f t="shared" si="16"/>
        <v>274990786.88</v>
      </c>
      <c r="I21" s="47">
        <f t="shared" si="15"/>
        <v>261214860.91999996</v>
      </c>
      <c r="J21" s="47">
        <f t="shared" si="0"/>
        <v>100</v>
      </c>
      <c r="K21" s="48">
        <f t="shared" si="1"/>
        <v>-5.0095954545602837</v>
      </c>
      <c r="L21" s="47">
        <f>L20-L19</f>
        <v>158633963.84</v>
      </c>
      <c r="M21" s="49">
        <f t="shared" si="2"/>
        <v>60.729302797432908</v>
      </c>
    </row>
    <row r="22" spans="1:13" x14ac:dyDescent="0.3">
      <c r="L22" s="6"/>
    </row>
    <row r="23" spans="1:13" x14ac:dyDescent="0.3">
      <c r="L23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topLeftCell="B1" workbookViewId="0">
      <selection activeCell="J32" sqref="J32"/>
    </sheetView>
  </sheetViews>
  <sheetFormatPr defaultRowHeight="14.4" x14ac:dyDescent="0.3"/>
  <cols>
    <col min="1" max="1" width="50.6640625" bestFit="1" customWidth="1"/>
    <col min="2" max="3" width="12.5546875" bestFit="1" customWidth="1"/>
    <col min="4" max="8" width="12.5546875" style="100" bestFit="1" customWidth="1"/>
    <col min="9" max="9" width="12.5546875" bestFit="1" customWidth="1"/>
    <col min="10" max="10" width="8.5546875" customWidth="1"/>
    <col min="11" max="11" width="6.5546875" style="100" bestFit="1" customWidth="1"/>
    <col min="12" max="12" width="12.5546875" bestFit="1" customWidth="1"/>
    <col min="13" max="13" width="7" bestFit="1" customWidth="1"/>
  </cols>
  <sheetData>
    <row r="1" spans="1:13" ht="28.8" x14ac:dyDescent="0.3">
      <c r="A1" s="39"/>
      <c r="B1" s="40">
        <v>2016</v>
      </c>
      <c r="C1" s="40">
        <v>2017</v>
      </c>
      <c r="D1" s="115">
        <v>2018</v>
      </c>
      <c r="E1" s="115">
        <v>2019</v>
      </c>
      <c r="F1" s="115">
        <v>2020</v>
      </c>
      <c r="G1" s="115">
        <v>2021</v>
      </c>
      <c r="H1" s="115">
        <v>2022</v>
      </c>
      <c r="I1" s="115">
        <v>2023</v>
      </c>
      <c r="J1" s="116" t="s">
        <v>297</v>
      </c>
      <c r="K1" s="115" t="s">
        <v>233</v>
      </c>
      <c r="L1" s="116" t="s">
        <v>367</v>
      </c>
      <c r="M1" s="40" t="s">
        <v>339</v>
      </c>
    </row>
    <row r="2" spans="1:13" x14ac:dyDescent="0.3">
      <c r="A2" s="54" t="s">
        <v>270</v>
      </c>
      <c r="B2" s="51">
        <f>Entrate_Uscite!B23</f>
        <v>35969142.020000003</v>
      </c>
      <c r="C2" s="51">
        <f>Entrate_Uscite!E23</f>
        <v>35022736.079999998</v>
      </c>
      <c r="D2" s="112">
        <f>Entrate_Uscite!H23</f>
        <v>36373560.479999997</v>
      </c>
      <c r="E2" s="112">
        <f>Entrate_Uscite!K23</f>
        <v>36081758.380000003</v>
      </c>
      <c r="F2" s="112">
        <f>Entrate_Uscite!N23</f>
        <v>35222195.509999998</v>
      </c>
      <c r="G2" s="112">
        <f>Entrate_Uscite!Q23</f>
        <v>35708513.439999998</v>
      </c>
      <c r="H2" s="112">
        <f>Entrate_Uscite!T23</f>
        <v>38262350.93</v>
      </c>
      <c r="I2" s="51">
        <f>Entrate_Uscite!W23</f>
        <v>37389922.590000004</v>
      </c>
      <c r="J2" s="51">
        <f>I2/I$31*100</f>
        <v>16.32018644083406</v>
      </c>
      <c r="K2" s="52">
        <f>IF(H2&gt;0,I2/H2*100-100,"-")</f>
        <v>-2.2801221534873264</v>
      </c>
      <c r="L2" s="51">
        <f>Entrate_Uscite!X23</f>
        <v>36964375.189999998</v>
      </c>
      <c r="M2" s="53">
        <f>IF(I2&gt;0,L2/I2*100,"-")</f>
        <v>98.861866057690577</v>
      </c>
    </row>
    <row r="3" spans="1:13" x14ac:dyDescent="0.3">
      <c r="A3" s="54" t="s">
        <v>271</v>
      </c>
      <c r="B3" s="51">
        <f>Entrate_Uscite!B24</f>
        <v>2550288.23</v>
      </c>
      <c r="C3" s="51">
        <f>Entrate_Uscite!E24</f>
        <v>2284568.13</v>
      </c>
      <c r="D3" s="112">
        <f>Entrate_Uscite!H24</f>
        <v>2611161.71</v>
      </c>
      <c r="E3" s="112">
        <f>Entrate_Uscite!K24</f>
        <v>2413275.35</v>
      </c>
      <c r="F3" s="112">
        <f>Entrate_Uscite!N24</f>
        <v>2317863.66</v>
      </c>
      <c r="G3" s="112">
        <f>Entrate_Uscite!Q24</f>
        <v>2327923.54</v>
      </c>
      <c r="H3" s="112">
        <f>Entrate_Uscite!T24</f>
        <v>2528876.73</v>
      </c>
      <c r="I3" s="51">
        <f>Entrate_Uscite!W24</f>
        <v>2405757.3199999998</v>
      </c>
      <c r="J3" s="51">
        <f t="shared" ref="J3:J31" si="0">I3/I$31*100</f>
        <v>1.0500799486624797</v>
      </c>
      <c r="K3" s="52">
        <f t="shared" ref="K3:K31" si="1">IF(H3&gt;0,I3/H3*100-100,"-")</f>
        <v>-4.8685413780528535</v>
      </c>
      <c r="L3" s="51">
        <f>Entrate_Uscite!X24</f>
        <v>2378637.2400000002</v>
      </c>
      <c r="M3" s="53">
        <f>IF(I3&gt;0,L3/I3*100,"-")</f>
        <v>98.872700925627882</v>
      </c>
    </row>
    <row r="4" spans="1:13" x14ac:dyDescent="0.3">
      <c r="A4" s="54" t="s">
        <v>272</v>
      </c>
      <c r="B4" s="51">
        <f>Entrate_Uscite!B25</f>
        <v>109085276.39</v>
      </c>
      <c r="C4" s="51">
        <f>Entrate_Uscite!E25</f>
        <v>105913942.20999999</v>
      </c>
      <c r="D4" s="112">
        <f>Entrate_Uscite!H25</f>
        <v>95682880.120000005</v>
      </c>
      <c r="E4" s="112">
        <f>Entrate_Uscite!K25</f>
        <v>90531004.390000001</v>
      </c>
      <c r="F4" s="112">
        <f>Entrate_Uscite!N25</f>
        <v>85842399.439999998</v>
      </c>
      <c r="G4" s="112">
        <f>Entrate_Uscite!Q25</f>
        <v>101658766.5</v>
      </c>
      <c r="H4" s="112">
        <f>Entrate_Uscite!T25</f>
        <v>95218712.299999997</v>
      </c>
      <c r="I4" s="51">
        <f>Entrate_Uscite!W25</f>
        <v>100460688.06999999</v>
      </c>
      <c r="J4" s="51">
        <f t="shared" si="0"/>
        <v>43.849707239441329</v>
      </c>
      <c r="K4" s="52">
        <f t="shared" si="1"/>
        <v>5.5051949804618232</v>
      </c>
      <c r="L4" s="51">
        <f>Entrate_Uscite!X25</f>
        <v>82263265.629999995</v>
      </c>
      <c r="M4" s="53">
        <f t="shared" ref="M4:M9" si="2">IF(I4&gt;0,L4/I4*100,"-")</f>
        <v>81.88602647503248</v>
      </c>
    </row>
    <row r="5" spans="1:13" x14ac:dyDescent="0.3">
      <c r="A5" s="54" t="s">
        <v>273</v>
      </c>
      <c r="B5" s="51">
        <f>Entrate_Uscite!B26</f>
        <v>20747092.920000002</v>
      </c>
      <c r="C5" s="51">
        <f>Entrate_Uscite!E26</f>
        <v>19801533.109999999</v>
      </c>
      <c r="D5" s="112">
        <f>Entrate_Uscite!H26</f>
        <v>23242436.640000001</v>
      </c>
      <c r="E5" s="112">
        <f>Entrate_Uscite!K26</f>
        <v>24607197.699999999</v>
      </c>
      <c r="F5" s="112">
        <f>Entrate_Uscite!N26</f>
        <v>29842153.449999999</v>
      </c>
      <c r="G5" s="112">
        <f>Entrate_Uscite!Q26</f>
        <v>34324350.740000002</v>
      </c>
      <c r="H5" s="112">
        <f>Entrate_Uscite!T26</f>
        <v>31652047.199999999</v>
      </c>
      <c r="I5" s="51">
        <f>Entrate_Uscite!W26</f>
        <v>35352226.25</v>
      </c>
      <c r="J5" s="51">
        <f t="shared" si="0"/>
        <v>15.430760042623238</v>
      </c>
      <c r="K5" s="52">
        <f t="shared" si="1"/>
        <v>11.690172918736195</v>
      </c>
      <c r="L5" s="51">
        <f>Entrate_Uscite!X26</f>
        <v>29906974.27</v>
      </c>
      <c r="M5" s="53">
        <f t="shared" si="2"/>
        <v>84.597145476800065</v>
      </c>
    </row>
    <row r="6" spans="1:13" x14ac:dyDescent="0.3">
      <c r="A6" s="54" t="s">
        <v>274</v>
      </c>
      <c r="B6" s="51">
        <f>Entrate_Uscite!B27</f>
        <v>1861828.9</v>
      </c>
      <c r="C6" s="51">
        <f>Entrate_Uscite!E27</f>
        <v>3438533.91</v>
      </c>
      <c r="D6" s="112">
        <f>Entrate_Uscite!H27</f>
        <v>3077263.66</v>
      </c>
      <c r="E6" s="112">
        <f>Entrate_Uscite!K27</f>
        <v>2584562.75</v>
      </c>
      <c r="F6" s="112">
        <f>Entrate_Uscite!N27</f>
        <v>2244406.34</v>
      </c>
      <c r="G6" s="112">
        <f>Entrate_Uscite!Q27</f>
        <v>2122009.4500000002</v>
      </c>
      <c r="H6" s="112">
        <f>Entrate_Uscite!T27</f>
        <v>1921551.82</v>
      </c>
      <c r="I6" s="51">
        <f>Entrate_Uscite!W27</f>
        <v>1770071.75</v>
      </c>
      <c r="J6" s="51">
        <f t="shared" si="0"/>
        <v>0.7726119492255793</v>
      </c>
      <c r="K6" s="52">
        <f t="shared" si="1"/>
        <v>-7.8832154523940972</v>
      </c>
      <c r="L6" s="51">
        <f>Entrate_Uscite!X27</f>
        <v>1770071.75</v>
      </c>
      <c r="M6" s="53">
        <f t="shared" si="2"/>
        <v>100</v>
      </c>
    </row>
    <row r="7" spans="1:13" x14ac:dyDescent="0.3">
      <c r="A7" s="54" t="s">
        <v>275</v>
      </c>
      <c r="B7" s="51">
        <f>Entrate_Uscite!B28</f>
        <v>0</v>
      </c>
      <c r="C7" s="51">
        <f>Entrate_Uscite!E28</f>
        <v>311643.48</v>
      </c>
      <c r="D7" s="112">
        <f>Entrate_Uscite!H28</f>
        <v>350363.65</v>
      </c>
      <c r="E7" s="112">
        <f>Entrate_Uscite!K28</f>
        <v>0</v>
      </c>
      <c r="F7" s="112">
        <f>Entrate_Uscite!N28</f>
        <v>0</v>
      </c>
      <c r="G7" s="112">
        <f>Entrate_Uscite!Q28</f>
        <v>0</v>
      </c>
      <c r="H7" s="112">
        <f>Entrate_Uscite!T28</f>
        <v>0</v>
      </c>
      <c r="I7" s="51">
        <f>Entrate_Uscite!W28</f>
        <v>0</v>
      </c>
      <c r="J7" s="51">
        <f t="shared" si="0"/>
        <v>0</v>
      </c>
      <c r="K7" s="52" t="str">
        <f t="shared" si="1"/>
        <v>-</v>
      </c>
      <c r="L7" s="51">
        <f>Entrate_Uscite!X28</f>
        <v>0</v>
      </c>
      <c r="M7" s="53" t="str">
        <f t="shared" si="2"/>
        <v>-</v>
      </c>
    </row>
    <row r="8" spans="1:13" x14ac:dyDescent="0.3">
      <c r="A8" s="54" t="s">
        <v>276</v>
      </c>
      <c r="B8" s="51">
        <f>Entrate_Uscite!B29</f>
        <v>555545.91</v>
      </c>
      <c r="C8" s="51">
        <f>Entrate_Uscite!E29</f>
        <v>1139913.6000000001</v>
      </c>
      <c r="D8" s="112">
        <f>Entrate_Uscite!H29</f>
        <v>759005.84</v>
      </c>
      <c r="E8" s="112">
        <f>Entrate_Uscite!K29</f>
        <v>572517.56000000006</v>
      </c>
      <c r="F8" s="112">
        <f>Entrate_Uscite!N29</f>
        <v>656615.80000000005</v>
      </c>
      <c r="G8" s="112">
        <f>Entrate_Uscite!Q29</f>
        <v>894135.07</v>
      </c>
      <c r="H8" s="112">
        <f>Entrate_Uscite!T29</f>
        <v>1630385.44</v>
      </c>
      <c r="I8" s="51">
        <f>Entrate_Uscite!W29</f>
        <v>1226123.49</v>
      </c>
      <c r="J8" s="51">
        <f t="shared" si="0"/>
        <v>0.53518602260059234</v>
      </c>
      <c r="K8" s="52">
        <f t="shared" si="1"/>
        <v>-24.795483330616591</v>
      </c>
      <c r="L8" s="51">
        <f>Entrate_Uscite!X29</f>
        <v>947842.31</v>
      </c>
      <c r="M8" s="53">
        <f t="shared" si="2"/>
        <v>77.303984283018679</v>
      </c>
    </row>
    <row r="9" spans="1:13" x14ac:dyDescent="0.3">
      <c r="A9" s="54" t="s">
        <v>277</v>
      </c>
      <c r="B9" s="51">
        <f>Entrate_Uscite!B30</f>
        <v>4094800.63</v>
      </c>
      <c r="C9" s="51">
        <f>Entrate_Uscite!E30</f>
        <v>19710561.52</v>
      </c>
      <c r="D9" s="112">
        <f>Entrate_Uscite!H30</f>
        <v>2778392.88</v>
      </c>
      <c r="E9" s="112">
        <f>Entrate_Uscite!K30</f>
        <v>2509483.38</v>
      </c>
      <c r="F9" s="112">
        <f>Entrate_Uscite!N30</f>
        <v>2217274.5299999998</v>
      </c>
      <c r="G9" s="112">
        <f>Entrate_Uscite!Q30</f>
        <v>2499550.34</v>
      </c>
      <c r="H9" s="112">
        <f>Entrate_Uscite!T30</f>
        <v>3191268.35</v>
      </c>
      <c r="I9" s="51">
        <f>Entrate_Uscite!W30</f>
        <v>2746833.32</v>
      </c>
      <c r="J9" s="51">
        <f t="shared" si="0"/>
        <v>1.1989549268626931</v>
      </c>
      <c r="K9" s="52">
        <f t="shared" si="1"/>
        <v>-13.926595361370985</v>
      </c>
      <c r="L9" s="51">
        <f>Entrate_Uscite!X30</f>
        <v>2575360.2400000002</v>
      </c>
      <c r="M9" s="53">
        <f t="shared" si="2"/>
        <v>93.757426824864652</v>
      </c>
    </row>
    <row r="10" spans="1:13" x14ac:dyDescent="0.3">
      <c r="A10" s="4" t="s">
        <v>282</v>
      </c>
      <c r="B10" s="41">
        <f t="shared" ref="B10:I10" si="3">SUM(B2:B9)</f>
        <v>174863975</v>
      </c>
      <c r="C10" s="41">
        <f t="shared" si="3"/>
        <v>187623432.03999996</v>
      </c>
      <c r="D10" s="41">
        <f t="shared" si="3"/>
        <v>164875064.97999999</v>
      </c>
      <c r="E10" s="41">
        <f t="shared" si="3"/>
        <v>159299799.50999999</v>
      </c>
      <c r="F10" s="41">
        <f t="shared" si="3"/>
        <v>158342908.73000002</v>
      </c>
      <c r="G10" s="41">
        <f t="shared" ref="G10:H10" si="4">SUM(G2:G9)</f>
        <v>179535249.07999998</v>
      </c>
      <c r="H10" s="41">
        <f t="shared" si="4"/>
        <v>174405192.76999995</v>
      </c>
      <c r="I10" s="41">
        <f t="shared" si="3"/>
        <v>181351622.78999999</v>
      </c>
      <c r="J10" s="41">
        <f t="shared" si="0"/>
        <v>79.157486570249972</v>
      </c>
      <c r="K10" s="104">
        <f t="shared" si="1"/>
        <v>3.9829261443842228</v>
      </c>
      <c r="L10" s="41">
        <f>SUM(L2:L9)</f>
        <v>156806526.63000003</v>
      </c>
      <c r="M10" s="42">
        <f t="shared" ref="M10:M17" si="5">IF(I10&gt;0,L10/I10*100,"-")</f>
        <v>86.465466488589144</v>
      </c>
    </row>
    <row r="11" spans="1:13" x14ac:dyDescent="0.3">
      <c r="A11" s="54" t="s">
        <v>278</v>
      </c>
      <c r="B11" s="51">
        <f>Entrate_Uscite!B32</f>
        <v>20858705</v>
      </c>
      <c r="C11" s="51">
        <f>Entrate_Uscite!E32</f>
        <v>16158460.98</v>
      </c>
      <c r="D11" s="112">
        <f>Entrate_Uscite!H32</f>
        <v>24811443.75</v>
      </c>
      <c r="E11" s="112">
        <f>Entrate_Uscite!K32</f>
        <v>21158850.890000001</v>
      </c>
      <c r="F11" s="112">
        <f>Entrate_Uscite!N32</f>
        <v>27692985.530000001</v>
      </c>
      <c r="G11" s="112">
        <f>Entrate_Uscite!Q32</f>
        <v>21038889.09</v>
      </c>
      <c r="H11" s="112">
        <f>Entrate_Uscite!T32</f>
        <v>20441857.809999999</v>
      </c>
      <c r="I11" s="51">
        <f>Entrate_Uscite!W32</f>
        <v>28277512.620000001</v>
      </c>
      <c r="J11" s="51">
        <f t="shared" si="0"/>
        <v>12.342744944993962</v>
      </c>
      <c r="K11" s="52">
        <f t="shared" si="1"/>
        <v>38.331422137995986</v>
      </c>
      <c r="L11" s="51">
        <f>Entrate_Uscite!X32</f>
        <v>22833023.280000001</v>
      </c>
      <c r="M11" s="53">
        <f t="shared" si="5"/>
        <v>80.746222579176774</v>
      </c>
    </row>
    <row r="12" spans="1:13" x14ac:dyDescent="0.3">
      <c r="A12" s="54" t="s">
        <v>279</v>
      </c>
      <c r="B12" s="51">
        <f>Entrate_Uscite!B33</f>
        <v>1107414.8600000001</v>
      </c>
      <c r="C12" s="51">
        <f>Entrate_Uscite!E33</f>
        <v>104352.64</v>
      </c>
      <c r="D12" s="112">
        <f>Entrate_Uscite!H33</f>
        <v>587737.9</v>
      </c>
      <c r="E12" s="112">
        <f>Entrate_Uscite!K33</f>
        <v>447501.03</v>
      </c>
      <c r="F12" s="112">
        <f>Entrate_Uscite!N33</f>
        <v>46266.3</v>
      </c>
      <c r="G12" s="112">
        <f>Entrate_Uscite!Q33</f>
        <v>259800.2</v>
      </c>
      <c r="H12" s="112">
        <f>Entrate_Uscite!T33</f>
        <v>214972.03</v>
      </c>
      <c r="I12" s="51">
        <f>Entrate_Uscite!W33</f>
        <v>10148207.25</v>
      </c>
      <c r="J12" s="51">
        <f t="shared" si="0"/>
        <v>4.4295527481118517</v>
      </c>
      <c r="K12" s="52">
        <f t="shared" si="1"/>
        <v>4620.7105268531914</v>
      </c>
      <c r="L12" s="51">
        <f>Entrate_Uscite!X33</f>
        <v>10016439.560000001</v>
      </c>
      <c r="M12" s="53">
        <f t="shared" si="5"/>
        <v>98.701566821075716</v>
      </c>
    </row>
    <row r="13" spans="1:13" x14ac:dyDescent="0.3">
      <c r="A13" s="54" t="s">
        <v>280</v>
      </c>
      <c r="B13" s="51">
        <f>Entrate_Uscite!B34</f>
        <v>0</v>
      </c>
      <c r="C13" s="51">
        <f>Entrate_Uscite!E34</f>
        <v>0</v>
      </c>
      <c r="D13" s="112">
        <f>Entrate_Uscite!H34</f>
        <v>0</v>
      </c>
      <c r="E13" s="112">
        <f>Entrate_Uscite!K34</f>
        <v>0</v>
      </c>
      <c r="F13" s="112">
        <f>Entrate_Uscite!N34</f>
        <v>0</v>
      </c>
      <c r="G13" s="112">
        <f>Entrate_Uscite!Q34</f>
        <v>0</v>
      </c>
      <c r="H13" s="112">
        <f>Entrate_Uscite!T34</f>
        <v>0</v>
      </c>
      <c r="I13" s="51">
        <f>Entrate_Uscite!W34</f>
        <v>0</v>
      </c>
      <c r="J13" s="51">
        <f t="shared" si="0"/>
        <v>0</v>
      </c>
      <c r="K13" s="52" t="str">
        <f t="shared" si="1"/>
        <v>-</v>
      </c>
      <c r="L13" s="51">
        <f>Entrate_Uscite!X34</f>
        <v>0</v>
      </c>
      <c r="M13" s="53" t="str">
        <f t="shared" si="5"/>
        <v>-</v>
      </c>
    </row>
    <row r="14" spans="1:13" x14ac:dyDescent="0.3">
      <c r="A14" s="54" t="s">
        <v>281</v>
      </c>
      <c r="B14" s="51">
        <f>Entrate_Uscite!B35</f>
        <v>2936.16</v>
      </c>
      <c r="C14" s="51">
        <f>Entrate_Uscite!E35</f>
        <v>304355.40000000002</v>
      </c>
      <c r="D14" s="112">
        <f>Entrate_Uscite!H35</f>
        <v>497046.83</v>
      </c>
      <c r="E14" s="112">
        <f>Entrate_Uscite!K35</f>
        <v>218750.55</v>
      </c>
      <c r="F14" s="112">
        <f>Entrate_Uscite!N35</f>
        <v>196231.32</v>
      </c>
      <c r="G14" s="112">
        <f>Entrate_Uscite!Q35</f>
        <v>262683.06</v>
      </c>
      <c r="H14" s="112">
        <f>Entrate_Uscite!T35</f>
        <v>210568.99</v>
      </c>
      <c r="I14" s="51">
        <f>Entrate_Uscite!W35</f>
        <v>54293.120000000003</v>
      </c>
      <c r="J14" s="51">
        <f t="shared" si="0"/>
        <v>2.3698199393746767E-2</v>
      </c>
      <c r="K14" s="52">
        <f t="shared" si="1"/>
        <v>-74.215994482378434</v>
      </c>
      <c r="L14" s="51">
        <f>Entrate_Uscite!X35</f>
        <v>45119.61</v>
      </c>
      <c r="M14" s="53">
        <f t="shared" si="5"/>
        <v>83.103733953767986</v>
      </c>
    </row>
    <row r="15" spans="1:13" x14ac:dyDescent="0.3">
      <c r="A15" s="4" t="s">
        <v>283</v>
      </c>
      <c r="B15" s="43">
        <f t="shared" ref="B15:I15" si="6">SUM(B11:B14)</f>
        <v>21969056.02</v>
      </c>
      <c r="C15" s="43">
        <f t="shared" si="6"/>
        <v>16567169.020000001</v>
      </c>
      <c r="D15" s="43">
        <f t="shared" si="6"/>
        <v>25896228.479999997</v>
      </c>
      <c r="E15" s="43">
        <f t="shared" si="6"/>
        <v>21825102.470000003</v>
      </c>
      <c r="F15" s="43">
        <f t="shared" si="6"/>
        <v>27935483.150000002</v>
      </c>
      <c r="G15" s="43">
        <f t="shared" ref="G15" si="7">SUM(G11:G14)</f>
        <v>21561372.349999998</v>
      </c>
      <c r="H15" s="43">
        <f t="shared" ref="H15" si="8">SUM(H11:H14)</f>
        <v>20867398.829999998</v>
      </c>
      <c r="I15" s="43">
        <f t="shared" si="6"/>
        <v>38480012.990000002</v>
      </c>
      <c r="J15" s="43">
        <f t="shared" si="0"/>
        <v>16.795995892499562</v>
      </c>
      <c r="K15" s="104">
        <f t="shared" si="1"/>
        <v>84.402537678434783</v>
      </c>
      <c r="L15" s="43">
        <f>SUM(L11:L14)</f>
        <v>32894582.450000003</v>
      </c>
      <c r="M15" s="42">
        <f t="shared" si="5"/>
        <v>85.484852769016712</v>
      </c>
    </row>
    <row r="16" spans="1:13" x14ac:dyDescent="0.3">
      <c r="A16" s="54" t="s">
        <v>284</v>
      </c>
      <c r="B16" s="51">
        <f>Entrate_Uscite!B36</f>
        <v>0</v>
      </c>
      <c r="C16" s="51">
        <f>Entrate_Uscite!E36</f>
        <v>0</v>
      </c>
      <c r="D16" s="112">
        <f>Entrate_Uscite!H36</f>
        <v>0</v>
      </c>
      <c r="E16" s="112">
        <f>Entrate_Uscite!K36</f>
        <v>0</v>
      </c>
      <c r="F16" s="112">
        <f>Entrate_Uscite!N36</f>
        <v>2111400</v>
      </c>
      <c r="G16" s="112">
        <f>Entrate_Uscite!Q36</f>
        <v>0</v>
      </c>
      <c r="H16" s="112">
        <f>Entrate_Uscite!T36</f>
        <v>0</v>
      </c>
      <c r="I16" s="51">
        <f>Entrate_Uscite!W36</f>
        <v>0</v>
      </c>
      <c r="J16" s="51">
        <f t="shared" si="0"/>
        <v>0</v>
      </c>
      <c r="K16" s="52" t="str">
        <f t="shared" si="1"/>
        <v>-</v>
      </c>
      <c r="L16" s="51">
        <f>Entrate_Uscite!X36</f>
        <v>0</v>
      </c>
      <c r="M16" s="53" t="str">
        <f t="shared" si="5"/>
        <v>-</v>
      </c>
    </row>
    <row r="17" spans="1:13" x14ac:dyDescent="0.3">
      <c r="A17" s="54" t="s">
        <v>285</v>
      </c>
      <c r="B17" s="51">
        <f>Entrate_Uscite!B37</f>
        <v>0</v>
      </c>
      <c r="C17" s="51">
        <f>Entrate_Uscite!E37</f>
        <v>0</v>
      </c>
      <c r="D17" s="112">
        <f>Entrate_Uscite!H37</f>
        <v>0</v>
      </c>
      <c r="E17" s="112">
        <f>Entrate_Uscite!K37</f>
        <v>0</v>
      </c>
      <c r="F17" s="112">
        <f>Entrate_Uscite!N37</f>
        <v>0</v>
      </c>
      <c r="G17" s="112">
        <f>Entrate_Uscite!Q37</f>
        <v>0</v>
      </c>
      <c r="H17" s="112">
        <f>Entrate_Uscite!T37</f>
        <v>0</v>
      </c>
      <c r="I17" s="51">
        <f>Entrate_Uscite!W37</f>
        <v>0</v>
      </c>
      <c r="J17" s="51">
        <f t="shared" si="0"/>
        <v>0</v>
      </c>
      <c r="K17" s="52" t="str">
        <f t="shared" si="1"/>
        <v>-</v>
      </c>
      <c r="L17" s="51">
        <f>Entrate_Uscite!X37</f>
        <v>0</v>
      </c>
      <c r="M17" s="53" t="str">
        <f t="shared" si="5"/>
        <v>-</v>
      </c>
    </row>
    <row r="18" spans="1:13" x14ac:dyDescent="0.3">
      <c r="A18" s="54" t="s">
        <v>286</v>
      </c>
      <c r="B18" s="51">
        <f>Entrate_Uscite!B38</f>
        <v>920156.2</v>
      </c>
      <c r="C18" s="51">
        <f>Entrate_Uscite!E38</f>
        <v>0</v>
      </c>
      <c r="D18" s="112">
        <f>Entrate_Uscite!H38</f>
        <v>0</v>
      </c>
      <c r="E18" s="112">
        <f>Entrate_Uscite!K38</f>
        <v>0</v>
      </c>
      <c r="F18" s="112">
        <f>Entrate_Uscite!N38</f>
        <v>0</v>
      </c>
      <c r="G18" s="112">
        <f>Entrate_Uscite!Q38</f>
        <v>0</v>
      </c>
      <c r="H18" s="112">
        <f>Entrate_Uscite!T38</f>
        <v>0</v>
      </c>
      <c r="I18" s="51">
        <f>Entrate_Uscite!W38</f>
        <v>0</v>
      </c>
      <c r="J18" s="51">
        <f t="shared" si="0"/>
        <v>0</v>
      </c>
      <c r="K18" s="52" t="str">
        <f t="shared" si="1"/>
        <v>-</v>
      </c>
      <c r="L18" s="51">
        <f>Entrate_Uscite!X38</f>
        <v>0</v>
      </c>
      <c r="M18" s="53" t="str">
        <f t="shared" ref="M18:M26" si="9">IF(I18&gt;0,L18/I18*100,"-")</f>
        <v>-</v>
      </c>
    </row>
    <row r="19" spans="1:13" x14ac:dyDescent="0.3">
      <c r="A19" s="54" t="s">
        <v>287</v>
      </c>
      <c r="B19" s="51">
        <f>Entrate_Uscite!B39</f>
        <v>3000000</v>
      </c>
      <c r="C19" s="51">
        <f>Entrate_Uscite!E39</f>
        <v>0</v>
      </c>
      <c r="D19" s="112">
        <f>Entrate_Uscite!H39</f>
        <v>0</v>
      </c>
      <c r="E19" s="112">
        <f>Entrate_Uscite!K39</f>
        <v>0</v>
      </c>
      <c r="F19" s="112">
        <f>Entrate_Uscite!N39</f>
        <v>0</v>
      </c>
      <c r="G19" s="112">
        <f>Entrate_Uscite!Q39</f>
        <v>0</v>
      </c>
      <c r="H19" s="112">
        <f>Entrate_Uscite!T39</f>
        <v>10111719.199999999</v>
      </c>
      <c r="I19" s="51">
        <f>Entrate_Uscite!W39</f>
        <v>2986846.9</v>
      </c>
      <c r="J19" s="51">
        <f t="shared" si="0"/>
        <v>1.3037175501204279</v>
      </c>
      <c r="K19" s="52">
        <f t="shared" si="1"/>
        <v>-70.461532396983486</v>
      </c>
      <c r="L19" s="51">
        <f>Entrate_Uscite!X39</f>
        <v>2986846.9</v>
      </c>
      <c r="M19" s="53">
        <f t="shared" si="9"/>
        <v>100</v>
      </c>
    </row>
    <row r="20" spans="1:13" x14ac:dyDescent="0.3">
      <c r="A20" s="4" t="s">
        <v>288</v>
      </c>
      <c r="B20" s="41">
        <f t="shared" ref="B20:I20" si="10">SUM(B16:B19)</f>
        <v>3920156.2</v>
      </c>
      <c r="C20" s="41">
        <f t="shared" si="10"/>
        <v>0</v>
      </c>
      <c r="D20" s="41">
        <f t="shared" si="10"/>
        <v>0</v>
      </c>
      <c r="E20" s="41">
        <f t="shared" si="10"/>
        <v>0</v>
      </c>
      <c r="F20" s="41">
        <f t="shared" si="10"/>
        <v>2111400</v>
      </c>
      <c r="G20" s="41">
        <f t="shared" ref="G20:H20" si="11">SUM(G16:G19)</f>
        <v>0</v>
      </c>
      <c r="H20" s="41">
        <f t="shared" si="11"/>
        <v>10111719.199999999</v>
      </c>
      <c r="I20" s="41">
        <f t="shared" si="10"/>
        <v>2986846.9</v>
      </c>
      <c r="J20" s="41">
        <f t="shared" si="0"/>
        <v>1.3037175501204279</v>
      </c>
      <c r="K20" s="104">
        <f t="shared" si="1"/>
        <v>-70.461532396983486</v>
      </c>
      <c r="L20" s="41">
        <f>SUM(L16:L19)</f>
        <v>2986846.9</v>
      </c>
      <c r="M20" s="38">
        <f t="shared" si="9"/>
        <v>100</v>
      </c>
    </row>
    <row r="21" spans="1:13" x14ac:dyDescent="0.3">
      <c r="A21" s="44" t="s">
        <v>349</v>
      </c>
      <c r="B21" s="45">
        <f t="shared" ref="B21:I21" si="12">B10+B15+B20</f>
        <v>200753187.22</v>
      </c>
      <c r="C21" s="45">
        <f t="shared" si="12"/>
        <v>204190601.05999997</v>
      </c>
      <c r="D21" s="45">
        <f t="shared" si="12"/>
        <v>190771293.45999998</v>
      </c>
      <c r="E21" s="45">
        <f t="shared" si="12"/>
        <v>181124901.97999999</v>
      </c>
      <c r="F21" s="45">
        <f t="shared" si="12"/>
        <v>188389791.88000003</v>
      </c>
      <c r="G21" s="45">
        <f t="shared" ref="G21:H21" si="13">G10+G15+G20</f>
        <v>201096621.42999998</v>
      </c>
      <c r="H21" s="45">
        <f t="shared" si="13"/>
        <v>205384310.79999995</v>
      </c>
      <c r="I21" s="45">
        <f t="shared" si="12"/>
        <v>222818482.68000001</v>
      </c>
      <c r="J21" s="45">
        <f>I21/I$31*100</f>
        <v>97.257200012869973</v>
      </c>
      <c r="K21" s="114">
        <f t="shared" si="1"/>
        <v>8.4885606948707846</v>
      </c>
      <c r="L21" s="45">
        <f>L10+L15+L20</f>
        <v>192687955.98000005</v>
      </c>
      <c r="M21" s="46">
        <f>IF(I21&gt;0,L21/I21*100,"-")</f>
        <v>86.477546055606254</v>
      </c>
    </row>
    <row r="22" spans="1:13" x14ac:dyDescent="0.3">
      <c r="A22" s="54" t="s">
        <v>289</v>
      </c>
      <c r="B22" s="55">
        <f>Entrate_Uscite!B40</f>
        <v>5713771.75</v>
      </c>
      <c r="C22" s="55">
        <f>Entrate_Uscite!E40</f>
        <v>5830878.9199999999</v>
      </c>
      <c r="D22" s="55">
        <f>Entrate_Uscite!H40</f>
        <v>5954771.6600000001</v>
      </c>
      <c r="E22" s="55">
        <f>Entrate_Uscite!K40</f>
        <v>5482521.2800000003</v>
      </c>
      <c r="F22" s="55">
        <f>Entrate_Uscite!N40</f>
        <v>4754495.0999999996</v>
      </c>
      <c r="G22" s="55">
        <f>Entrate_Uscite!Q40</f>
        <v>4559564.0999999996</v>
      </c>
      <c r="H22" s="55">
        <f>Entrate_Uscite!T40</f>
        <v>4049319.78</v>
      </c>
      <c r="I22" s="55">
        <f>Entrate_Uscite!W40</f>
        <v>3837713.18</v>
      </c>
      <c r="J22" s="55">
        <f t="shared" si="0"/>
        <v>1.6751089669492192</v>
      </c>
      <c r="K22" s="56">
        <f t="shared" si="1"/>
        <v>-5.2257320117108605</v>
      </c>
      <c r="L22" s="55">
        <f>Entrate_Uscite!X40</f>
        <v>3837713.18</v>
      </c>
      <c r="M22" s="53">
        <f t="shared" si="9"/>
        <v>100</v>
      </c>
    </row>
    <row r="23" spans="1:13" x14ac:dyDescent="0.3">
      <c r="A23" s="54" t="s">
        <v>290</v>
      </c>
      <c r="B23" s="55">
        <f>Entrate_Uscite!B41</f>
        <v>0</v>
      </c>
      <c r="C23" s="55">
        <f>Entrate_Uscite!E41</f>
        <v>0</v>
      </c>
      <c r="D23" s="55">
        <f>Entrate_Uscite!H41</f>
        <v>0</v>
      </c>
      <c r="E23" s="55">
        <f>Entrate_Uscite!K41</f>
        <v>0</v>
      </c>
      <c r="F23" s="55">
        <f>Entrate_Uscite!N41</f>
        <v>0</v>
      </c>
      <c r="G23" s="55">
        <f>Entrate_Uscite!Q41</f>
        <v>0</v>
      </c>
      <c r="H23" s="55">
        <f>Entrate_Uscite!T41</f>
        <v>0</v>
      </c>
      <c r="I23" s="55">
        <f>Entrate_Uscite!W41</f>
        <v>0</v>
      </c>
      <c r="J23" s="55">
        <f t="shared" si="0"/>
        <v>0</v>
      </c>
      <c r="K23" s="56" t="str">
        <f t="shared" si="1"/>
        <v>-</v>
      </c>
      <c r="L23" s="55">
        <f>Entrate_Uscite!X41</f>
        <v>0</v>
      </c>
      <c r="M23" s="53" t="str">
        <f t="shared" si="9"/>
        <v>-</v>
      </c>
    </row>
    <row r="24" spans="1:13" x14ac:dyDescent="0.3">
      <c r="A24" s="54" t="s">
        <v>291</v>
      </c>
      <c r="B24" s="55">
        <f>Entrate_Uscite!B42</f>
        <v>5762437.9500000002</v>
      </c>
      <c r="C24" s="55">
        <f>Entrate_Uscite!E42</f>
        <v>6791573.0899999999</v>
      </c>
      <c r="D24" s="55">
        <f>Entrate_Uscite!H42</f>
        <v>29163499.27</v>
      </c>
      <c r="E24" s="55">
        <f>Entrate_Uscite!K42</f>
        <v>3382342.95</v>
      </c>
      <c r="F24" s="55">
        <f>Entrate_Uscite!N42</f>
        <v>1618800.41</v>
      </c>
      <c r="G24" s="55">
        <f>Entrate_Uscite!Q42</f>
        <v>2696968.6</v>
      </c>
      <c r="H24" s="55">
        <f>Entrate_Uscite!T42</f>
        <v>2995938.14</v>
      </c>
      <c r="I24" s="55">
        <f>Entrate_Uscite!W42</f>
        <v>2446104.69</v>
      </c>
      <c r="J24" s="55">
        <f t="shared" si="0"/>
        <v>1.0676910201808099</v>
      </c>
      <c r="K24" s="56">
        <f t="shared" si="1"/>
        <v>-18.352630271598329</v>
      </c>
      <c r="L24" s="55">
        <f>Entrate_Uscite!X42</f>
        <v>2446104.69</v>
      </c>
      <c r="M24" s="53">
        <f t="shared" si="9"/>
        <v>100</v>
      </c>
    </row>
    <row r="25" spans="1:13" x14ac:dyDescent="0.3">
      <c r="A25" s="54" t="s">
        <v>292</v>
      </c>
      <c r="B25" s="55">
        <f>Entrate_Uscite!B43</f>
        <v>0</v>
      </c>
      <c r="C25" s="55">
        <f>Entrate_Uscite!E43</f>
        <v>0</v>
      </c>
      <c r="D25" s="55">
        <f>Entrate_Uscite!H43</f>
        <v>0</v>
      </c>
      <c r="E25" s="55">
        <f>Entrate_Uscite!K43</f>
        <v>0</v>
      </c>
      <c r="F25" s="55">
        <f>Entrate_Uscite!N43</f>
        <v>0</v>
      </c>
      <c r="G25" s="55">
        <f>Entrate_Uscite!Q43</f>
        <v>0</v>
      </c>
      <c r="H25" s="55">
        <f>Entrate_Uscite!T43</f>
        <v>0</v>
      </c>
      <c r="I25" s="55">
        <f>Entrate_Uscite!W43</f>
        <v>0</v>
      </c>
      <c r="J25" s="55">
        <f t="shared" si="0"/>
        <v>0</v>
      </c>
      <c r="K25" s="56" t="str">
        <f t="shared" si="1"/>
        <v>-</v>
      </c>
      <c r="L25" s="55">
        <f>Entrate_Uscite!X43</f>
        <v>0</v>
      </c>
      <c r="M25" s="53" t="str">
        <f t="shared" si="9"/>
        <v>-</v>
      </c>
    </row>
    <row r="26" spans="1:13" x14ac:dyDescent="0.3">
      <c r="A26" s="54" t="s">
        <v>293</v>
      </c>
      <c r="B26" s="55">
        <f>Entrate_Uscite!B44</f>
        <v>0</v>
      </c>
      <c r="C26" s="55">
        <f>Entrate_Uscite!E44</f>
        <v>0</v>
      </c>
      <c r="D26" s="55">
        <f>Entrate_Uscite!H44</f>
        <v>0</v>
      </c>
      <c r="E26" s="55">
        <f>Entrate_Uscite!K44</f>
        <v>0</v>
      </c>
      <c r="F26" s="55">
        <f>Entrate_Uscite!N44</f>
        <v>0</v>
      </c>
      <c r="G26" s="55">
        <f>Entrate_Uscite!Q44</f>
        <v>0</v>
      </c>
      <c r="H26" s="55">
        <f>Entrate_Uscite!T44</f>
        <v>0</v>
      </c>
      <c r="I26" s="55">
        <f>Entrate_Uscite!W44</f>
        <v>0</v>
      </c>
      <c r="J26" s="55">
        <f t="shared" si="0"/>
        <v>0</v>
      </c>
      <c r="K26" s="56" t="str">
        <f t="shared" si="1"/>
        <v>-</v>
      </c>
      <c r="L26" s="55">
        <f>Entrate_Uscite!X44</f>
        <v>0</v>
      </c>
      <c r="M26" s="53" t="str">
        <f t="shared" si="9"/>
        <v>-</v>
      </c>
    </row>
    <row r="27" spans="1:13" x14ac:dyDescent="0.3">
      <c r="A27" s="4" t="s">
        <v>294</v>
      </c>
      <c r="B27" s="41">
        <f t="shared" ref="B27:I27" si="14">SUM(B22:B26)</f>
        <v>11476209.699999999</v>
      </c>
      <c r="C27" s="41">
        <f t="shared" si="14"/>
        <v>12622452.01</v>
      </c>
      <c r="D27" s="41">
        <f t="shared" si="14"/>
        <v>35118270.93</v>
      </c>
      <c r="E27" s="41">
        <f t="shared" si="14"/>
        <v>8864864.2300000004</v>
      </c>
      <c r="F27" s="41">
        <f t="shared" si="14"/>
        <v>6373295.5099999998</v>
      </c>
      <c r="G27" s="41">
        <f t="shared" ref="G27" si="15">SUM(G22:G26)</f>
        <v>7256532.6999999993</v>
      </c>
      <c r="H27" s="41">
        <f t="shared" ref="H27" si="16">SUM(H22:H26)</f>
        <v>7045257.9199999999</v>
      </c>
      <c r="I27" s="41">
        <f t="shared" si="14"/>
        <v>6283817.8700000001</v>
      </c>
      <c r="J27" s="41">
        <f t="shared" si="0"/>
        <v>2.7427999871300286</v>
      </c>
      <c r="K27" s="104">
        <f t="shared" si="1"/>
        <v>-10.80783782008082</v>
      </c>
      <c r="L27" s="41">
        <f>SUM(L22:L26)</f>
        <v>6283817.8700000001</v>
      </c>
      <c r="M27" s="42">
        <f>IF(I27&gt;0,L27/I27*100,"-")</f>
        <v>100</v>
      </c>
    </row>
    <row r="28" spans="1:13" x14ac:dyDescent="0.3">
      <c r="A28" s="4" t="s">
        <v>295</v>
      </c>
      <c r="B28" s="41">
        <f>Entrate_Uscite!B52</f>
        <v>0</v>
      </c>
      <c r="C28" s="41">
        <f>Entrate_Uscite!E52</f>
        <v>0</v>
      </c>
      <c r="D28" s="41">
        <f>Entrate_Uscite!H52</f>
        <v>0</v>
      </c>
      <c r="E28" s="41">
        <f>Entrate_Uscite!K52</f>
        <v>0</v>
      </c>
      <c r="F28" s="41">
        <f>Entrate_Uscite!N52</f>
        <v>0</v>
      </c>
      <c r="G28" s="41">
        <f>Entrate_Uscite!Q52</f>
        <v>0</v>
      </c>
      <c r="H28" s="41">
        <f>Entrate_Uscite!T52</f>
        <v>0</v>
      </c>
      <c r="I28" s="41">
        <f>Entrate_Uscite!W52</f>
        <v>0</v>
      </c>
      <c r="J28" s="41">
        <f t="shared" si="0"/>
        <v>0</v>
      </c>
      <c r="K28" s="104" t="str">
        <f t="shared" si="1"/>
        <v>-</v>
      </c>
      <c r="L28" s="41">
        <f>Entrate_Uscite!X52</f>
        <v>0</v>
      </c>
      <c r="M28" s="42" t="str">
        <f>IF(I28&gt;0,L28/I28*100,"-")</f>
        <v>-</v>
      </c>
    </row>
    <row r="29" spans="1:13" x14ac:dyDescent="0.3">
      <c r="A29" s="4" t="s">
        <v>296</v>
      </c>
      <c r="B29" s="41">
        <f>Entrate_Uscite!B53</f>
        <v>34796374.210000001</v>
      </c>
      <c r="C29" s="41">
        <f>Entrate_Uscite!E53</f>
        <v>39206737.980000004</v>
      </c>
      <c r="D29" s="41">
        <f>Entrate_Uscite!H53</f>
        <v>32784997.310000002</v>
      </c>
      <c r="E29" s="41">
        <f>Entrate_Uscite!K53</f>
        <v>29497506.280000001</v>
      </c>
      <c r="F29" s="41">
        <f>Entrate_Uscite!N53</f>
        <v>32713625.769999996</v>
      </c>
      <c r="G29" s="41">
        <f>Entrate_Uscite!Q53</f>
        <v>30901736.950000003</v>
      </c>
      <c r="H29" s="41">
        <f>Entrate_Uscite!T53</f>
        <v>30793355.93</v>
      </c>
      <c r="I29" s="41">
        <f>Entrate_Uscite!W53</f>
        <v>26553233.25</v>
      </c>
      <c r="J29" s="41"/>
      <c r="K29" s="104">
        <f t="shared" si="1"/>
        <v>-13.769602409164889</v>
      </c>
      <c r="L29" s="41">
        <f>Entrate_Uscite!X53</f>
        <v>21276833.48</v>
      </c>
      <c r="M29" s="42">
        <f>IF(I29&gt;0,L29/I29*100,"-")</f>
        <v>80.128974425364945</v>
      </c>
    </row>
    <row r="30" spans="1:13" x14ac:dyDescent="0.3">
      <c r="A30" s="44" t="s">
        <v>69</v>
      </c>
      <c r="B30" s="45">
        <f t="shared" ref="B30:I30" si="17">B10+B15+B20+B27+B28+B29</f>
        <v>247025771.13</v>
      </c>
      <c r="C30" s="45">
        <f t="shared" si="17"/>
        <v>256019791.04999995</v>
      </c>
      <c r="D30" s="45">
        <f t="shared" si="17"/>
        <v>258674561.69999999</v>
      </c>
      <c r="E30" s="45">
        <f t="shared" si="17"/>
        <v>219487272.48999998</v>
      </c>
      <c r="F30" s="45">
        <f t="shared" si="17"/>
        <v>227476713.16000003</v>
      </c>
      <c r="G30" s="45">
        <f t="shared" ref="G30:H30" si="18">G10+G15+G20+G27+G28+G29</f>
        <v>239254891.07999998</v>
      </c>
      <c r="H30" s="45">
        <f t="shared" si="18"/>
        <v>243222924.64999995</v>
      </c>
      <c r="I30" s="45">
        <f t="shared" si="17"/>
        <v>255655533.80000001</v>
      </c>
      <c r="J30" s="45"/>
      <c r="K30" s="114">
        <f t="shared" si="1"/>
        <v>5.1116107447070362</v>
      </c>
      <c r="L30" s="45">
        <f>L10+L15+L20+L27+L28+L29</f>
        <v>220248607.33000004</v>
      </c>
      <c r="M30" s="46">
        <f>IF(I30&gt;0,L30/I30*100,"-")</f>
        <v>86.150533906416868</v>
      </c>
    </row>
    <row r="31" spans="1:13" x14ac:dyDescent="0.3">
      <c r="A31" s="36" t="s">
        <v>70</v>
      </c>
      <c r="B31" s="47">
        <f t="shared" ref="B31:I31" si="19">B30-B29</f>
        <v>212229396.91999999</v>
      </c>
      <c r="C31" s="47">
        <f t="shared" si="19"/>
        <v>216813053.06999993</v>
      </c>
      <c r="D31" s="47">
        <f t="shared" si="19"/>
        <v>225889564.38999999</v>
      </c>
      <c r="E31" s="47">
        <f t="shared" si="19"/>
        <v>189989766.20999998</v>
      </c>
      <c r="F31" s="47">
        <f t="shared" si="19"/>
        <v>194763087.39000005</v>
      </c>
      <c r="G31" s="47">
        <f t="shared" ref="G31:H31" si="20">G30-G29</f>
        <v>208353154.13</v>
      </c>
      <c r="H31" s="47">
        <f t="shared" si="20"/>
        <v>212429568.71999994</v>
      </c>
      <c r="I31" s="47">
        <f t="shared" si="19"/>
        <v>229102300.55000001</v>
      </c>
      <c r="J31" s="47">
        <f t="shared" si="0"/>
        <v>100</v>
      </c>
      <c r="K31" s="48">
        <f t="shared" si="1"/>
        <v>7.8485927973502356</v>
      </c>
      <c r="L31" s="47">
        <f>L30-L29</f>
        <v>198971773.85000005</v>
      </c>
      <c r="M31" s="49">
        <f>IF(I31&gt;0,L31/I31*100,"-")</f>
        <v>86.848439920652751</v>
      </c>
    </row>
    <row r="32" spans="1:13" x14ac:dyDescent="0.3">
      <c r="L32" s="6"/>
    </row>
    <row r="33" spans="12:12" x14ac:dyDescent="0.3">
      <c r="L33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showGridLines="0" topLeftCell="B1" workbookViewId="0">
      <selection activeCell="I35" sqref="I35"/>
    </sheetView>
  </sheetViews>
  <sheetFormatPr defaultRowHeight="14.4" x14ac:dyDescent="0.3"/>
  <cols>
    <col min="1" max="1" width="50.6640625" bestFit="1" customWidth="1"/>
    <col min="2" max="4" width="12.5546875" bestFit="1" customWidth="1"/>
    <col min="5" max="8" width="12.5546875" style="100" bestFit="1" customWidth="1"/>
    <col min="9" max="10" width="12.5546875" bestFit="1" customWidth="1"/>
    <col min="11" max="11" width="11.21875" bestFit="1" customWidth="1"/>
  </cols>
  <sheetData>
    <row r="1" spans="1:11" x14ac:dyDescent="0.3">
      <c r="A1" s="39"/>
      <c r="B1" s="115">
        <v>2016</v>
      </c>
      <c r="C1" s="115">
        <v>2017</v>
      </c>
      <c r="D1" s="115">
        <v>2018</v>
      </c>
      <c r="E1" s="115">
        <v>2019</v>
      </c>
      <c r="F1" s="115">
        <v>2020</v>
      </c>
      <c r="G1" s="115">
        <v>2021</v>
      </c>
      <c r="H1" s="115">
        <v>2022</v>
      </c>
      <c r="I1" s="115">
        <v>2023</v>
      </c>
      <c r="J1" s="115" t="s">
        <v>266</v>
      </c>
      <c r="K1" s="115" t="s">
        <v>340</v>
      </c>
    </row>
    <row r="2" spans="1:11" x14ac:dyDescent="0.3">
      <c r="A2" s="57" t="s">
        <v>298</v>
      </c>
      <c r="B2" s="59">
        <f>Entrate_Uscite!B56</f>
        <v>35735832.429999977</v>
      </c>
      <c r="C2" s="59">
        <f>Entrate_Uscite!E56</f>
        <v>22194371.710000038</v>
      </c>
      <c r="D2" s="59">
        <f>Entrate_Uscite!H56</f>
        <v>38032496.270000011</v>
      </c>
      <c r="E2" s="59">
        <f>Entrate_Uscite!K56</f>
        <v>43799637.030000031</v>
      </c>
      <c r="F2" s="59">
        <f>Entrate_Uscite!N56</f>
        <v>57990266.25</v>
      </c>
      <c r="G2" s="59">
        <f>Entrate_Uscite!Q56</f>
        <v>30504182.640000015</v>
      </c>
      <c r="H2" s="59">
        <f>Entrate_Uscite!T56</f>
        <v>46810403.900000036</v>
      </c>
      <c r="I2" s="59">
        <f>Entrate_Uscite!W56</f>
        <v>57094538.969999999</v>
      </c>
      <c r="J2" s="59">
        <f>I2-H2</f>
        <v>10284135.069999963</v>
      </c>
      <c r="K2" s="59">
        <f>Entrate_Uscite!X56</f>
        <v>-11588082.230000019</v>
      </c>
    </row>
    <row r="3" spans="1:11" x14ac:dyDescent="0.3">
      <c r="A3" s="57" t="s">
        <v>72</v>
      </c>
      <c r="B3" s="60">
        <f>Entrate_Uscite!B57</f>
        <v>-7859179.5300000012</v>
      </c>
      <c r="C3" s="60">
        <f>Entrate_Uscite!E57</f>
        <v>-6630268.2700000014</v>
      </c>
      <c r="D3" s="60">
        <f>Entrate_Uscite!H57</f>
        <v>22662457.869999997</v>
      </c>
      <c r="E3" s="60">
        <f>Entrate_Uscite!K57</f>
        <v>-6211752.450000003</v>
      </c>
      <c r="F3" s="60">
        <f>Entrate_Uscite!N57</f>
        <v>-9949083.0800000019</v>
      </c>
      <c r="G3" s="60">
        <f>Entrate_Uscite!Q57</f>
        <v>-6774074.1099999975</v>
      </c>
      <c r="H3" s="60">
        <f>Entrate_Uscite!T57</f>
        <v>12247983.930000003</v>
      </c>
      <c r="I3" s="60">
        <f>Entrate_Uscite!W57</f>
        <v>-21804469.990000002</v>
      </c>
      <c r="J3" s="59">
        <f t="shared" ref="J3:J6" si="0">I3-H3</f>
        <v>-34052453.920000002</v>
      </c>
      <c r="K3" s="59">
        <f>Entrate_Uscite!X57</f>
        <v>-22585372.270000003</v>
      </c>
    </row>
    <row r="4" spans="1:11" x14ac:dyDescent="0.3">
      <c r="A4" s="57" t="s">
        <v>301</v>
      </c>
      <c r="B4" s="60">
        <f>Entrate_Uscite!B16-Entrate_Uscite!B50</f>
        <v>131857.45999999996</v>
      </c>
      <c r="C4" s="60">
        <f>Entrate_Uscite!E16-Entrate_Uscite!E50</f>
        <v>6107.15</v>
      </c>
      <c r="D4" s="60">
        <f>Entrate_Uscite!H16-Entrate_Uscite!H50</f>
        <v>0</v>
      </c>
      <c r="E4" s="60">
        <f>Entrate_Uscite!K16-Entrate_Uscite!K50</f>
        <v>200.33</v>
      </c>
      <c r="F4" s="60">
        <f>Entrate_Uscite!N16-Entrate_Uscite!N50</f>
        <v>-2077568.37</v>
      </c>
      <c r="G4" s="60">
        <f>Entrate_Uscite!Q16-Entrate_Uscite!Q50</f>
        <v>0</v>
      </c>
      <c r="H4" s="60">
        <f>Entrate_Uscite!T16-Entrate_Uscite!T50</f>
        <v>5.000000074505806E-2</v>
      </c>
      <c r="I4" s="60">
        <f>Entrate_Uscite!W16-Entrate_Uscite!W50</f>
        <v>0</v>
      </c>
      <c r="J4" s="59">
        <f t="shared" si="0"/>
        <v>-5.000000074505806E-2</v>
      </c>
      <c r="K4" s="60">
        <f>Entrate_Uscite!X16-Entrate_Uscite!X50</f>
        <v>-2986846.9</v>
      </c>
    </row>
    <row r="5" spans="1:11" x14ac:dyDescent="0.3">
      <c r="A5" s="113" t="s">
        <v>299</v>
      </c>
      <c r="B5" s="61">
        <f>Entrate_Uscite!B58</f>
        <v>28008510.359999985</v>
      </c>
      <c r="C5" s="61">
        <f>Entrate_Uscite!E58</f>
        <v>15570210.590000033</v>
      </c>
      <c r="D5" s="61">
        <f>Entrate_Uscite!H58</f>
        <v>60694954.140000015</v>
      </c>
      <c r="E5" s="61">
        <f>Entrate_Uscite!K58</f>
        <v>37588084.910000056</v>
      </c>
      <c r="F5" s="61">
        <f>Entrate_Uscite!N58</f>
        <v>45963614.799999982</v>
      </c>
      <c r="G5" s="61">
        <f>Entrate_Uscite!Q58</f>
        <v>23730108.530000031</v>
      </c>
      <c r="H5" s="61">
        <f>Entrate_Uscite!T58</f>
        <v>59058387.880000025</v>
      </c>
      <c r="I5" s="61">
        <f>Entrate_Uscite!W58</f>
        <v>35290068.979999989</v>
      </c>
      <c r="J5" s="61">
        <f t="shared" si="0"/>
        <v>-23768318.900000036</v>
      </c>
      <c r="K5" s="61">
        <f>Entrate_Uscite!X58</f>
        <v>-37160301.400000036</v>
      </c>
    </row>
    <row r="6" spans="1:11" x14ac:dyDescent="0.3">
      <c r="A6" s="36" t="s">
        <v>300</v>
      </c>
      <c r="B6" s="62">
        <f>Entrate_Uscite!B59</f>
        <v>24893367.069999993</v>
      </c>
      <c r="C6" s="62">
        <f>Entrate_Uscite!E59</f>
        <v>5028248.8500000834</v>
      </c>
      <c r="D6" s="62">
        <f>Entrate_Uscite!H59</f>
        <v>28207903.74000001</v>
      </c>
      <c r="E6" s="62">
        <f>Entrate_Uscite!K59</f>
        <v>30106133.27000007</v>
      </c>
      <c r="F6" s="62">
        <f>Entrate_Uscite!N59</f>
        <v>42132632.619999975</v>
      </c>
      <c r="G6" s="62">
        <f>Entrate_Uscite!Q59</f>
        <v>30356658</v>
      </c>
      <c r="H6" s="62">
        <f>Entrate_Uscite!T59</f>
        <v>62561218.160000056</v>
      </c>
      <c r="I6" s="62">
        <f>Entrate_Uscite!W59</f>
        <v>32112560.369999945</v>
      </c>
      <c r="J6" s="62">
        <f t="shared" si="0"/>
        <v>-30448657.790000111</v>
      </c>
      <c r="K6" s="62">
        <f>Entrate_Uscite!X59</f>
        <v>-40337810.01000005</v>
      </c>
    </row>
    <row r="7" spans="1:11" x14ac:dyDescent="0.3">
      <c r="J7" s="6"/>
    </row>
    <row r="8" spans="1:11" x14ac:dyDescent="0.3">
      <c r="J8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workbookViewId="0">
      <selection activeCell="K2" sqref="K2:K23"/>
    </sheetView>
  </sheetViews>
  <sheetFormatPr defaultRowHeight="14.4" x14ac:dyDescent="0.3"/>
  <cols>
    <col min="1" max="1" width="36.44140625" bestFit="1" customWidth="1"/>
    <col min="2" max="7" width="11.109375" bestFit="1" customWidth="1"/>
    <col min="8" max="11" width="11.109375" style="100" bestFit="1" customWidth="1"/>
    <col min="12" max="12" width="13.88671875" bestFit="1" customWidth="1"/>
    <col min="13" max="13" width="12.6640625" bestFit="1" customWidth="1"/>
    <col min="14" max="14" width="10" bestFit="1" customWidth="1"/>
  </cols>
  <sheetData>
    <row r="1" spans="1:13" x14ac:dyDescent="0.3">
      <c r="A1" s="39"/>
      <c r="B1" s="95">
        <v>2014</v>
      </c>
      <c r="C1" s="95">
        <v>2015</v>
      </c>
      <c r="D1" s="95">
        <v>2016</v>
      </c>
      <c r="E1" s="95">
        <v>2017</v>
      </c>
      <c r="F1" s="64">
        <v>2018</v>
      </c>
      <c r="G1" s="95">
        <v>2019</v>
      </c>
      <c r="H1" s="64">
        <v>2020</v>
      </c>
      <c r="I1" s="64">
        <v>2021</v>
      </c>
      <c r="J1" s="64">
        <v>2022</v>
      </c>
      <c r="K1" s="64">
        <v>2023</v>
      </c>
    </row>
    <row r="2" spans="1:13" x14ac:dyDescent="0.3">
      <c r="A2" t="s">
        <v>5</v>
      </c>
      <c r="B2" s="1">
        <v>5674040.6600000001</v>
      </c>
      <c r="C2" s="1">
        <v>23113377.77</v>
      </c>
      <c r="D2" s="1">
        <v>27861616.370000001</v>
      </c>
      <c r="E2" s="1">
        <v>16717861.99</v>
      </c>
      <c r="F2" s="1">
        <v>41983260.07</v>
      </c>
      <c r="G2" s="1">
        <v>49429551.140000001</v>
      </c>
      <c r="H2" s="1">
        <v>75758186.060000002</v>
      </c>
      <c r="I2" s="1">
        <v>79979097.109999999</v>
      </c>
      <c r="J2" s="1">
        <v>125278335.04000001</v>
      </c>
      <c r="K2" s="1">
        <v>105587945.16</v>
      </c>
    </row>
    <row r="3" spans="1:13" x14ac:dyDescent="0.3">
      <c r="A3" t="s">
        <v>6</v>
      </c>
      <c r="B3" s="1">
        <v>197851104.27000001</v>
      </c>
      <c r="C3" s="1">
        <v>197500680.94999999</v>
      </c>
      <c r="D3" s="1">
        <v>211522335.28</v>
      </c>
      <c r="E3" s="1">
        <v>197238026.13999999</v>
      </c>
      <c r="F3" s="1">
        <v>211088047.03</v>
      </c>
      <c r="G3" s="1">
        <v>217039954.91999999</v>
      </c>
      <c r="H3" s="1">
        <v>190809706.96000001</v>
      </c>
      <c r="I3" s="1">
        <v>185902707.28999999</v>
      </c>
      <c r="J3" s="1">
        <v>180653919.41</v>
      </c>
      <c r="K3" s="1">
        <v>211559061.16</v>
      </c>
    </row>
    <row r="4" spans="1:13" x14ac:dyDescent="0.3">
      <c r="A4" t="s">
        <v>7</v>
      </c>
      <c r="B4" s="1">
        <v>107939310.54000001</v>
      </c>
      <c r="C4" s="1">
        <v>68566315.469999999</v>
      </c>
      <c r="D4" s="1">
        <v>65022932.270000003</v>
      </c>
      <c r="E4" s="1">
        <v>62115563.670000002</v>
      </c>
      <c r="F4" s="1">
        <v>59540433.859999999</v>
      </c>
      <c r="G4" s="1">
        <v>47281433.159999996</v>
      </c>
      <c r="H4" s="1">
        <v>51872230.780000001</v>
      </c>
      <c r="I4" s="1">
        <v>52027637.170000002</v>
      </c>
      <c r="J4" s="1">
        <v>51703259.130000003</v>
      </c>
      <c r="K4" s="1">
        <v>46975773.200000003</v>
      </c>
    </row>
    <row r="5" spans="1:13" x14ac:dyDescent="0.3">
      <c r="A5" t="s">
        <v>8</v>
      </c>
      <c r="B5" s="1">
        <v>2372174.34</v>
      </c>
      <c r="C5" s="1">
        <v>4359990.53</v>
      </c>
      <c r="D5" s="1">
        <v>4631787.93</v>
      </c>
      <c r="E5" s="1">
        <v>4448093.78</v>
      </c>
      <c r="F5" s="1">
        <v>3546650.92</v>
      </c>
      <c r="G5" s="1">
        <v>3962697.37</v>
      </c>
      <c r="H5" s="1">
        <v>9808922.2699999996</v>
      </c>
      <c r="I5" s="1">
        <v>7762547.6299999999</v>
      </c>
      <c r="J5" s="1">
        <v>6532353.0499999998</v>
      </c>
      <c r="K5" s="1">
        <v>9064782.6099999994</v>
      </c>
    </row>
    <row r="6" spans="1:13" x14ac:dyDescent="0.3">
      <c r="A6" t="s">
        <v>9</v>
      </c>
      <c r="B6" s="1">
        <v>6119571.0800000001</v>
      </c>
      <c r="C6" s="1">
        <v>22722022.600000001</v>
      </c>
      <c r="D6" s="1">
        <v>29753702.98</v>
      </c>
      <c r="E6" s="1">
        <v>31747995.710000001</v>
      </c>
      <c r="F6" s="1">
        <v>45691757.270000003</v>
      </c>
      <c r="G6" s="1">
        <v>37547821.280000001</v>
      </c>
      <c r="H6" s="1">
        <v>34370576.770000003</v>
      </c>
      <c r="I6" s="1">
        <v>43835570.799999997</v>
      </c>
      <c r="J6" s="1">
        <v>58108215.729999997</v>
      </c>
      <c r="K6" s="1">
        <v>72192644.5</v>
      </c>
    </row>
    <row r="7" spans="1:13" x14ac:dyDescent="0.3">
      <c r="A7" s="4" t="s">
        <v>0</v>
      </c>
      <c r="B7" s="3">
        <f t="shared" ref="B7:G7" si="0">B2+B3-B4-B5-B6</f>
        <v>87094088.969999999</v>
      </c>
      <c r="C7" s="3">
        <f t="shared" si="0"/>
        <v>124965730.12</v>
      </c>
      <c r="D7" s="3">
        <f t="shared" si="0"/>
        <v>139975528.47</v>
      </c>
      <c r="E7" s="3">
        <f t="shared" si="0"/>
        <v>115644234.96999997</v>
      </c>
      <c r="F7" s="3">
        <f t="shared" si="0"/>
        <v>144292465.05000001</v>
      </c>
      <c r="G7" s="3">
        <f t="shared" si="0"/>
        <v>177677554.25</v>
      </c>
      <c r="H7" s="3">
        <f t="shared" ref="H7:K7" si="1">H2+H3-H4-H5-H6</f>
        <v>170516163.19999999</v>
      </c>
      <c r="I7" s="3">
        <f t="shared" ref="I7:J7" si="2">I2+I3-I4-I5-I6</f>
        <v>162256048.79999995</v>
      </c>
      <c r="J7" s="3">
        <f t="shared" si="2"/>
        <v>189588426.53999999</v>
      </c>
      <c r="K7" s="3">
        <f t="shared" si="1"/>
        <v>188913806.00999999</v>
      </c>
    </row>
    <row r="8" spans="1:13" x14ac:dyDescent="0.3">
      <c r="A8" t="s">
        <v>10</v>
      </c>
      <c r="B8" s="1">
        <v>42600807</v>
      </c>
      <c r="C8" s="1">
        <v>59334996.640000001</v>
      </c>
      <c r="D8" s="1">
        <v>75724467.120000005</v>
      </c>
      <c r="E8" s="1">
        <v>108233876.70999999</v>
      </c>
      <c r="F8" s="1">
        <v>129276166.81</v>
      </c>
      <c r="G8" s="1">
        <v>142330602.13</v>
      </c>
      <c r="H8" s="1">
        <v>120216071.56999999</v>
      </c>
      <c r="I8" s="1">
        <v>112267353.95999999</v>
      </c>
      <c r="J8" s="1">
        <v>102840527.5</v>
      </c>
      <c r="K8" s="1">
        <v>133250953.84999999</v>
      </c>
    </row>
    <row r="9" spans="1:13" x14ac:dyDescent="0.3">
      <c r="A9" t="s">
        <v>11</v>
      </c>
      <c r="B9" s="1">
        <v>0</v>
      </c>
      <c r="C9" s="1">
        <v>22643141.129999999</v>
      </c>
      <c r="D9" s="1">
        <v>22053641.129999999</v>
      </c>
      <c r="E9" s="1">
        <v>21452526.829999998</v>
      </c>
      <c r="F9" s="1">
        <v>137272.16</v>
      </c>
      <c r="G9" s="1">
        <v>0</v>
      </c>
      <c r="H9" s="1">
        <v>0</v>
      </c>
      <c r="I9" s="1">
        <v>0</v>
      </c>
      <c r="J9" s="1">
        <v>0</v>
      </c>
      <c r="K9" s="1">
        <v>0</v>
      </c>
    </row>
    <row r="10" spans="1:13" x14ac:dyDescent="0.3">
      <c r="A10" t="s">
        <v>12</v>
      </c>
      <c r="B10" s="1">
        <v>0</v>
      </c>
      <c r="C10" s="1">
        <v>100000</v>
      </c>
      <c r="D10" s="1">
        <v>152700</v>
      </c>
      <c r="E10" s="1">
        <v>210700</v>
      </c>
      <c r="F10" s="1">
        <v>243980</v>
      </c>
      <c r="G10" s="1">
        <v>479840.4</v>
      </c>
      <c r="H10" s="1">
        <v>532161.4</v>
      </c>
      <c r="I10" s="1">
        <v>541064.69999999995</v>
      </c>
      <c r="J10" s="1">
        <v>317807.27</v>
      </c>
      <c r="K10" s="1">
        <v>409101.5</v>
      </c>
    </row>
    <row r="11" spans="1:13" x14ac:dyDescent="0.3">
      <c r="A11" t="s">
        <v>13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1305391.82</v>
      </c>
      <c r="H11" s="1">
        <v>2636033.54</v>
      </c>
      <c r="I11" s="1">
        <v>6186821.96</v>
      </c>
      <c r="J11" s="1">
        <v>7086821.96</v>
      </c>
      <c r="K11" s="1">
        <v>7610000</v>
      </c>
    </row>
    <row r="12" spans="1:13" x14ac:dyDescent="0.3">
      <c r="A12" t="s">
        <v>14</v>
      </c>
      <c r="B12" s="1">
        <v>1776438.7599999979</v>
      </c>
      <c r="C12" s="1">
        <v>12903072.870000005</v>
      </c>
      <c r="D12" s="1">
        <v>16455852.620000005</v>
      </c>
      <c r="E12" s="1">
        <v>4006513.1400000155</v>
      </c>
      <c r="F12" s="1">
        <v>3570345.6800000034</v>
      </c>
      <c r="G12" s="1">
        <v>4309470.42</v>
      </c>
      <c r="H12" s="1">
        <v>9930012.5800000001</v>
      </c>
      <c r="I12" s="1">
        <v>9977362.7300000004</v>
      </c>
      <c r="J12" s="1">
        <v>1373012.96</v>
      </c>
      <c r="K12" s="1">
        <v>2270218.54</v>
      </c>
      <c r="L12" s="97"/>
    </row>
    <row r="13" spans="1:13" x14ac:dyDescent="0.3">
      <c r="A13" s="4" t="s">
        <v>1</v>
      </c>
      <c r="B13" s="3">
        <f t="shared" ref="B13:G13" si="3">SUM(B8:B12)</f>
        <v>44377245.759999998</v>
      </c>
      <c r="C13" s="3">
        <f t="shared" si="3"/>
        <v>94981210.640000001</v>
      </c>
      <c r="D13" s="3">
        <f t="shared" si="3"/>
        <v>114386660.87</v>
      </c>
      <c r="E13" s="3">
        <f t="shared" si="3"/>
        <v>133903616.68000001</v>
      </c>
      <c r="F13" s="3">
        <f t="shared" si="3"/>
        <v>133227764.65000001</v>
      </c>
      <c r="G13" s="3">
        <f t="shared" si="3"/>
        <v>148425304.76999998</v>
      </c>
      <c r="H13" s="3">
        <f t="shared" ref="H13:K13" si="4">SUM(H8:H12)</f>
        <v>133314279.09</v>
      </c>
      <c r="I13" s="3">
        <f t="shared" ref="I13:J13" si="5">SUM(I8:I12)</f>
        <v>128972603.34999999</v>
      </c>
      <c r="J13" s="3">
        <f t="shared" si="5"/>
        <v>111618169.68999998</v>
      </c>
      <c r="K13" s="3">
        <f t="shared" si="4"/>
        <v>143540273.88999999</v>
      </c>
      <c r="L13" s="97"/>
      <c r="M13" s="97"/>
    </row>
    <row r="14" spans="1:13" x14ac:dyDescent="0.3">
      <c r="A14" t="s">
        <v>16</v>
      </c>
      <c r="B14" s="1">
        <v>24113437.02</v>
      </c>
      <c r="C14" s="1">
        <v>411387.33</v>
      </c>
      <c r="D14" s="1">
        <v>1586317.26</v>
      </c>
      <c r="E14" s="1">
        <v>1822112.97</v>
      </c>
      <c r="F14" s="1">
        <v>508061.29</v>
      </c>
      <c r="G14" s="1">
        <v>1899843.63</v>
      </c>
      <c r="H14" s="1">
        <f>3179466+2190220+4744003.98</f>
        <v>10113689.98</v>
      </c>
      <c r="I14" s="1">
        <v>7991841.8499999996</v>
      </c>
      <c r="J14" s="1">
        <v>32319608.34</v>
      </c>
      <c r="K14" s="1">
        <v>9109285.2100000009</v>
      </c>
    </row>
    <row r="15" spans="1:13" x14ac:dyDescent="0.3">
      <c r="A15" t="s">
        <v>15</v>
      </c>
      <c r="B15" s="1">
        <v>7146162.7000000002</v>
      </c>
      <c r="C15" s="1">
        <v>10655287.210000001</v>
      </c>
      <c r="D15" s="1">
        <v>10088458.85</v>
      </c>
      <c r="E15" s="1">
        <v>7449283.5199999996</v>
      </c>
      <c r="F15" s="1">
        <v>6492488.5700000003</v>
      </c>
      <c r="G15" s="1">
        <v>8201373.0199999996</v>
      </c>
      <c r="H15" s="1">
        <v>8509775.8499999996</v>
      </c>
      <c r="I15" s="1">
        <v>9521697.6199999992</v>
      </c>
      <c r="J15" s="1">
        <v>12890249.92</v>
      </c>
      <c r="K15" s="1">
        <v>8600661.6400000006</v>
      </c>
    </row>
    <row r="16" spans="1:13" x14ac:dyDescent="0.3">
      <c r="A16" t="s">
        <v>17</v>
      </c>
      <c r="B16" s="1">
        <v>879907.24</v>
      </c>
      <c r="C16" s="1">
        <v>5023900.08</v>
      </c>
      <c r="D16" s="1">
        <v>6699782.46</v>
      </c>
      <c r="E16" s="1">
        <v>858860.7</v>
      </c>
      <c r="F16" s="1">
        <v>839536.16</v>
      </c>
      <c r="G16" s="1">
        <v>626227.54</v>
      </c>
      <c r="H16" s="1">
        <v>1131776.99</v>
      </c>
      <c r="I16" s="1">
        <v>1636910.4</v>
      </c>
      <c r="J16" s="1">
        <v>2144959.7400000002</v>
      </c>
      <c r="K16" s="1">
        <v>1311572.8500000001</v>
      </c>
    </row>
    <row r="17" spans="1:11" x14ac:dyDescent="0.3">
      <c r="A17" t="s">
        <v>18</v>
      </c>
      <c r="B17" s="1">
        <v>1451119.09</v>
      </c>
      <c r="C17" s="1">
        <v>1732922.21</v>
      </c>
      <c r="D17" s="1">
        <v>1932461.21</v>
      </c>
      <c r="E17" s="1">
        <v>853007.23</v>
      </c>
      <c r="F17" s="1">
        <v>853007.23</v>
      </c>
      <c r="G17" s="1">
        <v>853007.23</v>
      </c>
      <c r="H17" s="1">
        <v>853007.23</v>
      </c>
      <c r="I17" s="1">
        <v>1050981.96</v>
      </c>
      <c r="J17" s="1">
        <v>1375472.6</v>
      </c>
      <c r="K17" s="1">
        <v>1644348.51</v>
      </c>
    </row>
    <row r="18" spans="1:11" x14ac:dyDescent="0.3">
      <c r="A18" t="s">
        <v>19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</row>
    <row r="19" spans="1:11" x14ac:dyDescent="0.3">
      <c r="A19" s="4" t="s">
        <v>2</v>
      </c>
      <c r="B19" s="3">
        <f t="shared" ref="B19:G19" si="6">SUM(B14:B18)</f>
        <v>33590626.049999997</v>
      </c>
      <c r="C19" s="3">
        <f t="shared" si="6"/>
        <v>17823496.830000002</v>
      </c>
      <c r="D19" s="3">
        <f t="shared" si="6"/>
        <v>20307019.780000001</v>
      </c>
      <c r="E19" s="3">
        <f t="shared" si="6"/>
        <v>10983264.42</v>
      </c>
      <c r="F19" s="3">
        <f t="shared" si="6"/>
        <v>8693093.25</v>
      </c>
      <c r="G19" s="3">
        <f t="shared" si="6"/>
        <v>11580451.419999998</v>
      </c>
      <c r="H19" s="3">
        <f t="shared" ref="H19:K19" si="7">SUM(H14:H18)</f>
        <v>20608250.049999997</v>
      </c>
      <c r="I19" s="3">
        <f t="shared" ref="I19:J19" si="8">SUM(I14:I18)</f>
        <v>20201431.829999998</v>
      </c>
      <c r="J19" s="3">
        <f t="shared" si="8"/>
        <v>48730290.600000001</v>
      </c>
      <c r="K19" s="3">
        <f t="shared" si="7"/>
        <v>20665868.210000005</v>
      </c>
    </row>
    <row r="20" spans="1:11" x14ac:dyDescent="0.3">
      <c r="A20" s="4" t="s">
        <v>3</v>
      </c>
      <c r="B20" s="3">
        <v>3333075.28</v>
      </c>
      <c r="C20" s="3">
        <v>11600155.15</v>
      </c>
      <c r="D20" s="3">
        <v>5137024.49</v>
      </c>
      <c r="E20" s="3">
        <v>1401442.3</v>
      </c>
      <c r="F20" s="3">
        <v>2750775.25</v>
      </c>
      <c r="G20" s="3">
        <v>3728529.6</v>
      </c>
      <c r="H20" s="3">
        <v>1762655.11</v>
      </c>
      <c r="I20" s="3">
        <v>581851.31999999995</v>
      </c>
      <c r="J20" s="3">
        <v>8531124.1699999999</v>
      </c>
      <c r="K20" s="3">
        <v>1617410.73</v>
      </c>
    </row>
    <row r="21" spans="1:11" x14ac:dyDescent="0.3">
      <c r="A21" s="65" t="s">
        <v>4</v>
      </c>
      <c r="B21" s="35">
        <f t="shared" ref="B21:G21" si="9">B7-B13-B19-B20</f>
        <v>5793141.8800000045</v>
      </c>
      <c r="C21" s="35">
        <f t="shared" si="9"/>
        <v>560867.50000000186</v>
      </c>
      <c r="D21" s="35">
        <f t="shared" si="9"/>
        <v>144823.32999999262</v>
      </c>
      <c r="E21" s="35">
        <f t="shared" si="9"/>
        <v>-30644088.430000041</v>
      </c>
      <c r="F21" s="35">
        <f t="shared" si="9"/>
        <v>-379168.09999999404</v>
      </c>
      <c r="G21" s="35">
        <f t="shared" si="9"/>
        <v>13943268.460000021</v>
      </c>
      <c r="H21" s="35">
        <f t="shared" ref="H21:K21" si="10">H7-H13-H19-H20</f>
        <v>14830978.949999988</v>
      </c>
      <c r="I21" s="35">
        <f t="shared" ref="I21:J21" si="11">I7-I13-I19-I20</f>
        <v>12500162.29999996</v>
      </c>
      <c r="J21" s="35">
        <f t="shared" si="11"/>
        <v>20708842.080000006</v>
      </c>
      <c r="K21" s="35">
        <f t="shared" si="10"/>
        <v>23090253.18</v>
      </c>
    </row>
    <row r="22" spans="1:11" x14ac:dyDescent="0.3">
      <c r="A22" t="s">
        <v>357</v>
      </c>
      <c r="B22" s="1">
        <v>-14877398.01</v>
      </c>
      <c r="C22" s="1">
        <v>-11608366.32</v>
      </c>
      <c r="D22" s="1">
        <v>-6635248.9199999999</v>
      </c>
      <c r="E22" s="1">
        <v>-32518180.739999998</v>
      </c>
      <c r="F22" s="1">
        <v>12224957.619999999</v>
      </c>
      <c r="G22" s="1">
        <v>-6103606.3399999999</v>
      </c>
      <c r="H22" s="1">
        <v>-48154017.799999997</v>
      </c>
      <c r="I22" s="1">
        <v>-35470352.789999999</v>
      </c>
      <c r="J22" s="1">
        <v>-27451020.789999999</v>
      </c>
      <c r="K22" s="1">
        <v>-18806987.460000001</v>
      </c>
    </row>
    <row r="23" spans="1:11" x14ac:dyDescent="0.3">
      <c r="A23" t="s">
        <v>356</v>
      </c>
      <c r="B23" s="6">
        <f t="shared" ref="B23:G23" si="12">B8/B3*100</f>
        <v>21.531750938253179</v>
      </c>
      <c r="C23" s="6">
        <f t="shared" si="12"/>
        <v>30.042932689949293</v>
      </c>
      <c r="D23" s="6">
        <f t="shared" si="12"/>
        <v>35.799749950642664</v>
      </c>
      <c r="E23" s="6">
        <f t="shared" si="12"/>
        <v>54.874751501100171</v>
      </c>
      <c r="F23" s="6">
        <f t="shared" si="12"/>
        <v>61.242769843631727</v>
      </c>
      <c r="G23" s="6">
        <f t="shared" si="12"/>
        <v>65.578064731197756</v>
      </c>
      <c r="H23" s="102">
        <f t="shared" ref="H23:K23" si="13">H8/H3*100</f>
        <v>63.00312153154831</v>
      </c>
      <c r="I23" s="102">
        <f t="shared" ref="I23:J23" si="14">I8/I3*100</f>
        <v>60.390381397118595</v>
      </c>
      <c r="J23" s="102">
        <f t="shared" si="14"/>
        <v>56.926817771719662</v>
      </c>
      <c r="K23" s="102">
        <f t="shared" si="13"/>
        <v>62.985226498629444</v>
      </c>
    </row>
  </sheetData>
  <conditionalFormatting sqref="D21:G21 K21">
    <cfRule type="cellIs" dxfId="112" priority="24" operator="greaterThan">
      <formula>0</formula>
    </cfRule>
  </conditionalFormatting>
  <conditionalFormatting sqref="D21:G21 K21">
    <cfRule type="cellIs" dxfId="111" priority="21" operator="greaterThan">
      <formula>0</formula>
    </cfRule>
    <cfRule type="cellIs" dxfId="110" priority="22" operator="lessThan">
      <formula>0</formula>
    </cfRule>
  </conditionalFormatting>
  <conditionalFormatting sqref="C21">
    <cfRule type="cellIs" dxfId="109" priority="15" operator="greaterThan">
      <formula>0</formula>
    </cfRule>
  </conditionalFormatting>
  <conditionalFormatting sqref="C21">
    <cfRule type="cellIs" dxfId="108" priority="13" operator="greaterThan">
      <formula>0</formula>
    </cfRule>
    <cfRule type="cellIs" dxfId="107" priority="14" operator="lessThan">
      <formula>0</formula>
    </cfRule>
  </conditionalFormatting>
  <conditionalFormatting sqref="B21">
    <cfRule type="cellIs" dxfId="106" priority="12" operator="greaterThan">
      <formula>0</formula>
    </cfRule>
  </conditionalFormatting>
  <conditionalFormatting sqref="B21">
    <cfRule type="cellIs" dxfId="105" priority="10" operator="greaterThan">
      <formula>0</formula>
    </cfRule>
    <cfRule type="cellIs" dxfId="104" priority="11" operator="lessThan">
      <formula>0</formula>
    </cfRule>
  </conditionalFormatting>
  <conditionalFormatting sqref="H21">
    <cfRule type="cellIs" dxfId="103" priority="9" operator="greaterThan">
      <formula>0</formula>
    </cfRule>
  </conditionalFormatting>
  <conditionalFormatting sqref="H21">
    <cfRule type="cellIs" dxfId="102" priority="7" operator="greaterThan">
      <formula>0</formula>
    </cfRule>
    <cfRule type="cellIs" dxfId="101" priority="8" operator="lessThan">
      <formula>0</formula>
    </cfRule>
  </conditionalFormatting>
  <conditionalFormatting sqref="I21">
    <cfRule type="cellIs" dxfId="100" priority="6" operator="greaterThan">
      <formula>0</formula>
    </cfRule>
  </conditionalFormatting>
  <conditionalFormatting sqref="I21">
    <cfRule type="cellIs" dxfId="99" priority="4" operator="greaterThan">
      <formula>0</formula>
    </cfRule>
    <cfRule type="cellIs" dxfId="98" priority="5" operator="lessThan">
      <formula>0</formula>
    </cfRule>
  </conditionalFormatting>
  <conditionalFormatting sqref="J21">
    <cfRule type="cellIs" dxfId="97" priority="3" operator="greaterThan">
      <formula>0</formula>
    </cfRule>
  </conditionalFormatting>
  <conditionalFormatting sqref="J21">
    <cfRule type="cellIs" dxfId="96" priority="1" operator="greaterThan">
      <formula>0</formula>
    </cfRule>
    <cfRule type="cellIs" dxfId="95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pane xSplit="2" ySplit="1" topLeftCell="H2" activePane="bottomRight" state="frozen"/>
      <selection pane="topRight" activeCell="C1" sqref="C1"/>
      <selection pane="bottomLeft" activeCell="A2" sqref="A2"/>
      <selection pane="bottomRight" activeCell="L2" sqref="L2:L29"/>
    </sheetView>
  </sheetViews>
  <sheetFormatPr defaultRowHeight="14.4" x14ac:dyDescent="0.3"/>
  <cols>
    <col min="1" max="1" width="65.33203125" bestFit="1" customWidth="1"/>
    <col min="2" max="2" width="10.88671875" customWidth="1"/>
    <col min="3" max="8" width="11.109375" bestFit="1" customWidth="1"/>
    <col min="9" max="12" width="11.109375" style="100" bestFit="1" customWidth="1"/>
    <col min="13" max="13" width="12.33203125" style="100" bestFit="1" customWidth="1"/>
  </cols>
  <sheetData>
    <row r="1" spans="1:13" x14ac:dyDescent="0.3">
      <c r="C1" s="96">
        <v>2014</v>
      </c>
      <c r="D1" s="96">
        <v>2015</v>
      </c>
      <c r="E1" s="96">
        <v>2016</v>
      </c>
      <c r="F1" s="12">
        <v>2017</v>
      </c>
      <c r="G1" s="12">
        <v>2018</v>
      </c>
      <c r="H1" s="12">
        <v>2019</v>
      </c>
      <c r="I1" s="111">
        <v>2020</v>
      </c>
      <c r="J1" s="111">
        <v>2021</v>
      </c>
      <c r="K1" s="111">
        <v>2022</v>
      </c>
      <c r="L1" s="111">
        <v>2023</v>
      </c>
      <c r="M1" s="111" t="s">
        <v>266</v>
      </c>
    </row>
    <row r="2" spans="1:13" x14ac:dyDescent="0.3">
      <c r="A2" t="s">
        <v>236</v>
      </c>
      <c r="B2" s="24" t="s">
        <v>260</v>
      </c>
      <c r="C2" s="90">
        <v>139025338</v>
      </c>
      <c r="D2" s="90">
        <v>123739827.2</v>
      </c>
      <c r="E2" s="1">
        <v>111902531.08</v>
      </c>
      <c r="F2" s="1">
        <v>114069680.39</v>
      </c>
      <c r="G2" s="1">
        <v>114579953.56999999</v>
      </c>
      <c r="H2" s="1">
        <v>116269978.76000001</v>
      </c>
      <c r="I2" s="1">
        <v>112976407.84</v>
      </c>
      <c r="J2" s="1">
        <v>109710383.64</v>
      </c>
      <c r="K2" s="1">
        <v>114159624.09999999</v>
      </c>
      <c r="L2" s="1">
        <v>120725973.61</v>
      </c>
      <c r="M2" s="1">
        <f>L2-K2</f>
        <v>6566349.5100000054</v>
      </c>
    </row>
    <row r="3" spans="1:13" x14ac:dyDescent="0.3">
      <c r="A3" t="s">
        <v>237</v>
      </c>
      <c r="B3" s="24" t="s">
        <v>260</v>
      </c>
      <c r="C3" s="90">
        <v>22281414</v>
      </c>
      <c r="D3" s="90">
        <v>17287018.370000001</v>
      </c>
      <c r="E3" s="1">
        <v>30820337.329999998</v>
      </c>
      <c r="F3" s="1">
        <v>31163439.93</v>
      </c>
      <c r="G3" s="1">
        <v>31542160.100000001</v>
      </c>
      <c r="H3" s="1">
        <v>31542160.100000001</v>
      </c>
      <c r="I3" s="1">
        <v>31798850.210000001</v>
      </c>
      <c r="J3" s="1">
        <v>33840160.600000001</v>
      </c>
      <c r="K3" s="1">
        <v>34731453.890000001</v>
      </c>
      <c r="L3" s="1">
        <v>34535635.93</v>
      </c>
      <c r="M3" s="1">
        <f t="shared" ref="M3:M29" si="0">L3-K3</f>
        <v>-195817.96000000089</v>
      </c>
    </row>
    <row r="4" spans="1:13" x14ac:dyDescent="0.3">
      <c r="A4" t="s">
        <v>238</v>
      </c>
      <c r="B4" s="24" t="s">
        <v>260</v>
      </c>
      <c r="C4" s="90">
        <v>18527453</v>
      </c>
      <c r="D4" s="90">
        <v>22563100.859999999</v>
      </c>
      <c r="E4" s="1">
        <v>18476036.68</v>
      </c>
      <c r="F4" s="1">
        <v>20554047.140000001</v>
      </c>
      <c r="G4" s="1">
        <v>16329388.119999999</v>
      </c>
      <c r="H4" s="1">
        <v>16688520.59</v>
      </c>
      <c r="I4" s="1">
        <v>38443627.369999997</v>
      </c>
      <c r="J4" s="1">
        <v>24525016.039999999</v>
      </c>
      <c r="K4" s="1">
        <v>30351187.670000002</v>
      </c>
      <c r="L4" s="1">
        <v>19639121.52</v>
      </c>
      <c r="M4" s="1">
        <f t="shared" si="0"/>
        <v>-10712066.150000002</v>
      </c>
    </row>
    <row r="5" spans="1:13" x14ac:dyDescent="0.3">
      <c r="A5" t="s">
        <v>239</v>
      </c>
      <c r="B5" s="24" t="s">
        <v>260</v>
      </c>
      <c r="C5" s="90">
        <f>7419939+127714+13652018</f>
        <v>21199671</v>
      </c>
      <c r="D5" s="90">
        <v>35809584.240000002</v>
      </c>
      <c r="E5" s="1">
        <v>20463000.32</v>
      </c>
      <c r="F5" s="1">
        <v>17856369.77</v>
      </c>
      <c r="G5" s="1">
        <v>19117682.969999999</v>
      </c>
      <c r="H5" s="1">
        <v>19801266.600000001</v>
      </c>
      <c r="I5" s="1">
        <v>15247439.140000001</v>
      </c>
      <c r="J5" s="1">
        <v>20249094.77</v>
      </c>
      <c r="K5" s="1">
        <v>23543637.02</v>
      </c>
      <c r="L5" s="1">
        <v>25059576.289999999</v>
      </c>
      <c r="M5" s="1">
        <f t="shared" si="0"/>
        <v>1515939.2699999996</v>
      </c>
    </row>
    <row r="6" spans="1:13" x14ac:dyDescent="0.3">
      <c r="A6" t="s">
        <v>240</v>
      </c>
      <c r="B6" s="24" t="s">
        <v>260</v>
      </c>
      <c r="C6" s="90">
        <v>0</v>
      </c>
      <c r="D6" s="90">
        <v>0</v>
      </c>
      <c r="E6" s="90">
        <v>0</v>
      </c>
      <c r="F6" s="90">
        <v>0</v>
      </c>
      <c r="G6" s="90">
        <v>0</v>
      </c>
      <c r="H6" s="90">
        <v>0</v>
      </c>
      <c r="I6" s="90">
        <v>0</v>
      </c>
      <c r="J6" s="90">
        <v>0</v>
      </c>
      <c r="K6" s="90">
        <v>0</v>
      </c>
      <c r="L6" s="1">
        <v>0</v>
      </c>
      <c r="M6" s="1">
        <f t="shared" si="0"/>
        <v>0</v>
      </c>
    </row>
    <row r="7" spans="1:13" x14ac:dyDescent="0.3">
      <c r="A7" t="s">
        <v>241</v>
      </c>
      <c r="B7" s="24" t="s">
        <v>260</v>
      </c>
      <c r="C7" s="90">
        <v>0</v>
      </c>
      <c r="D7" s="90">
        <v>0</v>
      </c>
      <c r="E7" s="90">
        <v>0</v>
      </c>
      <c r="F7" s="90">
        <v>0</v>
      </c>
      <c r="G7" s="90">
        <v>0</v>
      </c>
      <c r="H7" s="90">
        <v>0</v>
      </c>
      <c r="I7" s="90">
        <v>0</v>
      </c>
      <c r="J7" s="90">
        <v>0</v>
      </c>
      <c r="K7" s="90">
        <v>0</v>
      </c>
      <c r="L7" s="1">
        <v>0</v>
      </c>
      <c r="M7" s="1">
        <f t="shared" si="0"/>
        <v>0</v>
      </c>
    </row>
    <row r="8" spans="1:13" x14ac:dyDescent="0.3">
      <c r="A8" t="s">
        <v>242</v>
      </c>
      <c r="B8" s="24" t="s">
        <v>260</v>
      </c>
      <c r="C8" s="90">
        <v>0</v>
      </c>
      <c r="D8" s="90">
        <v>0</v>
      </c>
      <c r="E8" s="90">
        <v>0</v>
      </c>
      <c r="F8" s="90">
        <v>0</v>
      </c>
      <c r="G8" s="90">
        <v>0</v>
      </c>
      <c r="H8" s="90">
        <v>0</v>
      </c>
      <c r="I8" s="90">
        <v>0</v>
      </c>
      <c r="J8" s="90">
        <v>0</v>
      </c>
      <c r="K8" s="90">
        <v>0</v>
      </c>
      <c r="L8" s="1">
        <v>0</v>
      </c>
      <c r="M8" s="1">
        <f t="shared" si="0"/>
        <v>0</v>
      </c>
    </row>
    <row r="9" spans="1:13" x14ac:dyDescent="0.3">
      <c r="A9" s="30" t="s">
        <v>243</v>
      </c>
      <c r="B9" s="31" t="s">
        <v>260</v>
      </c>
      <c r="C9" s="91">
        <v>19154957</v>
      </c>
      <c r="D9" s="91">
        <v>23100699.43</v>
      </c>
      <c r="E9" s="32">
        <v>26179578.100000001</v>
      </c>
      <c r="F9" s="32">
        <v>21996969.34</v>
      </c>
      <c r="G9" s="32">
        <v>15963384.859999999</v>
      </c>
      <c r="H9" s="32">
        <v>16076380.189999999</v>
      </c>
      <c r="I9" s="32">
        <v>15424482.1</v>
      </c>
      <c r="J9" s="32">
        <v>18284240.100000001</v>
      </c>
      <c r="K9" s="32">
        <v>29579436.670000002</v>
      </c>
      <c r="L9" s="1">
        <v>38560289.399999999</v>
      </c>
      <c r="M9" s="1">
        <f t="shared" si="0"/>
        <v>8980852.7299999967</v>
      </c>
    </row>
    <row r="10" spans="1:13" x14ac:dyDescent="0.3">
      <c r="A10" s="33" t="s">
        <v>264</v>
      </c>
      <c r="B10" s="34" t="s">
        <v>260</v>
      </c>
      <c r="C10" s="89">
        <f t="shared" ref="C10:H10" si="1">SUM(C2:C9)</f>
        <v>220188833</v>
      </c>
      <c r="D10" s="89">
        <f t="shared" si="1"/>
        <v>222500230.10000002</v>
      </c>
      <c r="E10" s="89">
        <f t="shared" si="1"/>
        <v>207841483.50999999</v>
      </c>
      <c r="F10" s="89">
        <f t="shared" si="1"/>
        <v>205640506.56999999</v>
      </c>
      <c r="G10" s="89">
        <f t="shared" si="1"/>
        <v>197532569.62</v>
      </c>
      <c r="H10" s="89">
        <f t="shared" si="1"/>
        <v>200378306.24000001</v>
      </c>
      <c r="I10" s="89">
        <f t="shared" ref="I10:L10" si="2">SUM(I2:I9)</f>
        <v>213890806.66</v>
      </c>
      <c r="J10" s="89">
        <f t="shared" ref="J10:K10" si="3">SUM(J2:J9)</f>
        <v>206608895.15000001</v>
      </c>
      <c r="K10" s="89">
        <f t="shared" si="3"/>
        <v>232365339.35000002</v>
      </c>
      <c r="L10" s="89">
        <f t="shared" si="2"/>
        <v>238520596.75</v>
      </c>
      <c r="M10" s="11">
        <f t="shared" si="0"/>
        <v>6155257.3999999762</v>
      </c>
    </row>
    <row r="11" spans="1:13" x14ac:dyDescent="0.3">
      <c r="A11" t="s">
        <v>244</v>
      </c>
      <c r="B11" s="24" t="s">
        <v>261</v>
      </c>
      <c r="C11" s="90">
        <v>1186668</v>
      </c>
      <c r="D11" s="90">
        <v>1029037.63</v>
      </c>
      <c r="E11" s="1">
        <v>1072731.95</v>
      </c>
      <c r="F11" s="1">
        <v>1053599.25</v>
      </c>
      <c r="G11" s="1">
        <v>1189130.98</v>
      </c>
      <c r="H11" s="1">
        <v>1177594.26</v>
      </c>
      <c r="I11" s="1">
        <v>2006607</v>
      </c>
      <c r="J11" s="1">
        <v>1992312.03</v>
      </c>
      <c r="K11" s="1">
        <v>1125423.8999999999</v>
      </c>
      <c r="L11" s="1">
        <v>1330680.01</v>
      </c>
      <c r="M11" s="1">
        <f t="shared" si="0"/>
        <v>205256.1100000001</v>
      </c>
    </row>
    <row r="12" spans="1:13" x14ac:dyDescent="0.3">
      <c r="A12" t="s">
        <v>245</v>
      </c>
      <c r="B12" s="24" t="s">
        <v>261</v>
      </c>
      <c r="C12" s="90">
        <v>106171381</v>
      </c>
      <c r="D12" s="90">
        <v>97865537.349999994</v>
      </c>
      <c r="E12" s="1">
        <v>106387487.45999999</v>
      </c>
      <c r="F12" s="1">
        <v>103258285.56</v>
      </c>
      <c r="G12" s="1">
        <v>92786715.269999996</v>
      </c>
      <c r="H12" s="1">
        <v>87488178.730000004</v>
      </c>
      <c r="I12" s="1">
        <v>82228208.450000003</v>
      </c>
      <c r="J12" s="1">
        <v>97814760.459999993</v>
      </c>
      <c r="K12" s="1">
        <v>91894528.329999998</v>
      </c>
      <c r="L12" s="1">
        <v>97145659.079999998</v>
      </c>
      <c r="M12" s="1">
        <f t="shared" si="0"/>
        <v>5251130.75</v>
      </c>
    </row>
    <row r="13" spans="1:13" x14ac:dyDescent="0.3">
      <c r="A13" t="s">
        <v>246</v>
      </c>
      <c r="B13" s="24" t="s">
        <v>261</v>
      </c>
      <c r="C13" s="90">
        <v>1349860</v>
      </c>
      <c r="D13" s="90">
        <v>1120394.26</v>
      </c>
      <c r="E13" s="1">
        <v>1056312.3</v>
      </c>
      <c r="F13" s="1">
        <v>1100004.07</v>
      </c>
      <c r="G13" s="1">
        <v>1096482.26</v>
      </c>
      <c r="H13" s="1">
        <v>1003223.84</v>
      </c>
      <c r="I13" s="1">
        <v>913236.61</v>
      </c>
      <c r="J13" s="1">
        <v>1014853.07</v>
      </c>
      <c r="K13" s="1">
        <v>1117266.1100000001</v>
      </c>
      <c r="L13" s="1">
        <v>1185668.5</v>
      </c>
      <c r="M13" s="1">
        <f t="shared" si="0"/>
        <v>68402.389999999898</v>
      </c>
    </row>
    <row r="14" spans="1:13" x14ac:dyDescent="0.3">
      <c r="A14" t="s">
        <v>247</v>
      </c>
      <c r="B14" s="24" t="s">
        <v>261</v>
      </c>
      <c r="C14" s="90">
        <v>30162681</v>
      </c>
      <c r="D14" s="90">
        <v>15178665.92</v>
      </c>
      <c r="E14" s="1">
        <v>21962992.18</v>
      </c>
      <c r="F14" s="1">
        <v>20030188.91</v>
      </c>
      <c r="G14" s="1">
        <v>23664978.329999998</v>
      </c>
      <c r="H14" s="1">
        <v>25281678.890000001</v>
      </c>
      <c r="I14" s="1">
        <v>30084621.559999999</v>
      </c>
      <c r="J14" s="1">
        <v>34762662.640000001</v>
      </c>
      <c r="K14" s="1">
        <v>32032051.379999999</v>
      </c>
      <c r="L14" s="1">
        <v>45093215.859999999</v>
      </c>
      <c r="M14" s="1">
        <f t="shared" si="0"/>
        <v>13061164.48</v>
      </c>
    </row>
    <row r="15" spans="1:13" x14ac:dyDescent="0.3">
      <c r="A15" t="s">
        <v>248</v>
      </c>
      <c r="B15" s="24" t="s">
        <v>261</v>
      </c>
      <c r="C15" s="90">
        <v>36272628</v>
      </c>
      <c r="D15" s="90">
        <v>35670820.689999998</v>
      </c>
      <c r="E15" s="1">
        <v>35763076.039999999</v>
      </c>
      <c r="F15" s="1">
        <v>34930716.899999999</v>
      </c>
      <c r="G15" s="1">
        <v>35385053.729999997</v>
      </c>
      <c r="H15" s="1">
        <v>35729762.490000002</v>
      </c>
      <c r="I15" s="1">
        <v>35169384.810000002</v>
      </c>
      <c r="J15" s="1">
        <v>35688651.350000001</v>
      </c>
      <c r="K15" s="1">
        <v>35608835.310000002</v>
      </c>
      <c r="L15" s="1">
        <v>37368771.710000001</v>
      </c>
      <c r="M15" s="1">
        <f t="shared" si="0"/>
        <v>1759936.3999999985</v>
      </c>
    </row>
    <row r="16" spans="1:13" x14ac:dyDescent="0.3">
      <c r="A16" t="s">
        <v>249</v>
      </c>
      <c r="B16" s="24" t="s">
        <v>261</v>
      </c>
      <c r="C16" s="90">
        <f>18665599+23774102</f>
        <v>42439701</v>
      </c>
      <c r="D16" s="90">
        <v>54854125.159999996</v>
      </c>
      <c r="E16" s="1">
        <v>17250050.09</v>
      </c>
      <c r="F16" s="1">
        <v>63841874.5</v>
      </c>
      <c r="G16" s="1">
        <v>44771257.189999998</v>
      </c>
      <c r="H16" s="1">
        <v>47192099.82</v>
      </c>
      <c r="I16" s="1">
        <v>98885885.049999997</v>
      </c>
      <c r="J16" s="1">
        <v>88871007.790000007</v>
      </c>
      <c r="K16" s="1">
        <v>75944477.060000002</v>
      </c>
      <c r="L16" s="1">
        <v>94077835.719999999</v>
      </c>
      <c r="M16" s="1">
        <f t="shared" si="0"/>
        <v>18133358.659999996</v>
      </c>
    </row>
    <row r="17" spans="1:13" x14ac:dyDescent="0.3">
      <c r="A17" t="s">
        <v>250</v>
      </c>
      <c r="B17" s="24" t="s">
        <v>261</v>
      </c>
      <c r="C17" s="90">
        <v>0</v>
      </c>
      <c r="D17" s="90">
        <v>0</v>
      </c>
      <c r="E17" s="1">
        <v>10785.77</v>
      </c>
      <c r="F17" s="1">
        <v>1323.33</v>
      </c>
      <c r="G17" s="1">
        <v>16562.09</v>
      </c>
      <c r="H17" s="1">
        <v>1530.94</v>
      </c>
      <c r="I17" s="1">
        <v>-40071.86</v>
      </c>
      <c r="J17" s="1">
        <v>18279.740000000002</v>
      </c>
      <c r="K17" s="1">
        <v>-3746.23</v>
      </c>
      <c r="L17" s="1">
        <v>-8676.91</v>
      </c>
      <c r="M17" s="1">
        <f t="shared" si="0"/>
        <v>-4930.68</v>
      </c>
    </row>
    <row r="18" spans="1:13" x14ac:dyDescent="0.3">
      <c r="A18" t="s">
        <v>251</v>
      </c>
      <c r="B18" s="24" t="s">
        <v>261</v>
      </c>
      <c r="C18" s="90">
        <v>0</v>
      </c>
      <c r="D18" s="90">
        <v>12960513.210000001</v>
      </c>
      <c r="E18" s="1">
        <v>3536547.75</v>
      </c>
      <c r="F18" s="1">
        <v>2016343.94</v>
      </c>
      <c r="G18" s="1">
        <v>958298.32</v>
      </c>
      <c r="H18" s="1">
        <v>2537282.96</v>
      </c>
      <c r="I18" s="1">
        <v>1631475.16</v>
      </c>
      <c r="J18" s="1">
        <v>3789874.96</v>
      </c>
      <c r="K18" s="1">
        <v>920000</v>
      </c>
      <c r="L18" s="1">
        <v>763502.2</v>
      </c>
      <c r="M18" s="1">
        <f t="shared" si="0"/>
        <v>-156497.80000000005</v>
      </c>
    </row>
    <row r="19" spans="1:13" x14ac:dyDescent="0.3">
      <c r="A19" t="s">
        <v>14</v>
      </c>
      <c r="B19" s="24" t="s">
        <v>261</v>
      </c>
      <c r="C19" s="90">
        <v>0</v>
      </c>
      <c r="D19" s="90">
        <v>0</v>
      </c>
      <c r="E19" s="1">
        <v>27131686.82</v>
      </c>
      <c r="F19" s="1">
        <v>0</v>
      </c>
      <c r="G19" s="1">
        <v>0</v>
      </c>
      <c r="H19" s="1">
        <v>0</v>
      </c>
      <c r="I19" s="1">
        <v>420310</v>
      </c>
      <c r="J19" s="1">
        <v>1342160</v>
      </c>
      <c r="K19" s="1">
        <v>475260</v>
      </c>
      <c r="L19" s="1">
        <v>700112</v>
      </c>
      <c r="M19" s="1">
        <f t="shared" si="0"/>
        <v>224852</v>
      </c>
    </row>
    <row r="20" spans="1:13" x14ac:dyDescent="0.3">
      <c r="A20" s="30" t="s">
        <v>252</v>
      </c>
      <c r="B20" s="31" t="s">
        <v>261</v>
      </c>
      <c r="C20" s="91">
        <v>2885999</v>
      </c>
      <c r="D20" s="91">
        <v>1946471.46</v>
      </c>
      <c r="E20" s="32">
        <v>2245832.8199999998</v>
      </c>
      <c r="F20" s="32">
        <v>4231512.1900000004</v>
      </c>
      <c r="G20" s="32">
        <v>2207513.4900000002</v>
      </c>
      <c r="H20" s="32">
        <v>1778374.12</v>
      </c>
      <c r="I20" s="32">
        <v>1596328.07</v>
      </c>
      <c r="J20" s="32">
        <v>1828682.01</v>
      </c>
      <c r="K20" s="32">
        <v>2751252.94</v>
      </c>
      <c r="L20" s="1">
        <v>2395028.1</v>
      </c>
      <c r="M20" s="1">
        <f t="shared" si="0"/>
        <v>-356224.83999999985</v>
      </c>
    </row>
    <row r="21" spans="1:13" x14ac:dyDescent="0.3">
      <c r="A21" s="33" t="s">
        <v>265</v>
      </c>
      <c r="B21" s="34" t="s">
        <v>261</v>
      </c>
      <c r="C21" s="89">
        <f t="shared" ref="C21:H21" si="4">SUM(C11:C20)</f>
        <v>220468918</v>
      </c>
      <c r="D21" s="89">
        <f t="shared" si="4"/>
        <v>220625565.68000001</v>
      </c>
      <c r="E21" s="89">
        <f t="shared" si="4"/>
        <v>216417503.17999998</v>
      </c>
      <c r="F21" s="89">
        <f t="shared" si="4"/>
        <v>230463848.65000001</v>
      </c>
      <c r="G21" s="89">
        <f t="shared" si="4"/>
        <v>202075991.66</v>
      </c>
      <c r="H21" s="89">
        <f t="shared" si="4"/>
        <v>202189726.05000001</v>
      </c>
      <c r="I21" s="89">
        <f t="shared" ref="I21:L21" si="5">SUM(I11:I20)</f>
        <v>252895984.84999999</v>
      </c>
      <c r="J21" s="89">
        <f t="shared" ref="J21:K21" si="6">SUM(J11:J20)</f>
        <v>267123244.04999998</v>
      </c>
      <c r="K21" s="89">
        <f t="shared" si="6"/>
        <v>241865348.80000001</v>
      </c>
      <c r="L21" s="89">
        <f t="shared" si="5"/>
        <v>280051796.26999998</v>
      </c>
      <c r="M21" s="11">
        <f t="shared" si="0"/>
        <v>38186447.469999969</v>
      </c>
    </row>
    <row r="22" spans="1:13" x14ac:dyDescent="0.3">
      <c r="A22" t="s">
        <v>253</v>
      </c>
      <c r="B22" s="24" t="s">
        <v>260</v>
      </c>
      <c r="C22" s="90">
        <v>2130292</v>
      </c>
      <c r="D22" s="90">
        <v>2272419.08</v>
      </c>
      <c r="E22" s="1">
        <v>2483254.39</v>
      </c>
      <c r="F22" s="1">
        <v>3165735.04</v>
      </c>
      <c r="G22" s="1">
        <v>4178317.37</v>
      </c>
      <c r="H22" s="1">
        <v>3435718.2</v>
      </c>
      <c r="I22" s="1">
        <v>3118424.44</v>
      </c>
      <c r="J22" s="1">
        <v>3213341.17</v>
      </c>
      <c r="K22" s="1">
        <v>4901691.59</v>
      </c>
      <c r="L22" s="1">
        <v>5939973.0999999996</v>
      </c>
      <c r="M22" s="1">
        <f t="shared" si="0"/>
        <v>1038281.5099999998</v>
      </c>
    </row>
    <row r="23" spans="1:13" x14ac:dyDescent="0.3">
      <c r="A23" t="s">
        <v>254</v>
      </c>
      <c r="B23" s="24" t="s">
        <v>261</v>
      </c>
      <c r="C23" s="90">
        <v>4330768</v>
      </c>
      <c r="D23" s="90">
        <v>2063986.04</v>
      </c>
      <c r="E23" s="1">
        <v>1861828.9</v>
      </c>
      <c r="F23" s="1">
        <v>3750177.39</v>
      </c>
      <c r="G23" s="1">
        <v>3427627.31</v>
      </c>
      <c r="H23" s="1">
        <v>2588034.33</v>
      </c>
      <c r="I23" s="1">
        <v>2244045.35</v>
      </c>
      <c r="J23" s="1">
        <v>2118898.86</v>
      </c>
      <c r="K23" s="1">
        <v>1921551.82</v>
      </c>
      <c r="L23" s="1">
        <v>1770071.75</v>
      </c>
      <c r="M23" s="1">
        <f t="shared" si="0"/>
        <v>-151480.07000000007</v>
      </c>
    </row>
    <row r="24" spans="1:13" x14ac:dyDescent="0.3">
      <c r="A24" t="s">
        <v>255</v>
      </c>
      <c r="B24" s="24" t="s">
        <v>260</v>
      </c>
      <c r="C24" s="90">
        <v>0</v>
      </c>
      <c r="D24" s="90">
        <v>0</v>
      </c>
      <c r="E24" s="1">
        <v>0</v>
      </c>
      <c r="F24" s="1">
        <v>-2267242.96</v>
      </c>
      <c r="G24" s="1">
        <v>-183393.89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f t="shared" si="0"/>
        <v>0</v>
      </c>
    </row>
    <row r="25" spans="1:13" x14ac:dyDescent="0.3">
      <c r="A25" t="s">
        <v>256</v>
      </c>
      <c r="B25" s="24" t="s">
        <v>260</v>
      </c>
      <c r="C25" s="90">
        <v>3830270</v>
      </c>
      <c r="D25" s="90">
        <v>91545288.370000005</v>
      </c>
      <c r="E25" s="1">
        <v>34497933.82</v>
      </c>
      <c r="F25" s="1">
        <v>53076279.939999998</v>
      </c>
      <c r="G25" s="1">
        <v>68552658.640000001</v>
      </c>
      <c r="H25" s="1">
        <v>50862273.259999998</v>
      </c>
      <c r="I25" s="1">
        <v>67013258.579999998</v>
      </c>
      <c r="J25" s="1">
        <v>60175282.869999997</v>
      </c>
      <c r="K25" s="1">
        <v>59676681.539999999</v>
      </c>
      <c r="L25" s="1">
        <v>37013336.530000001</v>
      </c>
      <c r="M25" s="1">
        <f t="shared" si="0"/>
        <v>-22663345.009999998</v>
      </c>
    </row>
    <row r="26" spans="1:13" x14ac:dyDescent="0.3">
      <c r="A26" t="s">
        <v>257</v>
      </c>
      <c r="B26" s="24" t="s">
        <v>261</v>
      </c>
      <c r="C26" s="90">
        <v>16665</v>
      </c>
      <c r="D26" s="90">
        <v>88732856.609999999</v>
      </c>
      <c r="E26" s="1">
        <v>24959404.66</v>
      </c>
      <c r="F26" s="1">
        <v>41506411.200000003</v>
      </c>
      <c r="G26" s="1">
        <v>54037353.740000002</v>
      </c>
      <c r="H26" s="1">
        <v>26107096.68</v>
      </c>
      <c r="I26" s="1">
        <v>9284883.1799999997</v>
      </c>
      <c r="J26" s="1">
        <v>10893062.220000001</v>
      </c>
      <c r="K26" s="1">
        <v>14008055.01</v>
      </c>
      <c r="L26" s="1">
        <v>27927376.649999999</v>
      </c>
      <c r="M26" s="1">
        <f t="shared" si="0"/>
        <v>13919321.639999999</v>
      </c>
    </row>
    <row r="27" spans="1:13" x14ac:dyDescent="0.3">
      <c r="A27" t="s">
        <v>258</v>
      </c>
      <c r="B27" s="24" t="s">
        <v>261</v>
      </c>
      <c r="C27" s="90">
        <v>2600003</v>
      </c>
      <c r="D27" s="90">
        <v>2153197.87</v>
      </c>
      <c r="E27" s="1">
        <v>2152010.56</v>
      </c>
      <c r="F27" s="1">
        <v>2053720.34</v>
      </c>
      <c r="G27" s="1">
        <v>2131488.96</v>
      </c>
      <c r="H27" s="1">
        <v>2150684.36</v>
      </c>
      <c r="I27" s="1">
        <v>2090434.96</v>
      </c>
      <c r="J27" s="1">
        <v>2076445.77</v>
      </c>
      <c r="K27" s="1">
        <v>2184902.15</v>
      </c>
      <c r="L27" s="1">
        <v>2155155.62</v>
      </c>
      <c r="M27" s="1">
        <f t="shared" si="0"/>
        <v>-29746.529999999795</v>
      </c>
    </row>
    <row r="28" spans="1:13" x14ac:dyDescent="0.3">
      <c r="A28" s="10" t="s">
        <v>259</v>
      </c>
      <c r="B28" s="34" t="s">
        <v>262</v>
      </c>
      <c r="C28" s="92">
        <f>SUM(C2:C9)-SUM(C11:C20)+C22-C23+C24+C25-C26-C27</f>
        <v>-1266959</v>
      </c>
      <c r="D28" s="92">
        <f>SUM(D2:D9)-SUM(D11:D20)+D22-D23+D24+D25-D26-D27</f>
        <v>2742331.3500000285</v>
      </c>
      <c r="E28" s="35">
        <f t="shared" ref="E28:L28" si="7">E10-E21+E22-E23+E24+E25-E26-E27</f>
        <v>-568075.57999998471</v>
      </c>
      <c r="F28" s="35">
        <f t="shared" si="7"/>
        <v>-18158878.990000021</v>
      </c>
      <c r="G28" s="35">
        <f t="shared" si="7"/>
        <v>8407690.0700000077</v>
      </c>
      <c r="H28" s="35">
        <f t="shared" si="7"/>
        <v>21640756.279999994</v>
      </c>
      <c r="I28" s="35">
        <f t="shared" si="7"/>
        <v>17507141.339999996</v>
      </c>
      <c r="J28" s="35">
        <f t="shared" ref="J28:K28" si="8">J10-J21+J22-J23+J24+J25-J26-J27</f>
        <v>-12214131.709999977</v>
      </c>
      <c r="K28" s="35">
        <f t="shared" si="8"/>
        <v>36963854.700000018</v>
      </c>
      <c r="L28" s="35">
        <f t="shared" si="7"/>
        <v>-30430493.909999978</v>
      </c>
      <c r="M28" s="35">
        <f t="shared" si="0"/>
        <v>-67394348.609999999</v>
      </c>
    </row>
    <row r="29" spans="1:13" s="100" customFormat="1" x14ac:dyDescent="0.3">
      <c r="A29" s="67" t="s">
        <v>365</v>
      </c>
      <c r="B29" s="119"/>
      <c r="C29" s="120">
        <f>C10-SUM(C11:C15)+C17</f>
        <v>45045615</v>
      </c>
      <c r="D29" s="120">
        <f t="shared" ref="D29:L29" si="9">D10-SUM(D11:D15)+D17</f>
        <v>71635774.25000003</v>
      </c>
      <c r="E29" s="120">
        <f t="shared" si="9"/>
        <v>41609669.350000016</v>
      </c>
      <c r="F29" s="120">
        <f t="shared" si="9"/>
        <v>45269035.209999993</v>
      </c>
      <c r="G29" s="120">
        <f t="shared" si="9"/>
        <v>43426771.140000015</v>
      </c>
      <c r="H29" s="120">
        <f t="shared" si="9"/>
        <v>49699398.969999999</v>
      </c>
      <c r="I29" s="120">
        <f t="shared" si="9"/>
        <v>63448676.36999999</v>
      </c>
      <c r="J29" s="120">
        <f t="shared" si="9"/>
        <v>35353935.340000026</v>
      </c>
      <c r="K29" s="120">
        <f t="shared" ref="K29" si="10">K10-SUM(K11:K15)+K17</f>
        <v>70583488.090000018</v>
      </c>
      <c r="L29" s="120">
        <f t="shared" si="9"/>
        <v>56387924.680000007</v>
      </c>
      <c r="M29" s="120">
        <f t="shared" si="0"/>
        <v>-14195563.410000011</v>
      </c>
    </row>
  </sheetData>
  <conditionalFormatting sqref="C28:H28 L28:M28">
    <cfRule type="cellIs" dxfId="94" priority="21" operator="greaterThan">
      <formula>0</formula>
    </cfRule>
  </conditionalFormatting>
  <conditionalFormatting sqref="I28">
    <cfRule type="cellIs" dxfId="93" priority="11" operator="greaterThan">
      <formula>0</formula>
    </cfRule>
  </conditionalFormatting>
  <conditionalFormatting sqref="J28">
    <cfRule type="cellIs" dxfId="92" priority="10" operator="greaterThan">
      <formula>0</formula>
    </cfRule>
  </conditionalFormatting>
  <conditionalFormatting sqref="C29:J29 L29:M29">
    <cfRule type="cellIs" dxfId="91" priority="9" operator="greaterThan">
      <formula>0</formula>
    </cfRule>
  </conditionalFormatting>
  <conditionalFormatting sqref="C29:J29 L29">
    <cfRule type="cellIs" dxfId="90" priority="8" operator="greaterThan">
      <formula>0</formula>
    </cfRule>
  </conditionalFormatting>
  <conditionalFormatting sqref="C29:J29 L29">
    <cfRule type="cellIs" dxfId="89" priority="7" operator="greaterThan">
      <formula>0</formula>
    </cfRule>
  </conditionalFormatting>
  <conditionalFormatting sqref="C29:J29 L29">
    <cfRule type="cellIs" dxfId="88" priority="6" operator="greaterThan">
      <formula>0</formula>
    </cfRule>
  </conditionalFormatting>
  <conditionalFormatting sqref="K28">
    <cfRule type="cellIs" dxfId="87" priority="5" operator="greaterThan">
      <formula>0</formula>
    </cfRule>
  </conditionalFormatting>
  <conditionalFormatting sqref="K29">
    <cfRule type="cellIs" dxfId="86" priority="4" operator="greaterThan">
      <formula>0</formula>
    </cfRule>
  </conditionalFormatting>
  <conditionalFormatting sqref="K29">
    <cfRule type="cellIs" dxfId="85" priority="3" operator="greaterThan">
      <formula>0</formula>
    </cfRule>
  </conditionalFormatting>
  <conditionalFormatting sqref="K29">
    <cfRule type="cellIs" dxfId="84" priority="2" operator="greaterThan">
      <formula>0</formula>
    </cfRule>
  </conditionalFormatting>
  <conditionalFormatting sqref="K29">
    <cfRule type="cellIs" dxfId="83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workbookViewId="0">
      <selection activeCell="L3" sqref="L3:L16"/>
    </sheetView>
  </sheetViews>
  <sheetFormatPr defaultRowHeight="14.4" x14ac:dyDescent="0.3"/>
  <cols>
    <col min="1" max="1" width="50.6640625" bestFit="1" customWidth="1"/>
    <col min="2" max="7" width="11.5546875" bestFit="1" customWidth="1"/>
    <col min="8" max="11" width="11.5546875" style="100" bestFit="1" customWidth="1"/>
    <col min="12" max="12" width="11.33203125" style="100" bestFit="1" customWidth="1"/>
  </cols>
  <sheetData>
    <row r="1" spans="1:12" x14ac:dyDescent="0.3">
      <c r="A1" s="39"/>
      <c r="B1" s="40">
        <v>2014</v>
      </c>
      <c r="C1" s="40">
        <v>2015</v>
      </c>
      <c r="D1" s="40">
        <v>2016</v>
      </c>
      <c r="E1" s="40">
        <v>2017</v>
      </c>
      <c r="F1" s="40">
        <v>2018</v>
      </c>
      <c r="G1" s="40">
        <v>2019</v>
      </c>
      <c r="H1" s="115">
        <v>2020</v>
      </c>
      <c r="I1" s="115">
        <v>2021</v>
      </c>
      <c r="J1" s="115">
        <v>2022</v>
      </c>
      <c r="K1" s="115">
        <v>2023</v>
      </c>
      <c r="L1" s="115" t="s">
        <v>266</v>
      </c>
    </row>
    <row r="2" spans="1:12" x14ac:dyDescent="0.3">
      <c r="A2" s="66" t="s">
        <v>346</v>
      </c>
      <c r="B2" s="59">
        <f>Conto_economico!C10</f>
        <v>220188833</v>
      </c>
      <c r="C2" s="59">
        <f>Conto_economico!D10</f>
        <v>222500230.10000002</v>
      </c>
      <c r="D2" s="59">
        <f>Conto_economico!E10</f>
        <v>207841483.50999999</v>
      </c>
      <c r="E2" s="59">
        <f>Conto_economico!F10</f>
        <v>205640506.56999999</v>
      </c>
      <c r="F2" s="59">
        <f>Conto_economico!G10</f>
        <v>197532569.62</v>
      </c>
      <c r="G2" s="59">
        <f>Conto_economico!H10</f>
        <v>200378306.24000001</v>
      </c>
      <c r="H2" s="59">
        <f>Conto_economico!I10</f>
        <v>213890806.66</v>
      </c>
      <c r="I2" s="59">
        <f>Conto_economico!J10</f>
        <v>206608895.15000001</v>
      </c>
      <c r="J2" s="59">
        <f>Conto_economico!K10</f>
        <v>232365339.35000002</v>
      </c>
      <c r="K2" s="59">
        <f>Conto_economico!L10</f>
        <v>238520596.75</v>
      </c>
      <c r="L2" s="59">
        <f>K2-J2</f>
        <v>6155257.3999999762</v>
      </c>
    </row>
    <row r="3" spans="1:12" x14ac:dyDescent="0.3">
      <c r="A3" s="66" t="s">
        <v>341</v>
      </c>
      <c r="B3" s="59">
        <f>Conto_economico!C2</f>
        <v>139025338</v>
      </c>
      <c r="C3" s="59">
        <f>Conto_economico!D2</f>
        <v>123739827.2</v>
      </c>
      <c r="D3" s="59">
        <f>Conto_economico!E2</f>
        <v>111902531.08</v>
      </c>
      <c r="E3" s="59">
        <f>Conto_economico!F2</f>
        <v>114069680.39</v>
      </c>
      <c r="F3" s="59">
        <f>Conto_economico!G2</f>
        <v>114579953.56999999</v>
      </c>
      <c r="G3" s="59">
        <f>Conto_economico!H2</f>
        <v>116269978.76000001</v>
      </c>
      <c r="H3" s="59">
        <f>Conto_economico!I2</f>
        <v>112976407.84</v>
      </c>
      <c r="I3" s="59">
        <f>Conto_economico!J2</f>
        <v>109710383.64</v>
      </c>
      <c r="J3" s="59">
        <f>Conto_economico!K2</f>
        <v>114159624.09999999</v>
      </c>
      <c r="K3" s="59">
        <f>Conto_economico!L2</f>
        <v>120725973.61</v>
      </c>
      <c r="L3" s="59">
        <f t="shared" ref="L3:L16" si="0">K3-J3</f>
        <v>6566349.5100000054</v>
      </c>
    </row>
    <row r="4" spans="1:12" x14ac:dyDescent="0.3">
      <c r="A4" s="66" t="s">
        <v>342</v>
      </c>
      <c r="B4" s="59">
        <f>Conto_economico!C4</f>
        <v>18527453</v>
      </c>
      <c r="C4" s="59">
        <f>Conto_economico!D4</f>
        <v>22563100.859999999</v>
      </c>
      <c r="D4" s="59">
        <f>Conto_economico!E4</f>
        <v>18476036.68</v>
      </c>
      <c r="E4" s="59">
        <f>Conto_economico!F4</f>
        <v>20554047.140000001</v>
      </c>
      <c r="F4" s="59">
        <f>Conto_economico!G4</f>
        <v>16329388.119999999</v>
      </c>
      <c r="G4" s="59">
        <f>Conto_economico!H4</f>
        <v>16688520.59</v>
      </c>
      <c r="H4" s="59">
        <f>Conto_economico!I4</f>
        <v>38443627.369999997</v>
      </c>
      <c r="I4" s="59">
        <f>Conto_economico!J4</f>
        <v>24525016.039999999</v>
      </c>
      <c r="J4" s="59">
        <f>Conto_economico!K4</f>
        <v>30351187.670000002</v>
      </c>
      <c r="K4" s="59">
        <f>Conto_economico!L4</f>
        <v>19639121.52</v>
      </c>
      <c r="L4" s="59">
        <f t="shared" si="0"/>
        <v>-10712066.150000002</v>
      </c>
    </row>
    <row r="5" spans="1:12" x14ac:dyDescent="0.3">
      <c r="A5" s="66" t="s">
        <v>347</v>
      </c>
      <c r="B5" s="60">
        <f>Conto_economico!C21</f>
        <v>220468918</v>
      </c>
      <c r="C5" s="60">
        <f>Conto_economico!D21</f>
        <v>220625565.68000001</v>
      </c>
      <c r="D5" s="60">
        <f>Conto_economico!E21</f>
        <v>216417503.17999998</v>
      </c>
      <c r="E5" s="60">
        <f>Conto_economico!F21</f>
        <v>230463848.65000001</v>
      </c>
      <c r="F5" s="60">
        <f>Conto_economico!G21</f>
        <v>202075991.66</v>
      </c>
      <c r="G5" s="60">
        <f>Conto_economico!H21</f>
        <v>202189726.05000001</v>
      </c>
      <c r="H5" s="60">
        <f>Conto_economico!I21</f>
        <v>252895984.84999999</v>
      </c>
      <c r="I5" s="60">
        <f>Conto_economico!J21</f>
        <v>267123244.04999998</v>
      </c>
      <c r="J5" s="60">
        <f>Conto_economico!K21</f>
        <v>241865348.80000001</v>
      </c>
      <c r="K5" s="60">
        <f>Conto_economico!L21</f>
        <v>280051796.26999998</v>
      </c>
      <c r="L5" s="59">
        <f t="shared" si="0"/>
        <v>38186447.469999969</v>
      </c>
    </row>
    <row r="6" spans="1:12" x14ac:dyDescent="0.3">
      <c r="A6" s="66" t="s">
        <v>343</v>
      </c>
      <c r="B6" s="59">
        <f>Conto_economico!C12</f>
        <v>106171381</v>
      </c>
      <c r="C6" s="59">
        <f>Conto_economico!D12</f>
        <v>97865537.349999994</v>
      </c>
      <c r="D6" s="59">
        <f>Conto_economico!E12</f>
        <v>106387487.45999999</v>
      </c>
      <c r="E6" s="59">
        <f>Conto_economico!F12</f>
        <v>103258285.56</v>
      </c>
      <c r="F6" s="59">
        <f>Conto_economico!G12</f>
        <v>92786715.269999996</v>
      </c>
      <c r="G6" s="59">
        <f>Conto_economico!H12</f>
        <v>87488178.730000004</v>
      </c>
      <c r="H6" s="59">
        <f>Conto_economico!I12</f>
        <v>82228208.450000003</v>
      </c>
      <c r="I6" s="59">
        <f>Conto_economico!J12</f>
        <v>97814760.459999993</v>
      </c>
      <c r="J6" s="59">
        <f>Conto_economico!K12</f>
        <v>91894528.329999998</v>
      </c>
      <c r="K6" s="59">
        <f>Conto_economico!L12</f>
        <v>97145659.079999998</v>
      </c>
      <c r="L6" s="59">
        <f t="shared" si="0"/>
        <v>5251130.75</v>
      </c>
    </row>
    <row r="7" spans="1:12" x14ac:dyDescent="0.3">
      <c r="A7" s="66" t="s">
        <v>344</v>
      </c>
      <c r="B7" s="59">
        <f>Conto_economico!C15</f>
        <v>36272628</v>
      </c>
      <c r="C7" s="59">
        <f>Conto_economico!D15</f>
        <v>35670820.689999998</v>
      </c>
      <c r="D7" s="59">
        <f>Conto_economico!E15</f>
        <v>35763076.039999999</v>
      </c>
      <c r="E7" s="59">
        <f>Conto_economico!F15</f>
        <v>34930716.899999999</v>
      </c>
      <c r="F7" s="59">
        <f>Conto_economico!G15</f>
        <v>35385053.729999997</v>
      </c>
      <c r="G7" s="59">
        <f>Conto_economico!H15</f>
        <v>35729762.490000002</v>
      </c>
      <c r="H7" s="59">
        <f>Conto_economico!I15</f>
        <v>35169384.810000002</v>
      </c>
      <c r="I7" s="59">
        <f>Conto_economico!J15</f>
        <v>35688651.350000001</v>
      </c>
      <c r="J7" s="59">
        <f>Conto_economico!K15</f>
        <v>35608835.310000002</v>
      </c>
      <c r="K7" s="59">
        <f>Conto_economico!L15</f>
        <v>37368771.710000001</v>
      </c>
      <c r="L7" s="59">
        <f t="shared" si="0"/>
        <v>1759936.3999999985</v>
      </c>
    </row>
    <row r="8" spans="1:12" x14ac:dyDescent="0.3">
      <c r="A8" s="66" t="s">
        <v>345</v>
      </c>
      <c r="B8" s="59">
        <f>Conto_economico!C16</f>
        <v>42439701</v>
      </c>
      <c r="C8" s="59">
        <f>Conto_economico!D16</f>
        <v>54854125.159999996</v>
      </c>
      <c r="D8" s="59">
        <f>Conto_economico!E16</f>
        <v>17250050.09</v>
      </c>
      <c r="E8" s="59">
        <f>Conto_economico!F16</f>
        <v>63841874.5</v>
      </c>
      <c r="F8" s="59">
        <f>Conto_economico!G16</f>
        <v>44771257.189999998</v>
      </c>
      <c r="G8" s="59">
        <f>Conto_economico!H16</f>
        <v>47192099.82</v>
      </c>
      <c r="H8" s="59">
        <f>Conto_economico!I16</f>
        <v>98885885.049999997</v>
      </c>
      <c r="I8" s="59">
        <f>Conto_economico!J16</f>
        <v>88871007.790000007</v>
      </c>
      <c r="J8" s="59">
        <f>Conto_economico!K16</f>
        <v>75944477.060000002</v>
      </c>
      <c r="K8" s="59">
        <f>Conto_economico!L16</f>
        <v>94077835.719999999</v>
      </c>
      <c r="L8" s="59">
        <f t="shared" si="0"/>
        <v>18133358.659999996</v>
      </c>
    </row>
    <row r="9" spans="1:12" s="100" customFormat="1" x14ac:dyDescent="0.3">
      <c r="A9" s="113" t="s">
        <v>365</v>
      </c>
      <c r="B9" s="61">
        <f>Conto_economico!C29</f>
        <v>45045615</v>
      </c>
      <c r="C9" s="61">
        <f>Conto_economico!D29</f>
        <v>71635774.25000003</v>
      </c>
      <c r="D9" s="61">
        <f>Conto_economico!E29</f>
        <v>41609669.350000016</v>
      </c>
      <c r="E9" s="61">
        <f>Conto_economico!F29</f>
        <v>45269035.209999993</v>
      </c>
      <c r="F9" s="61">
        <f>Conto_economico!G29</f>
        <v>43426771.140000015</v>
      </c>
      <c r="G9" s="61">
        <f>Conto_economico!H29</f>
        <v>49699398.969999999</v>
      </c>
      <c r="H9" s="61">
        <f>Conto_economico!I29</f>
        <v>63448676.36999999</v>
      </c>
      <c r="I9" s="61">
        <f>Conto_economico!J29</f>
        <v>35353935.340000026</v>
      </c>
      <c r="J9" s="61">
        <f>Conto_economico!K29</f>
        <v>70583488.090000018</v>
      </c>
      <c r="K9" s="61">
        <f>Conto_economico!L29</f>
        <v>56387924.680000007</v>
      </c>
      <c r="L9" s="61">
        <f t="shared" si="0"/>
        <v>-14195563.410000011</v>
      </c>
    </row>
    <row r="10" spans="1:12" x14ac:dyDescent="0.3">
      <c r="A10" s="44" t="s">
        <v>307</v>
      </c>
      <c r="B10" s="61">
        <f t="shared" ref="B10:G10" si="1">B2-B5</f>
        <v>-280085</v>
      </c>
      <c r="C10" s="61">
        <f t="shared" si="1"/>
        <v>1874664.4200000167</v>
      </c>
      <c r="D10" s="61">
        <f t="shared" si="1"/>
        <v>-8576019.6699999869</v>
      </c>
      <c r="E10" s="61">
        <f t="shared" si="1"/>
        <v>-24823342.080000013</v>
      </c>
      <c r="F10" s="61">
        <f t="shared" si="1"/>
        <v>-4543422.0399999917</v>
      </c>
      <c r="G10" s="61">
        <f t="shared" si="1"/>
        <v>-1811419.8100000024</v>
      </c>
      <c r="H10" s="61">
        <f t="shared" ref="H10:K10" si="2">H2-H5</f>
        <v>-39005178.189999998</v>
      </c>
      <c r="I10" s="61">
        <f t="shared" ref="I10:J10" si="3">I2-I5</f>
        <v>-60514348.899999976</v>
      </c>
      <c r="J10" s="61">
        <f t="shared" si="3"/>
        <v>-9500009.4499999881</v>
      </c>
      <c r="K10" s="61">
        <f t="shared" si="2"/>
        <v>-41531199.519999981</v>
      </c>
      <c r="L10" s="61">
        <f t="shared" si="0"/>
        <v>-32031190.069999993</v>
      </c>
    </row>
    <row r="11" spans="1:12" x14ac:dyDescent="0.3">
      <c r="A11" s="66" t="s">
        <v>308</v>
      </c>
      <c r="B11" s="59">
        <f>Conto_economico!C22-Conto_economico!C23</f>
        <v>-2200476</v>
      </c>
      <c r="C11" s="59">
        <f>Conto_economico!D22-Conto_economico!D23</f>
        <v>208433.04000000004</v>
      </c>
      <c r="D11" s="59">
        <f>Conto_economico!E22-Conto_economico!E23</f>
        <v>621425.49000000022</v>
      </c>
      <c r="E11" s="59">
        <f>Conto_economico!F22-Conto_economico!F23</f>
        <v>-584442.35000000009</v>
      </c>
      <c r="F11" s="59">
        <f>Conto_economico!G22-Conto_economico!G23</f>
        <v>750690.06</v>
      </c>
      <c r="G11" s="59">
        <f>Conto_economico!H22-Conto_economico!H23</f>
        <v>847683.87000000011</v>
      </c>
      <c r="H11" s="59">
        <f>Conto_economico!I22-Conto_economico!I23</f>
        <v>874379.08999999985</v>
      </c>
      <c r="I11" s="59">
        <f>Conto_economico!J22-Conto_economico!J23</f>
        <v>1094442.31</v>
      </c>
      <c r="J11" s="59">
        <f>Conto_economico!K22-Conto_economico!K23</f>
        <v>2980139.7699999996</v>
      </c>
      <c r="K11" s="59">
        <f>Conto_economico!L22-Conto_economico!L23</f>
        <v>4169901.3499999996</v>
      </c>
      <c r="L11" s="59">
        <f t="shared" si="0"/>
        <v>1189761.58</v>
      </c>
    </row>
    <row r="12" spans="1:12" x14ac:dyDescent="0.3">
      <c r="A12" s="66" t="s">
        <v>309</v>
      </c>
      <c r="B12" s="60">
        <f>Conto_economico!C25-Conto_economico!C26</f>
        <v>3813605</v>
      </c>
      <c r="C12" s="60">
        <f>Conto_economico!D25-Conto_economico!D26</f>
        <v>2812431.7600000054</v>
      </c>
      <c r="D12" s="60">
        <f>Conto_economico!E25-Conto_economico!E26</f>
        <v>9538529.1600000001</v>
      </c>
      <c r="E12" s="60">
        <f>Conto_economico!F25-Conto_economico!F26</f>
        <v>11569868.739999995</v>
      </c>
      <c r="F12" s="60">
        <f>Conto_economico!G25-Conto_economico!G26</f>
        <v>14515304.899999999</v>
      </c>
      <c r="G12" s="60">
        <f>Conto_economico!H25-Conto_economico!H26</f>
        <v>24755176.579999998</v>
      </c>
      <c r="H12" s="60">
        <f>Conto_economico!I25-Conto_economico!I26</f>
        <v>57728375.399999999</v>
      </c>
      <c r="I12" s="60">
        <f>Conto_economico!J25-Conto_economico!J26</f>
        <v>49282220.649999999</v>
      </c>
      <c r="J12" s="60">
        <f>Conto_economico!K25-Conto_economico!K26</f>
        <v>45668626.530000001</v>
      </c>
      <c r="K12" s="60">
        <f>Conto_economico!L25-Conto_economico!L26</f>
        <v>9085959.8800000027</v>
      </c>
      <c r="L12" s="59">
        <f t="shared" si="0"/>
        <v>-36582666.649999999</v>
      </c>
    </row>
    <row r="13" spans="1:12" x14ac:dyDescent="0.3">
      <c r="A13" s="66" t="s">
        <v>255</v>
      </c>
      <c r="B13" s="60">
        <f>Conto_economico!C24</f>
        <v>0</v>
      </c>
      <c r="C13" s="60">
        <f>Conto_economico!D24</f>
        <v>0</v>
      </c>
      <c r="D13" s="60">
        <f>Conto_economico!E24</f>
        <v>0</v>
      </c>
      <c r="E13" s="60">
        <f>Conto_economico!F24</f>
        <v>-2267242.96</v>
      </c>
      <c r="F13" s="60">
        <f>Conto_economico!G24</f>
        <v>-183393.89</v>
      </c>
      <c r="G13" s="60">
        <f>Conto_economico!H24</f>
        <v>0</v>
      </c>
      <c r="H13" s="60">
        <f>Conto_economico!I24</f>
        <v>0</v>
      </c>
      <c r="I13" s="60">
        <f>Conto_economico!J24</f>
        <v>0</v>
      </c>
      <c r="J13" s="60">
        <f>Conto_economico!K24</f>
        <v>0</v>
      </c>
      <c r="K13" s="60">
        <f>Conto_economico!L24</f>
        <v>0</v>
      </c>
      <c r="L13" s="59">
        <f t="shared" si="0"/>
        <v>0</v>
      </c>
    </row>
    <row r="14" spans="1:12" x14ac:dyDescent="0.3">
      <c r="A14" s="44" t="s">
        <v>310</v>
      </c>
      <c r="B14" s="61">
        <f t="shared" ref="B14:G14" si="4">SUM(B10:B13)</f>
        <v>1333044</v>
      </c>
      <c r="C14" s="61">
        <f t="shared" si="4"/>
        <v>4895529.2200000221</v>
      </c>
      <c r="D14" s="61">
        <f t="shared" si="4"/>
        <v>1583934.9800000135</v>
      </c>
      <c r="E14" s="61">
        <f t="shared" si="4"/>
        <v>-16105158.650000021</v>
      </c>
      <c r="F14" s="61">
        <f t="shared" si="4"/>
        <v>10539179.030000007</v>
      </c>
      <c r="G14" s="61">
        <f t="shared" si="4"/>
        <v>23791440.639999997</v>
      </c>
      <c r="H14" s="61">
        <f t="shared" ref="H14:K14" si="5">SUM(H10:H13)</f>
        <v>19597576.300000004</v>
      </c>
      <c r="I14" s="61">
        <f t="shared" ref="I14:J14" si="6">SUM(I10:I13)</f>
        <v>-10137685.939999975</v>
      </c>
      <c r="J14" s="61">
        <f t="shared" si="6"/>
        <v>39148756.850000009</v>
      </c>
      <c r="K14" s="61">
        <f t="shared" si="5"/>
        <v>-28275338.289999977</v>
      </c>
      <c r="L14" s="61">
        <f t="shared" si="0"/>
        <v>-67424095.139999986</v>
      </c>
    </row>
    <row r="15" spans="1:12" x14ac:dyDescent="0.3">
      <c r="A15" s="66" t="s">
        <v>258</v>
      </c>
      <c r="B15" s="59">
        <f>Conto_economico!C27</f>
        <v>2600003</v>
      </c>
      <c r="C15" s="59">
        <f>Conto_economico!D27</f>
        <v>2153197.87</v>
      </c>
      <c r="D15" s="59">
        <f>Conto_economico!E27</f>
        <v>2152010.56</v>
      </c>
      <c r="E15" s="59">
        <f>Conto_economico!F27</f>
        <v>2053720.34</v>
      </c>
      <c r="F15" s="59">
        <f>Conto_economico!G27</f>
        <v>2131488.96</v>
      </c>
      <c r="G15" s="59">
        <f>Conto_economico!H27</f>
        <v>2150684.36</v>
      </c>
      <c r="H15" s="59">
        <f>Conto_economico!I27</f>
        <v>2090434.96</v>
      </c>
      <c r="I15" s="59">
        <f>Conto_economico!J27</f>
        <v>2076445.77</v>
      </c>
      <c r="J15" s="59">
        <f>Conto_economico!K27</f>
        <v>2184902.15</v>
      </c>
      <c r="K15" s="59">
        <f>Conto_economico!L27</f>
        <v>2155155.62</v>
      </c>
      <c r="L15" s="59">
        <f t="shared" si="0"/>
        <v>-29746.529999999795</v>
      </c>
    </row>
    <row r="16" spans="1:12" x14ac:dyDescent="0.3">
      <c r="A16" s="65" t="s">
        <v>259</v>
      </c>
      <c r="B16" s="62">
        <f t="shared" ref="B16:G16" si="7">B14-B15</f>
        <v>-1266959</v>
      </c>
      <c r="C16" s="62">
        <f t="shared" si="7"/>
        <v>2742331.350000022</v>
      </c>
      <c r="D16" s="62">
        <f t="shared" si="7"/>
        <v>-568075.57999998657</v>
      </c>
      <c r="E16" s="62">
        <f t="shared" si="7"/>
        <v>-18158878.990000021</v>
      </c>
      <c r="F16" s="62">
        <f t="shared" si="7"/>
        <v>8407690.0700000077</v>
      </c>
      <c r="G16" s="62">
        <f t="shared" si="7"/>
        <v>21640756.279999997</v>
      </c>
      <c r="H16" s="62">
        <f t="shared" ref="H16:K16" si="8">H14-H15</f>
        <v>17507141.340000004</v>
      </c>
      <c r="I16" s="62">
        <f t="shared" ref="I16:J16" si="9">I14-I15</f>
        <v>-12214131.709999975</v>
      </c>
      <c r="J16" s="62">
        <f t="shared" si="9"/>
        <v>36963854.70000001</v>
      </c>
      <c r="K16" s="62">
        <f t="shared" si="8"/>
        <v>-30430493.909999978</v>
      </c>
      <c r="L16" s="62">
        <f t="shared" si="0"/>
        <v>-67394348.609999985</v>
      </c>
    </row>
    <row r="18" spans="2:3" x14ac:dyDescent="0.3">
      <c r="B18" s="93"/>
      <c r="C18" s="93"/>
    </row>
    <row r="19" spans="2:3" x14ac:dyDescent="0.3">
      <c r="B19" s="60"/>
      <c r="C19" s="60"/>
    </row>
    <row r="20" spans="2:3" x14ac:dyDescent="0.3">
      <c r="B20" s="93"/>
      <c r="C20" s="93"/>
    </row>
  </sheetData>
  <conditionalFormatting sqref="B16:G16 K16:L16">
    <cfRule type="cellIs" dxfId="82" priority="17" operator="greaterThan">
      <formula>0</formula>
    </cfRule>
  </conditionalFormatting>
  <conditionalFormatting sqref="B10:G10 B14:G14 K14:L14 K10:L10 L9">
    <cfRule type="cellIs" dxfId="81" priority="16" operator="lessThan">
      <formula>0</formula>
    </cfRule>
  </conditionalFormatting>
  <conditionalFormatting sqref="H16">
    <cfRule type="cellIs" dxfId="80" priority="8" operator="greaterThan">
      <formula>0</formula>
    </cfRule>
  </conditionalFormatting>
  <conditionalFormatting sqref="H14 H10">
    <cfRule type="cellIs" dxfId="79" priority="7" operator="lessThan">
      <formula>0</formula>
    </cfRule>
  </conditionalFormatting>
  <conditionalFormatting sqref="I16">
    <cfRule type="cellIs" dxfId="78" priority="6" operator="greaterThan">
      <formula>0</formula>
    </cfRule>
  </conditionalFormatting>
  <conditionalFormatting sqref="I14 I10">
    <cfRule type="cellIs" dxfId="77" priority="5" operator="lessThan">
      <formula>0</formula>
    </cfRule>
  </conditionalFormatting>
  <conditionalFormatting sqref="B9:I9 K9">
    <cfRule type="cellIs" dxfId="76" priority="4" operator="lessThan">
      <formula>0</formula>
    </cfRule>
  </conditionalFormatting>
  <conditionalFormatting sqref="J16">
    <cfRule type="cellIs" dxfId="75" priority="3" operator="greaterThan">
      <formula>0</formula>
    </cfRule>
  </conditionalFormatting>
  <conditionalFormatting sqref="J14 J10">
    <cfRule type="cellIs" dxfId="74" priority="2" operator="lessThan">
      <formula>0</formula>
    </cfRule>
  </conditionalFormatting>
  <conditionalFormatting sqref="J9">
    <cfRule type="cellIs" dxfId="73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showGridLines="0" workbookViewId="0">
      <selection activeCell="K2" sqref="K2:K28"/>
    </sheetView>
  </sheetViews>
  <sheetFormatPr defaultRowHeight="14.4" x14ac:dyDescent="0.3"/>
  <cols>
    <col min="1" max="1" width="51.6640625" style="30" bestFit="1" customWidth="1"/>
    <col min="2" max="2" width="12.6640625" bestFit="1" customWidth="1"/>
    <col min="3" max="6" width="11.109375" bestFit="1" customWidth="1"/>
    <col min="7" max="7" width="12" bestFit="1" customWidth="1"/>
    <col min="8" max="8" width="12" style="100" bestFit="1" customWidth="1"/>
    <col min="9" max="9" width="11.109375" style="100" bestFit="1" customWidth="1"/>
    <col min="10" max="11" width="12.6640625" style="100" bestFit="1" customWidth="1"/>
    <col min="12" max="13" width="12.6640625" bestFit="1" customWidth="1"/>
  </cols>
  <sheetData>
    <row r="1" spans="1:11" x14ac:dyDescent="0.3">
      <c r="A1" s="68"/>
      <c r="B1" s="95">
        <v>2014</v>
      </c>
      <c r="C1" s="95">
        <v>2015</v>
      </c>
      <c r="D1" s="95">
        <v>2016</v>
      </c>
      <c r="E1" s="64">
        <v>2017</v>
      </c>
      <c r="F1" s="64">
        <v>2018</v>
      </c>
      <c r="G1" s="64">
        <v>2019</v>
      </c>
      <c r="H1" s="64">
        <v>2020</v>
      </c>
      <c r="I1" s="64">
        <v>2021</v>
      </c>
      <c r="J1" s="64">
        <v>2022</v>
      </c>
      <c r="K1" s="64">
        <v>2023</v>
      </c>
    </row>
    <row r="2" spans="1:11" x14ac:dyDescent="0.3">
      <c r="A2" s="30" t="s">
        <v>212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</row>
    <row r="3" spans="1:11" x14ac:dyDescent="0.3">
      <c r="A3" s="30" t="s">
        <v>213</v>
      </c>
      <c r="B3" s="1">
        <v>0</v>
      </c>
      <c r="C3" s="1">
        <v>0</v>
      </c>
      <c r="D3" s="1">
        <v>0</v>
      </c>
      <c r="E3" s="1">
        <v>1757736.09</v>
      </c>
      <c r="F3" s="1">
        <v>1756282.81</v>
      </c>
      <c r="G3" s="1">
        <v>1754243.25</v>
      </c>
      <c r="H3" s="1">
        <v>1754243.25</v>
      </c>
      <c r="I3" s="1">
        <v>1754243.25</v>
      </c>
      <c r="J3" s="1">
        <v>1754243.27</v>
      </c>
      <c r="K3" s="1">
        <v>1782006.39</v>
      </c>
    </row>
    <row r="4" spans="1:11" x14ac:dyDescent="0.3">
      <c r="A4" s="30" t="s">
        <v>214</v>
      </c>
      <c r="B4" s="1">
        <v>695085484</v>
      </c>
      <c r="C4" s="1">
        <v>684841981.40999997</v>
      </c>
      <c r="D4" s="1">
        <v>677253956.17999995</v>
      </c>
      <c r="E4" s="1">
        <v>656566324.23000002</v>
      </c>
      <c r="F4" s="1">
        <v>696646543.91999996</v>
      </c>
      <c r="G4" s="1">
        <v>707010773.12</v>
      </c>
      <c r="H4" s="1">
        <v>713543890.01999998</v>
      </c>
      <c r="I4" s="1">
        <v>712840405.41999996</v>
      </c>
      <c r="J4" s="1">
        <v>710574347.67999995</v>
      </c>
      <c r="K4" s="1">
        <v>700410989.46000004</v>
      </c>
    </row>
    <row r="5" spans="1:11" x14ac:dyDescent="0.3">
      <c r="A5" s="30" t="s">
        <v>228</v>
      </c>
      <c r="B5" s="1">
        <v>79217381</v>
      </c>
      <c r="C5" s="1">
        <v>79280505.510000005</v>
      </c>
      <c r="D5" s="1">
        <v>79150764.969999999</v>
      </c>
      <c r="E5" s="1">
        <v>77826532.650000006</v>
      </c>
      <c r="F5" s="1">
        <v>125430412.51000001</v>
      </c>
      <c r="G5" s="1">
        <v>124974640.18000001</v>
      </c>
      <c r="H5" s="1">
        <v>126973287.67</v>
      </c>
      <c r="I5" s="1">
        <v>130919501.78</v>
      </c>
      <c r="J5" s="1">
        <v>144290164.66</v>
      </c>
      <c r="K5" s="1">
        <v>194463157.28999999</v>
      </c>
    </row>
    <row r="6" spans="1:11" x14ac:dyDescent="0.3">
      <c r="A6" s="30" t="s">
        <v>229</v>
      </c>
      <c r="B6" s="1">
        <v>0</v>
      </c>
      <c r="C6" s="1">
        <v>0</v>
      </c>
      <c r="D6" s="1">
        <v>1304906.58</v>
      </c>
      <c r="E6" s="1">
        <v>0</v>
      </c>
      <c r="F6" s="1">
        <v>0</v>
      </c>
      <c r="G6" s="1">
        <v>0</v>
      </c>
      <c r="H6" s="1">
        <v>1014797.9</v>
      </c>
      <c r="I6" s="1">
        <v>94641.7</v>
      </c>
      <c r="J6" s="1">
        <v>94641.7</v>
      </c>
      <c r="K6" s="1">
        <v>0</v>
      </c>
    </row>
    <row r="7" spans="1:11" x14ac:dyDescent="0.3">
      <c r="A7" s="30" t="s">
        <v>230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</row>
    <row r="8" spans="1:11" x14ac:dyDescent="0.3">
      <c r="A8" s="30" t="s">
        <v>231</v>
      </c>
      <c r="B8" s="1">
        <v>0</v>
      </c>
      <c r="C8" s="1">
        <v>0</v>
      </c>
      <c r="D8" s="1">
        <v>84866.58</v>
      </c>
      <c r="E8" s="1">
        <v>83543.25</v>
      </c>
      <c r="F8" s="1">
        <v>118404.16</v>
      </c>
      <c r="G8" s="1">
        <v>65450.22</v>
      </c>
      <c r="H8" s="1">
        <v>105522.08</v>
      </c>
      <c r="I8" s="1">
        <v>87242.34</v>
      </c>
      <c r="J8" s="1">
        <v>90988.57</v>
      </c>
      <c r="K8" s="1">
        <v>99665.48</v>
      </c>
    </row>
    <row r="9" spans="1:11" x14ac:dyDescent="0.3">
      <c r="A9" s="30" t="s">
        <v>215</v>
      </c>
      <c r="B9" s="1">
        <v>233407715</v>
      </c>
      <c r="C9" s="1">
        <v>138166564.08000001</v>
      </c>
      <c r="D9" s="1">
        <v>134492961.58000001</v>
      </c>
      <c r="E9" s="1">
        <v>131200153.64</v>
      </c>
      <c r="F9" s="1">
        <v>81836412.290000007</v>
      </c>
      <c r="G9" s="1">
        <v>74709352.790000007</v>
      </c>
      <c r="H9" s="1">
        <v>69603712.769999996</v>
      </c>
      <c r="I9" s="1">
        <v>73556603.209999993</v>
      </c>
      <c r="J9" s="1">
        <v>56897502.200000003</v>
      </c>
      <c r="K9" s="1">
        <v>67383966.620000005</v>
      </c>
    </row>
    <row r="10" spans="1:11" x14ac:dyDescent="0.3">
      <c r="A10" s="30" t="s">
        <v>232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</row>
    <row r="11" spans="1:11" x14ac:dyDescent="0.3">
      <c r="A11" s="30" t="s">
        <v>216</v>
      </c>
      <c r="B11" s="1">
        <v>5674396</v>
      </c>
      <c r="C11" s="1">
        <v>23113377.77</v>
      </c>
      <c r="D11" s="1">
        <v>27861616.370000001</v>
      </c>
      <c r="E11" s="1">
        <v>16717861.09</v>
      </c>
      <c r="F11" s="1">
        <v>41983260.07</v>
      </c>
      <c r="G11" s="1">
        <v>49429551.140000001</v>
      </c>
      <c r="H11" s="1">
        <v>75758186.060000002</v>
      </c>
      <c r="I11" s="1">
        <v>79979097.109999999</v>
      </c>
      <c r="J11" s="1">
        <v>146124990.44999999</v>
      </c>
      <c r="K11" s="1">
        <v>116532130.95</v>
      </c>
    </row>
    <row r="12" spans="1:11" x14ac:dyDescent="0.3">
      <c r="A12" s="30" t="s">
        <v>217</v>
      </c>
      <c r="B12" s="1">
        <v>0</v>
      </c>
      <c r="C12" s="1">
        <v>0</v>
      </c>
      <c r="D12" s="1">
        <v>481930.18</v>
      </c>
      <c r="E12" s="1">
        <v>237228.78</v>
      </c>
      <c r="F12" s="1">
        <v>919379.74</v>
      </c>
      <c r="G12" s="1">
        <v>1356711.46</v>
      </c>
      <c r="H12" s="1">
        <v>7435369.6200000001</v>
      </c>
      <c r="I12" s="1">
        <v>675103.1</v>
      </c>
      <c r="J12" s="1">
        <v>545383.18000000005</v>
      </c>
      <c r="K12" s="1">
        <v>386850.64</v>
      </c>
    </row>
    <row r="13" spans="1:11" x14ac:dyDescent="0.3">
      <c r="A13" s="10" t="s">
        <v>218</v>
      </c>
      <c r="B13" s="11">
        <f t="shared" ref="B13:G13" si="0">SUM(B2:B12)</f>
        <v>1013384976</v>
      </c>
      <c r="C13" s="11">
        <f t="shared" si="0"/>
        <v>925402428.76999998</v>
      </c>
      <c r="D13" s="11">
        <f t="shared" si="0"/>
        <v>920631002.44000006</v>
      </c>
      <c r="E13" s="11">
        <f t="shared" si="0"/>
        <v>884389379.73000002</v>
      </c>
      <c r="F13" s="11">
        <f t="shared" si="0"/>
        <v>948690695.49999988</v>
      </c>
      <c r="G13" s="11">
        <f t="shared" si="0"/>
        <v>959300722.15999997</v>
      </c>
      <c r="H13" s="11">
        <f t="shared" ref="H13:K13" si="1">SUM(H2:H12)</f>
        <v>996189009.37</v>
      </c>
      <c r="I13" s="11">
        <f t="shared" ref="I13:J13" si="2">SUM(I2:I12)</f>
        <v>999906837.91000009</v>
      </c>
      <c r="J13" s="11">
        <f t="shared" si="2"/>
        <v>1060372261.7099999</v>
      </c>
      <c r="K13" s="11">
        <f t="shared" si="1"/>
        <v>1081058766.8300002</v>
      </c>
    </row>
    <row r="14" spans="1:11" x14ac:dyDescent="0.3">
      <c r="A14" s="30" t="s">
        <v>219</v>
      </c>
      <c r="B14" s="1">
        <v>585849744</v>
      </c>
      <c r="C14" s="1">
        <v>585849744</v>
      </c>
      <c r="D14" s="1">
        <v>584582785</v>
      </c>
      <c r="E14" s="1">
        <v>22327754.890000001</v>
      </c>
      <c r="F14" s="1">
        <v>6600670.1799999997</v>
      </c>
      <c r="G14" s="1">
        <v>15008360.25</v>
      </c>
      <c r="H14" s="1">
        <v>36649116.530000001</v>
      </c>
      <c r="I14" s="1">
        <v>36649116.530000001</v>
      </c>
      <c r="J14" s="1">
        <v>36649116.530000001</v>
      </c>
      <c r="K14" s="1">
        <v>36649116.530000001</v>
      </c>
    </row>
    <row r="15" spans="1:11" x14ac:dyDescent="0.3">
      <c r="A15" s="30" t="s">
        <v>220</v>
      </c>
      <c r="B15" s="1">
        <f>66859699+67719366</f>
        <v>134579065</v>
      </c>
      <c r="C15" s="1">
        <v>137375332.63</v>
      </c>
      <c r="D15" s="1">
        <v>133592986.97</v>
      </c>
      <c r="E15" s="1">
        <v>643880072.22000003</v>
      </c>
      <c r="F15" s="1">
        <v>728083833.26999998</v>
      </c>
      <c r="G15" s="1">
        <v>728818282.83000004</v>
      </c>
      <c r="H15" s="1">
        <v>733405794.22000003</v>
      </c>
      <c r="I15" s="1">
        <v>737360694.80999994</v>
      </c>
      <c r="J15" s="1">
        <v>754452298.88999999</v>
      </c>
      <c r="K15" s="1">
        <v>805339018.88</v>
      </c>
    </row>
    <row r="16" spans="1:11" x14ac:dyDescent="0.3">
      <c r="A16" s="30" t="s">
        <v>235</v>
      </c>
      <c r="B16" s="1">
        <v>67719366</v>
      </c>
      <c r="C16" s="1">
        <v>71782592.409999996</v>
      </c>
      <c r="D16" s="1">
        <v>76763106.659999996</v>
      </c>
      <c r="E16" s="1">
        <v>78506215.700000003</v>
      </c>
      <c r="F16" s="1">
        <v>65662231.829999998</v>
      </c>
      <c r="G16" s="1">
        <v>66852453.719999999</v>
      </c>
      <c r="H16" s="1">
        <v>66748476.880000003</v>
      </c>
      <c r="I16" s="1">
        <v>66509006.799999997</v>
      </c>
      <c r="J16" s="1">
        <v>66300306.609999999</v>
      </c>
      <c r="K16" s="1">
        <v>66270271.659999996</v>
      </c>
    </row>
    <row r="17" spans="1:13" x14ac:dyDescent="0.3">
      <c r="A17" s="30" t="s">
        <v>221</v>
      </c>
      <c r="B17" s="1">
        <v>-1266959</v>
      </c>
      <c r="C17" s="1">
        <v>2742331.35</v>
      </c>
      <c r="D17" s="1">
        <v>-568075.57999999996</v>
      </c>
      <c r="E17" s="1">
        <v>-18158878.989999998</v>
      </c>
      <c r="F17" s="1">
        <v>8407690.0700000003</v>
      </c>
      <c r="G17" s="1">
        <v>21640756.280000001</v>
      </c>
      <c r="H17" s="1">
        <v>17507141.34</v>
      </c>
      <c r="I17" s="1">
        <v>-12214131.710000001</v>
      </c>
      <c r="J17" s="1">
        <v>36963854.75</v>
      </c>
      <c r="K17" s="1">
        <v>-30430493.91</v>
      </c>
    </row>
    <row r="18" spans="1:13" s="100" customFormat="1" x14ac:dyDescent="0.3">
      <c r="A18" s="30" t="s">
        <v>362</v>
      </c>
      <c r="B18" s="1"/>
      <c r="C18" s="1"/>
      <c r="D18" s="1"/>
      <c r="E18" s="1"/>
      <c r="F18" s="1"/>
      <c r="G18" s="1"/>
      <c r="H18" s="1">
        <v>0</v>
      </c>
      <c r="I18" s="1">
        <v>17507141.34</v>
      </c>
      <c r="J18" s="1">
        <v>5293009.63</v>
      </c>
      <c r="K18" s="1">
        <v>42256864.380000003</v>
      </c>
    </row>
    <row r="19" spans="1:13" s="100" customFormat="1" x14ac:dyDescent="0.3">
      <c r="A19" s="30" t="s">
        <v>363</v>
      </c>
      <c r="B19" s="1"/>
      <c r="C19" s="1"/>
      <c r="D19" s="1"/>
      <c r="E19" s="1"/>
      <c r="F19" s="1"/>
      <c r="G19" s="1"/>
      <c r="H19" s="1">
        <v>0</v>
      </c>
      <c r="I19" s="1">
        <v>0</v>
      </c>
      <c r="J19" s="1">
        <v>0</v>
      </c>
      <c r="K19" s="1">
        <v>0</v>
      </c>
    </row>
    <row r="20" spans="1:13" x14ac:dyDescent="0.3">
      <c r="A20" s="30" t="s">
        <v>222</v>
      </c>
      <c r="B20" s="1">
        <v>58274403</v>
      </c>
      <c r="C20" s="1">
        <v>13003072.869999999</v>
      </c>
      <c r="D20" s="1">
        <v>16539620.619999999</v>
      </c>
      <c r="E20" s="1">
        <v>4217213.1399999997</v>
      </c>
      <c r="F20" s="1">
        <v>3570345.68</v>
      </c>
      <c r="G20" s="1">
        <v>6094702.2400000002</v>
      </c>
      <c r="H20" s="1">
        <v>7566046.1200000001</v>
      </c>
      <c r="I20" s="1">
        <v>11164184.689999999</v>
      </c>
      <c r="J20" s="1">
        <v>8459834.9199999999</v>
      </c>
      <c r="K20" s="1">
        <v>9880218.5399999991</v>
      </c>
    </row>
    <row r="21" spans="1:13" x14ac:dyDescent="0.3">
      <c r="A21" s="30" t="s">
        <v>209</v>
      </c>
      <c r="B21" s="1">
        <f>56066813+8146465+35686992</f>
        <v>99900270</v>
      </c>
      <c r="C21" s="1">
        <v>95222491.019999996</v>
      </c>
      <c r="D21" s="1">
        <v>115545132.48999999</v>
      </c>
      <c r="E21" s="1">
        <v>104999933.86</v>
      </c>
      <c r="F21" s="1">
        <v>79582387.569999993</v>
      </c>
      <c r="G21" s="1">
        <v>67242214.079999998</v>
      </c>
      <c r="H21" s="1">
        <v>67673145.489999995</v>
      </c>
      <c r="I21" s="1">
        <v>69047315.530000001</v>
      </c>
      <c r="J21" s="1">
        <v>73676772.390000001</v>
      </c>
      <c r="K21" s="1">
        <v>67927588.150000006</v>
      </c>
    </row>
    <row r="22" spans="1:13" x14ac:dyDescent="0.3">
      <c r="A22" s="30" t="s">
        <v>223</v>
      </c>
      <c r="B22" s="1">
        <v>102151240</v>
      </c>
      <c r="C22" s="1">
        <v>50161267.780000001</v>
      </c>
      <c r="D22" s="1">
        <v>38850675.32</v>
      </c>
      <c r="E22" s="1">
        <v>32541126.91</v>
      </c>
      <c r="F22" s="1">
        <v>27469793.399999999</v>
      </c>
      <c r="G22" s="1">
        <v>23275727.710000001</v>
      </c>
      <c r="H22" s="1">
        <v>25391346.68</v>
      </c>
      <c r="I22" s="1">
        <v>24042765.539999999</v>
      </c>
      <c r="J22" s="1">
        <v>22919831.829999998</v>
      </c>
      <c r="K22" s="1">
        <v>21859210.870000001</v>
      </c>
    </row>
    <row r="23" spans="1:13" x14ac:dyDescent="0.3">
      <c r="A23" s="30" t="s">
        <v>224</v>
      </c>
      <c r="B23" s="1">
        <v>0</v>
      </c>
      <c r="C23" s="1">
        <v>6360275.29</v>
      </c>
      <c r="D23" s="1">
        <v>8463550.6099999994</v>
      </c>
      <c r="E23" s="1">
        <v>11367271.17</v>
      </c>
      <c r="F23" s="1">
        <v>12172543.32</v>
      </c>
      <c r="G23" s="1">
        <v>11144424.720000001</v>
      </c>
      <c r="H23" s="1">
        <v>11481461.880000001</v>
      </c>
      <c r="I23" s="1">
        <v>11118344.08</v>
      </c>
      <c r="J23" s="1">
        <v>8653606.6899999995</v>
      </c>
      <c r="K23" s="1">
        <v>7337816.1299999999</v>
      </c>
    </row>
    <row r="24" spans="1:13" x14ac:dyDescent="0.3">
      <c r="A24" s="30" t="s">
        <v>225</v>
      </c>
      <c r="B24" s="1">
        <f>5788070+23284012</f>
        <v>29072082</v>
      </c>
      <c r="C24" s="1">
        <v>34687913.829999998</v>
      </c>
      <c r="D24" s="1">
        <v>17708706.34</v>
      </c>
      <c r="E24" s="1">
        <v>18388243.109999999</v>
      </c>
      <c r="F24" s="1">
        <f>14956398.36+75650</f>
        <v>15032048.359999999</v>
      </c>
      <c r="G24" s="1">
        <v>12875500.800000001</v>
      </c>
      <c r="H24" s="1">
        <v>14794214.039999999</v>
      </c>
      <c r="I24" s="1">
        <v>16947410.239999998</v>
      </c>
      <c r="J24" s="1">
        <v>18037520.039999999</v>
      </c>
      <c r="K24" s="1">
        <v>17747743.760000002</v>
      </c>
      <c r="L24" s="1"/>
      <c r="M24" s="1"/>
    </row>
    <row r="25" spans="1:13" x14ac:dyDescent="0.3">
      <c r="A25" s="30" t="s">
        <v>226</v>
      </c>
      <c r="B25" s="1">
        <v>4825131</v>
      </c>
      <c r="C25" s="1">
        <v>0</v>
      </c>
      <c r="D25" s="1">
        <v>5915620.6699999999</v>
      </c>
      <c r="E25" s="1">
        <v>64826644.119999997</v>
      </c>
      <c r="F25" s="1">
        <v>67771383.650000006</v>
      </c>
      <c r="G25" s="1">
        <v>73200753.25</v>
      </c>
      <c r="H25" s="1">
        <v>81720743.079999998</v>
      </c>
      <c r="I25" s="1">
        <v>88283996.879999995</v>
      </c>
      <c r="J25" s="1">
        <v>95266416</v>
      </c>
      <c r="K25" s="1">
        <v>102491683.5</v>
      </c>
    </row>
    <row r="26" spans="1:13" x14ac:dyDescent="0.3">
      <c r="A26" s="67" t="s">
        <v>227</v>
      </c>
      <c r="B26" s="3">
        <f t="shared" ref="B26:G26" si="3">SUM(B14:B25)-B16</f>
        <v>1013384976</v>
      </c>
      <c r="C26" s="3">
        <f t="shared" si="3"/>
        <v>925402428.76999998</v>
      </c>
      <c r="D26" s="3">
        <f t="shared" si="3"/>
        <v>920631002.44000006</v>
      </c>
      <c r="E26" s="3">
        <f t="shared" si="3"/>
        <v>884389380.42999995</v>
      </c>
      <c r="F26" s="3">
        <f t="shared" si="3"/>
        <v>948690695.49999988</v>
      </c>
      <c r="G26" s="3">
        <f t="shared" si="3"/>
        <v>959300722.16000009</v>
      </c>
      <c r="H26" s="3">
        <f t="shared" ref="H26:K26" si="4">SUM(H14:H25)-H16</f>
        <v>996189009.38</v>
      </c>
      <c r="I26" s="3">
        <f t="shared" ref="I26" si="5">SUM(I14:I25)-I16</f>
        <v>999906837.92999995</v>
      </c>
      <c r="J26" s="3">
        <f t="shared" ref="J26" si="6">SUM(J14:J25)-J16</f>
        <v>1060372261.67</v>
      </c>
      <c r="K26" s="3">
        <f t="shared" si="4"/>
        <v>1081058766.8299997</v>
      </c>
    </row>
    <row r="27" spans="1:13" x14ac:dyDescent="0.3">
      <c r="A27" s="10" t="s">
        <v>267</v>
      </c>
      <c r="B27" s="11">
        <f t="shared" ref="B27:K27" si="7">B14+B15+B17+B18+B19</f>
        <v>719161850</v>
      </c>
      <c r="C27" s="11">
        <f t="shared" si="7"/>
        <v>725967407.98000002</v>
      </c>
      <c r="D27" s="11">
        <f t="shared" si="7"/>
        <v>717607696.38999999</v>
      </c>
      <c r="E27" s="11">
        <f t="shared" si="7"/>
        <v>648048948.12</v>
      </c>
      <c r="F27" s="11">
        <f t="shared" si="7"/>
        <v>743092193.51999998</v>
      </c>
      <c r="G27" s="11">
        <f t="shared" si="7"/>
        <v>765467399.36000001</v>
      </c>
      <c r="H27" s="11">
        <f t="shared" ref="H27:J27" si="8">H14+H15+H17+H18+H19</f>
        <v>787562052.09000003</v>
      </c>
      <c r="I27" s="11">
        <f t="shared" si="8"/>
        <v>779302820.96999991</v>
      </c>
      <c r="J27" s="11">
        <f t="shared" si="8"/>
        <v>833358279.79999995</v>
      </c>
      <c r="K27" s="11">
        <f t="shared" si="7"/>
        <v>853814505.88</v>
      </c>
    </row>
    <row r="28" spans="1:13" x14ac:dyDescent="0.3">
      <c r="F28" s="102">
        <f t="shared" ref="F28:K28" si="9">F27/F26*100</f>
        <v>78.328183995560224</v>
      </c>
      <c r="G28" s="102">
        <f t="shared" si="9"/>
        <v>79.794310759658643</v>
      </c>
      <c r="H28" s="102">
        <f t="shared" si="9"/>
        <v>79.057492571631201</v>
      </c>
      <c r="I28" s="102">
        <f t="shared" si="9"/>
        <v>77.937542919829113</v>
      </c>
      <c r="J28" s="102">
        <f t="shared" si="9"/>
        <v>78.591105211251801</v>
      </c>
      <c r="K28" s="102">
        <f t="shared" si="9"/>
        <v>78.979471984085521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8"/>
  <sheetViews>
    <sheetView tabSelected="1" topLeftCell="B85" workbookViewId="0">
      <selection activeCell="K89" sqref="K89:K93"/>
    </sheetView>
  </sheetViews>
  <sheetFormatPr defaultRowHeight="14.4" x14ac:dyDescent="0.3"/>
  <cols>
    <col min="2" max="2" width="83.33203125" bestFit="1" customWidth="1"/>
    <col min="3" max="3" width="11.88671875" customWidth="1"/>
    <col min="7" max="7" width="9.109375" style="100"/>
    <col min="8" max="10" width="8.88671875" style="100"/>
    <col min="11" max="11" width="9.109375" style="100"/>
  </cols>
  <sheetData>
    <row r="1" spans="1:11" x14ac:dyDescent="0.3">
      <c r="A1" s="125" t="s">
        <v>210</v>
      </c>
      <c r="B1" s="125"/>
      <c r="C1" s="2" t="s">
        <v>211</v>
      </c>
      <c r="D1" s="98">
        <v>2016</v>
      </c>
      <c r="E1" s="98">
        <v>2017</v>
      </c>
      <c r="F1" s="98">
        <v>2018</v>
      </c>
      <c r="G1" s="98">
        <v>2019</v>
      </c>
      <c r="H1" s="98">
        <v>2020</v>
      </c>
      <c r="I1" s="98">
        <v>2021</v>
      </c>
      <c r="J1" s="98">
        <v>2022</v>
      </c>
      <c r="K1" s="98">
        <v>2023</v>
      </c>
    </row>
    <row r="2" spans="1:11" x14ac:dyDescent="0.3">
      <c r="A2" t="s">
        <v>77</v>
      </c>
    </row>
    <row r="3" spans="1:11" x14ac:dyDescent="0.3">
      <c r="A3" s="8" t="s">
        <v>78</v>
      </c>
      <c r="B3" s="8" t="s">
        <v>79</v>
      </c>
      <c r="C3" s="9">
        <v>48</v>
      </c>
      <c r="D3" s="7">
        <v>24.39</v>
      </c>
      <c r="E3" s="7">
        <v>28.22</v>
      </c>
      <c r="F3" s="7">
        <v>42.95</v>
      </c>
      <c r="G3" s="101">
        <v>24.72</v>
      </c>
      <c r="H3" s="101">
        <v>21.46</v>
      </c>
      <c r="I3" s="101">
        <v>22.59</v>
      </c>
      <c r="J3" s="101">
        <v>23.27</v>
      </c>
      <c r="K3" s="101">
        <v>20.22</v>
      </c>
    </row>
    <row r="4" spans="1:11" x14ac:dyDescent="0.3">
      <c r="A4" t="s">
        <v>80</v>
      </c>
      <c r="D4" s="7"/>
      <c r="E4" s="7"/>
      <c r="F4" s="7"/>
      <c r="G4" s="101"/>
      <c r="H4" s="101"/>
      <c r="I4" s="101"/>
      <c r="J4" s="101"/>
      <c r="K4" s="101"/>
    </row>
    <row r="5" spans="1:11" x14ac:dyDescent="0.3">
      <c r="A5" t="s">
        <v>81</v>
      </c>
      <c r="B5" t="s">
        <v>82</v>
      </c>
      <c r="D5" s="7">
        <v>105.27</v>
      </c>
      <c r="E5" s="7">
        <v>98.03</v>
      </c>
      <c r="F5" s="7">
        <v>96.16</v>
      </c>
      <c r="G5" s="101">
        <v>97.7</v>
      </c>
      <c r="H5" s="101">
        <v>103.1</v>
      </c>
      <c r="I5" s="101">
        <v>102.61</v>
      </c>
      <c r="J5" s="101">
        <v>107.49</v>
      </c>
      <c r="K5" s="101">
        <v>109.02</v>
      </c>
    </row>
    <row r="6" spans="1:11" x14ac:dyDescent="0.3">
      <c r="A6" t="s">
        <v>83</v>
      </c>
      <c r="B6" t="s">
        <v>84</v>
      </c>
      <c r="D6" s="7">
        <v>97.72</v>
      </c>
      <c r="E6" s="7">
        <v>96.05</v>
      </c>
      <c r="F6" s="7">
        <v>94.97</v>
      </c>
      <c r="G6" s="101">
        <v>96.3</v>
      </c>
      <c r="H6" s="101">
        <v>94.6</v>
      </c>
      <c r="I6" s="101">
        <v>98.39</v>
      </c>
      <c r="J6" s="101">
        <v>99.34</v>
      </c>
      <c r="K6" s="101">
        <v>100.77</v>
      </c>
    </row>
    <row r="7" spans="1:11" x14ac:dyDescent="0.3">
      <c r="A7" t="s">
        <v>85</v>
      </c>
      <c r="B7" t="s">
        <v>86</v>
      </c>
      <c r="D7" s="7">
        <v>81.39</v>
      </c>
      <c r="E7" s="7">
        <v>74.75</v>
      </c>
      <c r="F7" s="7">
        <v>74.19</v>
      </c>
      <c r="G7" s="101">
        <v>75.599999999999994</v>
      </c>
      <c r="H7" s="101">
        <v>70.849999999999994</v>
      </c>
      <c r="I7" s="101">
        <v>75.510000000000005</v>
      </c>
      <c r="J7" s="101">
        <v>84.02</v>
      </c>
      <c r="K7" s="101">
        <v>86.28</v>
      </c>
    </row>
    <row r="8" spans="1:11" x14ac:dyDescent="0.3">
      <c r="A8" t="s">
        <v>87</v>
      </c>
      <c r="B8" t="s">
        <v>88</v>
      </c>
      <c r="D8" s="7">
        <v>75.55</v>
      </c>
      <c r="E8" s="7">
        <v>73.239999999999995</v>
      </c>
      <c r="F8" s="7">
        <v>72.900000000000006</v>
      </c>
      <c r="G8" s="101">
        <v>74.52</v>
      </c>
      <c r="H8" s="101">
        <v>65</v>
      </c>
      <c r="I8" s="101">
        <v>72.400000000000006</v>
      </c>
      <c r="J8" s="101">
        <v>77.650000000000006</v>
      </c>
      <c r="K8" s="101">
        <v>79.75</v>
      </c>
    </row>
    <row r="9" spans="1:11" x14ac:dyDescent="0.3">
      <c r="A9" t="s">
        <v>89</v>
      </c>
      <c r="B9" t="s">
        <v>90</v>
      </c>
      <c r="D9" s="7">
        <v>66.06</v>
      </c>
      <c r="E9" s="7">
        <v>71.900000000000006</v>
      </c>
      <c r="F9" s="7">
        <v>74.489999999999995</v>
      </c>
      <c r="G9" s="101">
        <v>73.09</v>
      </c>
      <c r="H9" s="101">
        <v>76.78</v>
      </c>
      <c r="I9" s="101">
        <v>79.260000000000005</v>
      </c>
      <c r="J9" s="101">
        <v>90.59</v>
      </c>
      <c r="K9" s="101">
        <v>68.69</v>
      </c>
    </row>
    <row r="10" spans="1:11" x14ac:dyDescent="0.3">
      <c r="A10" t="s">
        <v>91</v>
      </c>
      <c r="B10" t="s">
        <v>92</v>
      </c>
      <c r="D10" s="7">
        <v>69.48</v>
      </c>
      <c r="E10" s="7">
        <v>72.5</v>
      </c>
      <c r="F10" s="7">
        <v>78.02</v>
      </c>
      <c r="G10" s="101">
        <v>75.13</v>
      </c>
      <c r="H10" s="101">
        <v>75.67</v>
      </c>
      <c r="I10" s="101">
        <v>81.28</v>
      </c>
      <c r="J10" s="101">
        <v>84.48</v>
      </c>
      <c r="K10" s="101">
        <v>73.06</v>
      </c>
    </row>
    <row r="11" spans="1:11" x14ac:dyDescent="0.3">
      <c r="A11" t="s">
        <v>93</v>
      </c>
      <c r="B11" t="s">
        <v>94</v>
      </c>
      <c r="D11" s="7">
        <v>49.78</v>
      </c>
      <c r="E11" s="7">
        <v>51.28</v>
      </c>
      <c r="F11" s="7">
        <v>57.12</v>
      </c>
      <c r="G11" s="101">
        <v>55.6</v>
      </c>
      <c r="H11" s="101">
        <v>51.11</v>
      </c>
      <c r="I11" s="101">
        <v>56.36</v>
      </c>
      <c r="J11" s="101">
        <v>69.12</v>
      </c>
      <c r="K11" s="101">
        <v>49.06</v>
      </c>
    </row>
    <row r="12" spans="1:11" x14ac:dyDescent="0.3">
      <c r="A12" s="8" t="s">
        <v>95</v>
      </c>
      <c r="B12" s="8" t="s">
        <v>96</v>
      </c>
      <c r="C12" s="9">
        <v>22</v>
      </c>
      <c r="D12" s="7">
        <v>52.35</v>
      </c>
      <c r="E12" s="7">
        <v>51.71</v>
      </c>
      <c r="F12" s="7">
        <v>59.84</v>
      </c>
      <c r="G12" s="101">
        <v>57.15</v>
      </c>
      <c r="H12" s="101">
        <v>50.37</v>
      </c>
      <c r="I12" s="101">
        <v>57.8</v>
      </c>
      <c r="J12" s="101">
        <v>64.459999999999994</v>
      </c>
      <c r="K12" s="101">
        <v>52.17</v>
      </c>
    </row>
    <row r="13" spans="1:11" x14ac:dyDescent="0.3">
      <c r="A13" t="s">
        <v>97</v>
      </c>
      <c r="D13" s="7"/>
      <c r="E13" s="7"/>
      <c r="F13" s="7"/>
      <c r="G13" s="101"/>
      <c r="H13" s="101"/>
      <c r="I13" s="101"/>
      <c r="J13" s="101"/>
      <c r="K13" s="101"/>
    </row>
    <row r="14" spans="1:11" x14ac:dyDescent="0.3">
      <c r="A14" t="s">
        <v>98</v>
      </c>
      <c r="B14" t="s">
        <v>99</v>
      </c>
      <c r="D14" s="7">
        <v>0</v>
      </c>
      <c r="E14" s="7">
        <v>0</v>
      </c>
      <c r="F14" s="7">
        <v>0</v>
      </c>
      <c r="G14" s="101">
        <v>0</v>
      </c>
      <c r="H14" s="101">
        <v>0</v>
      </c>
      <c r="I14" s="101">
        <v>0</v>
      </c>
      <c r="J14" s="101">
        <v>0</v>
      </c>
      <c r="K14" s="101">
        <v>0</v>
      </c>
    </row>
    <row r="15" spans="1:11" x14ac:dyDescent="0.3">
      <c r="A15" s="8" t="s">
        <v>100</v>
      </c>
      <c r="B15" s="8" t="s">
        <v>101</v>
      </c>
      <c r="C15" s="9">
        <v>0</v>
      </c>
      <c r="D15" s="7">
        <v>0</v>
      </c>
      <c r="E15" s="7">
        <v>0</v>
      </c>
      <c r="F15" s="7">
        <v>0</v>
      </c>
      <c r="G15" s="101">
        <v>0</v>
      </c>
      <c r="H15" s="101">
        <v>0</v>
      </c>
      <c r="I15" s="101">
        <v>0</v>
      </c>
      <c r="J15" s="101">
        <v>0</v>
      </c>
      <c r="K15" s="101">
        <v>0</v>
      </c>
    </row>
    <row r="16" spans="1:11" x14ac:dyDescent="0.3">
      <c r="A16" t="s">
        <v>102</v>
      </c>
      <c r="D16" s="7"/>
      <c r="E16" s="7"/>
      <c r="F16" s="7"/>
      <c r="G16" s="101"/>
      <c r="H16" s="101"/>
      <c r="I16" s="101"/>
      <c r="J16" s="101"/>
      <c r="K16" s="101"/>
    </row>
    <row r="17" spans="1:11" x14ac:dyDescent="0.3">
      <c r="A17" t="s">
        <v>103</v>
      </c>
      <c r="B17" t="s">
        <v>104</v>
      </c>
      <c r="D17" s="7">
        <v>24.08</v>
      </c>
      <c r="E17" s="7">
        <v>21.76</v>
      </c>
      <c r="F17" s="7">
        <v>26.38</v>
      </c>
      <c r="G17" s="101">
        <v>27.63</v>
      </c>
      <c r="H17" s="101">
        <v>27.78</v>
      </c>
      <c r="I17" s="101">
        <v>23.87</v>
      </c>
      <c r="J17" s="101">
        <v>27.96</v>
      </c>
      <c r="K17" s="101">
        <v>27.29</v>
      </c>
    </row>
    <row r="18" spans="1:11" x14ac:dyDescent="0.3">
      <c r="A18" t="s">
        <v>105</v>
      </c>
      <c r="B18" t="s">
        <v>106</v>
      </c>
      <c r="D18" s="7">
        <v>13.81</v>
      </c>
      <c r="E18" s="7">
        <v>14.62</v>
      </c>
      <c r="F18" s="7">
        <v>14.12</v>
      </c>
      <c r="G18" s="101">
        <v>14.59</v>
      </c>
      <c r="H18" s="101">
        <v>15.27</v>
      </c>
      <c r="I18" s="101">
        <v>15.16</v>
      </c>
      <c r="J18" s="101">
        <v>14.67</v>
      </c>
      <c r="K18" s="101">
        <v>15.99</v>
      </c>
    </row>
    <row r="19" spans="1:11" x14ac:dyDescent="0.3">
      <c r="A19" t="s">
        <v>107</v>
      </c>
      <c r="B19" t="s">
        <v>108</v>
      </c>
      <c r="D19" s="7">
        <v>2.75</v>
      </c>
      <c r="E19" s="7">
        <v>1.27</v>
      </c>
      <c r="F19" s="7">
        <v>2.79</v>
      </c>
      <c r="G19" s="101">
        <v>3.81</v>
      </c>
      <c r="H19" s="101">
        <v>2.71</v>
      </c>
      <c r="I19" s="101">
        <v>4.1399999999999997</v>
      </c>
      <c r="J19" s="101">
        <v>2.27</v>
      </c>
      <c r="K19" s="101">
        <v>3.01</v>
      </c>
    </row>
    <row r="20" spans="1:11" x14ac:dyDescent="0.3">
      <c r="A20" t="s">
        <v>109</v>
      </c>
      <c r="B20" t="s">
        <v>110</v>
      </c>
      <c r="D20" s="7">
        <v>199.74</v>
      </c>
      <c r="E20" s="7">
        <v>193.21</v>
      </c>
      <c r="F20" s="7">
        <v>199.43</v>
      </c>
      <c r="G20" s="101">
        <v>197.22</v>
      </c>
      <c r="H20" s="101">
        <v>193.74</v>
      </c>
      <c r="I20" s="101">
        <v>195.45</v>
      </c>
      <c r="J20" s="101">
        <v>206.75</v>
      </c>
      <c r="K20" s="101">
        <v>204.53</v>
      </c>
    </row>
    <row r="21" spans="1:11" x14ac:dyDescent="0.3">
      <c r="A21" t="s">
        <v>111</v>
      </c>
      <c r="D21" s="7"/>
      <c r="E21" s="7"/>
      <c r="F21" s="7"/>
      <c r="G21" s="101"/>
      <c r="H21" s="101"/>
      <c r="I21" s="101"/>
      <c r="J21" s="101"/>
      <c r="K21" s="101"/>
    </row>
    <row r="22" spans="1:11" x14ac:dyDescent="0.3">
      <c r="A22" t="s">
        <v>112</v>
      </c>
      <c r="B22" t="s">
        <v>113</v>
      </c>
      <c r="D22" s="7">
        <v>39.06</v>
      </c>
      <c r="E22" s="7">
        <v>34.68</v>
      </c>
      <c r="F22" s="7">
        <v>33.21</v>
      </c>
      <c r="G22" s="101">
        <v>30.86</v>
      </c>
      <c r="H22" s="101">
        <v>29.3</v>
      </c>
      <c r="I22" s="101">
        <v>31.95</v>
      </c>
      <c r="J22" s="101">
        <v>27.13</v>
      </c>
      <c r="K22" s="101">
        <v>29.03</v>
      </c>
    </row>
    <row r="23" spans="1:11" x14ac:dyDescent="0.3">
      <c r="A23" t="s">
        <v>114</v>
      </c>
      <c r="D23" s="7"/>
      <c r="E23" s="7"/>
      <c r="F23" s="7"/>
      <c r="G23" s="101"/>
      <c r="H23" s="101"/>
      <c r="I23" s="101"/>
      <c r="J23" s="101"/>
      <c r="K23" s="101"/>
    </row>
    <row r="24" spans="1:11" x14ac:dyDescent="0.3">
      <c r="A24" t="s">
        <v>115</v>
      </c>
      <c r="B24" t="s">
        <v>116</v>
      </c>
      <c r="D24" s="7">
        <v>0.88</v>
      </c>
      <c r="E24" s="7">
        <v>1.64</v>
      </c>
      <c r="F24" s="7">
        <v>1.52</v>
      </c>
      <c r="G24" s="101">
        <v>1.27</v>
      </c>
      <c r="H24" s="101">
        <v>1.04</v>
      </c>
      <c r="I24" s="101">
        <v>1.01</v>
      </c>
      <c r="J24" s="101">
        <v>0.87</v>
      </c>
      <c r="K24" s="101">
        <v>0.74</v>
      </c>
    </row>
    <row r="25" spans="1:11" x14ac:dyDescent="0.3">
      <c r="A25" t="s">
        <v>117</v>
      </c>
      <c r="B25" t="s">
        <v>118</v>
      </c>
      <c r="D25" s="7">
        <v>0</v>
      </c>
      <c r="E25" s="7">
        <v>0</v>
      </c>
      <c r="F25" s="7">
        <v>0</v>
      </c>
      <c r="G25" s="101">
        <v>0</v>
      </c>
      <c r="H25" s="101">
        <v>0</v>
      </c>
      <c r="I25" s="101">
        <v>0</v>
      </c>
      <c r="J25" s="101">
        <v>0</v>
      </c>
      <c r="K25" s="101">
        <v>0</v>
      </c>
    </row>
    <row r="26" spans="1:11" x14ac:dyDescent="0.3">
      <c r="A26" t="s">
        <v>119</v>
      </c>
      <c r="B26" t="s">
        <v>120</v>
      </c>
      <c r="D26" s="7">
        <v>0.11</v>
      </c>
      <c r="E26" s="7">
        <v>0.28999999999999998</v>
      </c>
      <c r="F26" s="7">
        <v>0.34</v>
      </c>
      <c r="G26" s="101">
        <v>0.24</v>
      </c>
      <c r="H26" s="101">
        <v>1.54</v>
      </c>
      <c r="I26" s="101">
        <v>0.64</v>
      </c>
      <c r="J26" s="101">
        <v>1.03</v>
      </c>
      <c r="K26" s="101">
        <v>0</v>
      </c>
    </row>
    <row r="27" spans="1:11" x14ac:dyDescent="0.3">
      <c r="A27" t="s">
        <v>121</v>
      </c>
      <c r="D27" s="7"/>
      <c r="E27" s="7"/>
      <c r="F27" s="7"/>
      <c r="G27" s="101"/>
      <c r="H27" s="101"/>
      <c r="I27" s="101"/>
      <c r="J27" s="101"/>
      <c r="K27" s="101"/>
    </row>
    <row r="28" spans="1:11" x14ac:dyDescent="0.3">
      <c r="A28" t="s">
        <v>122</v>
      </c>
      <c r="B28" t="s">
        <v>123</v>
      </c>
      <c r="D28" s="7">
        <v>11.16</v>
      </c>
      <c r="E28" s="7">
        <v>7.96</v>
      </c>
      <c r="F28" s="7">
        <v>13.31</v>
      </c>
      <c r="G28" s="101">
        <v>11.93</v>
      </c>
      <c r="H28" s="101">
        <v>14.89</v>
      </c>
      <c r="I28" s="101">
        <v>10.59</v>
      </c>
      <c r="J28" s="101">
        <v>10.58</v>
      </c>
      <c r="K28" s="101">
        <v>17.48</v>
      </c>
    </row>
    <row r="29" spans="1:11" x14ac:dyDescent="0.3">
      <c r="A29" t="s">
        <v>124</v>
      </c>
      <c r="B29" t="s">
        <v>125</v>
      </c>
      <c r="D29" s="7">
        <v>109.12</v>
      </c>
      <c r="E29" s="7">
        <v>83.95</v>
      </c>
      <c r="F29" s="7">
        <v>128.34</v>
      </c>
      <c r="G29" s="101">
        <v>108.74</v>
      </c>
      <c r="H29" s="101">
        <v>141.94999999999999</v>
      </c>
      <c r="I29" s="101">
        <v>108.01</v>
      </c>
      <c r="J29" s="101">
        <v>104.72</v>
      </c>
      <c r="K29" s="101">
        <v>144.47</v>
      </c>
    </row>
    <row r="30" spans="1:11" x14ac:dyDescent="0.3">
      <c r="A30" t="s">
        <v>126</v>
      </c>
      <c r="B30" t="s">
        <v>127</v>
      </c>
      <c r="D30" s="7">
        <v>5.79</v>
      </c>
      <c r="E30" s="7">
        <v>0.54</v>
      </c>
      <c r="F30" s="7">
        <v>3.04</v>
      </c>
      <c r="G30" s="101">
        <v>2.2999999999999998</v>
      </c>
      <c r="H30" s="101">
        <v>0.24</v>
      </c>
      <c r="I30" s="101">
        <v>1.33</v>
      </c>
      <c r="J30" s="101">
        <v>1.1000000000000001</v>
      </c>
      <c r="K30" s="101">
        <v>51.85</v>
      </c>
    </row>
    <row r="31" spans="1:11" x14ac:dyDescent="0.3">
      <c r="A31" t="s">
        <v>128</v>
      </c>
      <c r="B31" t="s">
        <v>129</v>
      </c>
      <c r="D31" s="7">
        <v>114.92</v>
      </c>
      <c r="E31" s="7">
        <v>84.5</v>
      </c>
      <c r="F31" s="7">
        <v>131.38</v>
      </c>
      <c r="G31" s="101">
        <v>111.04</v>
      </c>
      <c r="H31" s="101">
        <v>142.19</v>
      </c>
      <c r="I31" s="101">
        <v>109.34</v>
      </c>
      <c r="J31" s="101">
        <v>105.82</v>
      </c>
      <c r="K31" s="101">
        <v>196.31</v>
      </c>
    </row>
    <row r="32" spans="1:11" x14ac:dyDescent="0.3">
      <c r="A32" t="s">
        <v>130</v>
      </c>
      <c r="B32" t="s">
        <v>131</v>
      </c>
      <c r="D32" s="7">
        <v>90.23</v>
      </c>
      <c r="E32" s="7">
        <v>0</v>
      </c>
      <c r="F32" s="7">
        <v>9.69</v>
      </c>
      <c r="G32" s="101">
        <v>0</v>
      </c>
      <c r="H32" s="101">
        <v>0</v>
      </c>
      <c r="I32" s="101">
        <v>0</v>
      </c>
      <c r="J32" s="101">
        <v>0</v>
      </c>
      <c r="K32" s="101">
        <v>0</v>
      </c>
    </row>
    <row r="33" spans="1:11" x14ac:dyDescent="0.3">
      <c r="A33" t="s">
        <v>132</v>
      </c>
      <c r="B33" t="s">
        <v>133</v>
      </c>
      <c r="D33" s="7">
        <v>0.33</v>
      </c>
      <c r="E33" s="7">
        <v>0</v>
      </c>
      <c r="F33" s="7">
        <v>0</v>
      </c>
      <c r="G33" s="101">
        <v>0</v>
      </c>
      <c r="H33" s="101">
        <v>0</v>
      </c>
      <c r="I33" s="101">
        <v>0</v>
      </c>
      <c r="J33" s="101">
        <v>0</v>
      </c>
      <c r="K33" s="101">
        <v>0</v>
      </c>
    </row>
    <row r="34" spans="1:11" x14ac:dyDescent="0.3">
      <c r="A34" t="s">
        <v>134</v>
      </c>
      <c r="B34" t="s">
        <v>135</v>
      </c>
      <c r="D34" s="7">
        <v>20.76</v>
      </c>
      <c r="E34" s="7">
        <v>6.05</v>
      </c>
      <c r="F34" s="7">
        <v>4.6900000000000004</v>
      </c>
      <c r="G34" s="101">
        <v>3</v>
      </c>
      <c r="H34" s="101">
        <v>5.63</v>
      </c>
      <c r="I34" s="101">
        <v>26.33</v>
      </c>
      <c r="J34" s="101">
        <v>15.45</v>
      </c>
      <c r="K34" s="101">
        <v>5.78</v>
      </c>
    </row>
    <row r="35" spans="1:11" x14ac:dyDescent="0.3">
      <c r="A35" t="s">
        <v>136</v>
      </c>
      <c r="D35" s="7"/>
      <c r="E35" s="7"/>
      <c r="F35" s="7"/>
      <c r="G35" s="101"/>
      <c r="H35" s="101"/>
      <c r="I35" s="101"/>
      <c r="J35" s="101"/>
      <c r="K35" s="101"/>
    </row>
    <row r="36" spans="1:11" x14ac:dyDescent="0.3">
      <c r="A36" t="s">
        <v>137</v>
      </c>
      <c r="B36" t="s">
        <v>138</v>
      </c>
      <c r="D36" s="7">
        <v>79.209999999999994</v>
      </c>
      <c r="E36" s="7">
        <v>84.31</v>
      </c>
      <c r="F36" s="7">
        <v>85.2</v>
      </c>
      <c r="G36" s="101">
        <v>82.59</v>
      </c>
      <c r="H36" s="101">
        <v>84.05</v>
      </c>
      <c r="I36" s="101">
        <v>82.97</v>
      </c>
      <c r="J36" s="101">
        <v>87.37</v>
      </c>
      <c r="K36" s="101">
        <v>86.49</v>
      </c>
    </row>
    <row r="37" spans="1:11" x14ac:dyDescent="0.3">
      <c r="A37" t="s">
        <v>139</v>
      </c>
      <c r="B37" t="s">
        <v>140</v>
      </c>
      <c r="D37" s="7">
        <v>44.47</v>
      </c>
      <c r="E37" s="7">
        <v>30.24</v>
      </c>
      <c r="F37" s="7">
        <v>58.75</v>
      </c>
      <c r="G37" s="101">
        <v>56.51</v>
      </c>
      <c r="H37" s="101">
        <v>60.15</v>
      </c>
      <c r="I37" s="101">
        <v>64.959999999999994</v>
      </c>
      <c r="J37" s="101">
        <v>78.349999999999994</v>
      </c>
      <c r="K37" s="101">
        <v>78.94</v>
      </c>
    </row>
    <row r="38" spans="1:11" x14ac:dyDescent="0.3">
      <c r="A38" t="s">
        <v>141</v>
      </c>
      <c r="B38" t="s">
        <v>142</v>
      </c>
      <c r="D38" s="7">
        <v>0</v>
      </c>
      <c r="E38" s="7">
        <v>0</v>
      </c>
      <c r="F38" s="7">
        <v>0</v>
      </c>
      <c r="G38" s="101">
        <v>0</v>
      </c>
      <c r="H38" s="101">
        <v>0</v>
      </c>
      <c r="I38" s="101">
        <v>0</v>
      </c>
      <c r="J38" s="101">
        <v>0</v>
      </c>
      <c r="K38" s="101">
        <v>0</v>
      </c>
    </row>
    <row r="39" spans="1:11" x14ac:dyDescent="0.3">
      <c r="A39" t="s">
        <v>143</v>
      </c>
      <c r="B39" t="s">
        <v>144</v>
      </c>
      <c r="D39" s="7">
        <v>33.92</v>
      </c>
      <c r="E39" s="7">
        <v>40.49</v>
      </c>
      <c r="F39" s="7">
        <v>30.06</v>
      </c>
      <c r="G39" s="101">
        <v>27.53</v>
      </c>
      <c r="H39" s="101">
        <v>33.19</v>
      </c>
      <c r="I39" s="101">
        <v>40.67</v>
      </c>
      <c r="J39" s="101">
        <v>45.38</v>
      </c>
      <c r="K39" s="101">
        <v>53.5</v>
      </c>
    </row>
    <row r="40" spans="1:11" x14ac:dyDescent="0.3">
      <c r="A40" t="s">
        <v>145</v>
      </c>
      <c r="B40" t="s">
        <v>146</v>
      </c>
      <c r="D40" s="7">
        <v>33.880000000000003</v>
      </c>
      <c r="E40" s="7">
        <v>2.2999999999999998</v>
      </c>
      <c r="F40" s="7">
        <v>27.71</v>
      </c>
      <c r="G40" s="101">
        <v>45.14</v>
      </c>
      <c r="H40" s="101">
        <v>32.340000000000003</v>
      </c>
      <c r="I40" s="101">
        <v>25.65</v>
      </c>
      <c r="J40" s="101">
        <v>33.64</v>
      </c>
      <c r="K40" s="101">
        <v>28.12</v>
      </c>
    </row>
    <row r="41" spans="1:11" x14ac:dyDescent="0.3">
      <c r="A41" t="s">
        <v>147</v>
      </c>
      <c r="B41" t="s">
        <v>148</v>
      </c>
      <c r="D41" s="7">
        <v>27.68</v>
      </c>
      <c r="E41" s="7">
        <v>0</v>
      </c>
      <c r="F41" s="7">
        <v>0</v>
      </c>
      <c r="G41" s="101">
        <v>0</v>
      </c>
      <c r="H41" s="101">
        <v>0</v>
      </c>
      <c r="I41" s="101">
        <v>0</v>
      </c>
      <c r="J41" s="101">
        <v>48.29</v>
      </c>
      <c r="K41" s="101">
        <v>41.95</v>
      </c>
    </row>
    <row r="42" spans="1:11" x14ac:dyDescent="0.3">
      <c r="A42" t="s">
        <v>149</v>
      </c>
      <c r="D42" s="7"/>
      <c r="E42" s="7"/>
      <c r="F42" s="7"/>
      <c r="G42" s="101"/>
      <c r="H42" s="101"/>
      <c r="I42" s="101"/>
      <c r="J42" s="101"/>
      <c r="K42" s="101"/>
    </row>
    <row r="43" spans="1:11" x14ac:dyDescent="0.3">
      <c r="A43" t="s">
        <v>150</v>
      </c>
      <c r="B43" t="s">
        <v>151</v>
      </c>
      <c r="D43" s="7">
        <v>77.459999999999994</v>
      </c>
      <c r="E43" s="7">
        <v>77.34</v>
      </c>
      <c r="F43" s="7">
        <v>78.22</v>
      </c>
      <c r="G43" s="101">
        <v>80.44</v>
      </c>
      <c r="H43" s="101">
        <v>78.650000000000006</v>
      </c>
      <c r="I43" s="101">
        <v>80.489999999999995</v>
      </c>
      <c r="J43" s="101">
        <v>78.86</v>
      </c>
      <c r="K43" s="101">
        <v>81.64</v>
      </c>
    </row>
    <row r="44" spans="1:11" x14ac:dyDescent="0.3">
      <c r="A44" t="s">
        <v>152</v>
      </c>
      <c r="B44" t="s">
        <v>153</v>
      </c>
      <c r="D44" s="7">
        <v>65.239999999999995</v>
      </c>
      <c r="E44" s="7">
        <v>70.14</v>
      </c>
      <c r="F44" s="7">
        <v>81.97</v>
      </c>
      <c r="G44" s="101">
        <v>78.209999999999994</v>
      </c>
      <c r="H44" s="101">
        <v>74.88</v>
      </c>
      <c r="I44" s="101">
        <v>71.44</v>
      </c>
      <c r="J44" s="101">
        <v>75.38</v>
      </c>
      <c r="K44" s="101">
        <v>81.430000000000007</v>
      </c>
    </row>
    <row r="45" spans="1:11" x14ac:dyDescent="0.3">
      <c r="A45" t="s">
        <v>154</v>
      </c>
      <c r="B45" t="s">
        <v>155</v>
      </c>
      <c r="D45" s="7">
        <v>84.81</v>
      </c>
      <c r="E45" s="7">
        <v>64.900000000000006</v>
      </c>
      <c r="F45" s="7">
        <v>88.14</v>
      </c>
      <c r="G45" s="101">
        <v>81.760000000000005</v>
      </c>
      <c r="H45" s="101">
        <v>92.19</v>
      </c>
      <c r="I45" s="101">
        <v>88.91</v>
      </c>
      <c r="J45" s="101">
        <v>93.26</v>
      </c>
      <c r="K45" s="101">
        <v>96.42</v>
      </c>
    </row>
    <row r="46" spans="1:11" x14ac:dyDescent="0.3">
      <c r="A46" t="s">
        <v>156</v>
      </c>
      <c r="B46" t="s">
        <v>157</v>
      </c>
      <c r="D46" s="7">
        <v>34.76</v>
      </c>
      <c r="E46" s="7">
        <v>52.78</v>
      </c>
      <c r="F46" s="7">
        <v>71.91</v>
      </c>
      <c r="G46" s="101">
        <v>50.18</v>
      </c>
      <c r="H46" s="101">
        <v>62.79</v>
      </c>
      <c r="I46" s="101">
        <v>49.7</v>
      </c>
      <c r="J46" s="101">
        <v>60.51</v>
      </c>
      <c r="K46" s="101">
        <v>55.69</v>
      </c>
    </row>
    <row r="47" spans="1:11" x14ac:dyDescent="0.3">
      <c r="A47" t="s">
        <v>158</v>
      </c>
      <c r="B47" t="s">
        <v>159</v>
      </c>
      <c r="D47" s="7">
        <v>3.98</v>
      </c>
      <c r="E47" s="7">
        <v>3.74</v>
      </c>
      <c r="F47" s="7">
        <v>-1.05</v>
      </c>
      <c r="G47" s="101">
        <v>-4.33</v>
      </c>
      <c r="H47" s="101">
        <v>-5.53</v>
      </c>
      <c r="I47" s="101">
        <v>-6.33</v>
      </c>
      <c r="J47" s="101">
        <v>-6.06</v>
      </c>
      <c r="K47" s="101">
        <v>-5.88</v>
      </c>
    </row>
    <row r="48" spans="1:11" x14ac:dyDescent="0.3">
      <c r="A48" t="s">
        <v>160</v>
      </c>
      <c r="D48" s="7"/>
      <c r="E48" s="7"/>
      <c r="F48" s="7"/>
      <c r="G48" s="101"/>
      <c r="H48" s="101"/>
      <c r="I48" s="101"/>
      <c r="J48" s="101"/>
      <c r="K48" s="101"/>
    </row>
    <row r="49" spans="1:11" x14ac:dyDescent="0.3">
      <c r="A49" t="s">
        <v>161</v>
      </c>
      <c r="B49" t="s">
        <v>162</v>
      </c>
      <c r="D49" s="7">
        <v>0</v>
      </c>
      <c r="E49" s="7">
        <v>1.44</v>
      </c>
      <c r="F49" s="7">
        <v>23.92</v>
      </c>
      <c r="G49" s="101">
        <v>0</v>
      </c>
      <c r="H49" s="101">
        <v>0</v>
      </c>
      <c r="I49" s="101">
        <v>0</v>
      </c>
      <c r="J49" s="101">
        <v>0</v>
      </c>
      <c r="K49" s="101">
        <v>0</v>
      </c>
    </row>
    <row r="50" spans="1:11" x14ac:dyDescent="0.3">
      <c r="A50" t="s">
        <v>163</v>
      </c>
      <c r="B50" t="s">
        <v>164</v>
      </c>
      <c r="D50" s="7">
        <v>12.05</v>
      </c>
      <c r="E50" s="7">
        <v>9.49</v>
      </c>
      <c r="F50" s="7">
        <v>9.52</v>
      </c>
      <c r="G50" s="101">
        <v>11.14</v>
      </c>
      <c r="H50" s="101">
        <v>9.48</v>
      </c>
      <c r="I50" s="101">
        <v>10.72</v>
      </c>
      <c r="J50" s="101">
        <v>10.199999999999999</v>
      </c>
      <c r="K50" s="101">
        <v>8.5299999999999994</v>
      </c>
    </row>
    <row r="51" spans="1:11" x14ac:dyDescent="0.3">
      <c r="A51" s="8" t="s">
        <v>165</v>
      </c>
      <c r="B51" s="8" t="s">
        <v>166</v>
      </c>
      <c r="C51" s="9">
        <v>16</v>
      </c>
      <c r="D51" s="7">
        <v>6.33</v>
      </c>
      <c r="E51" s="7">
        <v>6.86</v>
      </c>
      <c r="F51" s="7">
        <v>6.44</v>
      </c>
      <c r="G51" s="101">
        <v>5.63</v>
      </c>
      <c r="H51" s="101">
        <v>3.97</v>
      </c>
      <c r="I51" s="101">
        <v>4.46</v>
      </c>
      <c r="J51" s="101">
        <v>4.04</v>
      </c>
      <c r="K51" s="101">
        <v>3.38</v>
      </c>
    </row>
    <row r="52" spans="1:11" x14ac:dyDescent="0.3">
      <c r="A52" t="s">
        <v>167</v>
      </c>
      <c r="B52" t="s">
        <v>168</v>
      </c>
      <c r="D52" s="7">
        <v>604.47</v>
      </c>
      <c r="E52" s="7">
        <v>545.54</v>
      </c>
      <c r="F52" s="7">
        <v>411.65</v>
      </c>
      <c r="G52" s="101">
        <v>345.56</v>
      </c>
      <c r="H52" s="101">
        <v>364.88</v>
      </c>
      <c r="I52" s="101">
        <v>354.47</v>
      </c>
      <c r="J52" s="101">
        <v>377.42</v>
      </c>
      <c r="K52" s="101">
        <v>347.04</v>
      </c>
    </row>
    <row r="53" spans="1:11" x14ac:dyDescent="0.3">
      <c r="A53" t="s">
        <v>169</v>
      </c>
      <c r="D53" s="7">
        <v>3.7734080219114978</v>
      </c>
      <c r="E53" s="7">
        <v>0</v>
      </c>
      <c r="F53" s="7">
        <v>0</v>
      </c>
      <c r="G53" s="101">
        <v>9.9459935356466218</v>
      </c>
      <c r="H53" s="101">
        <v>9.7314141654343711</v>
      </c>
      <c r="I53" s="101">
        <v>8.06257376335172</v>
      </c>
      <c r="J53" s="101">
        <v>15.422864561740989</v>
      </c>
      <c r="K53" s="101">
        <v>13.078802672946052</v>
      </c>
    </row>
    <row r="54" spans="1:11" x14ac:dyDescent="0.3">
      <c r="A54" t="s">
        <v>170</v>
      </c>
      <c r="B54" t="s">
        <v>171</v>
      </c>
      <c r="D54" s="7">
        <v>0.10346332075540735</v>
      </c>
      <c r="E54" s="7">
        <v>-26.498587186771243</v>
      </c>
      <c r="F54" s="7">
        <v>-26.498587186771243</v>
      </c>
      <c r="G54" s="101">
        <v>7.8475126016093393</v>
      </c>
      <c r="H54" s="101">
        <v>8.6976968468406106</v>
      </c>
      <c r="I54" s="101">
        <v>7.7039730675359355</v>
      </c>
      <c r="J54" s="101">
        <v>10.923051822275019</v>
      </c>
      <c r="K54" s="101">
        <v>12.222639344197923</v>
      </c>
    </row>
    <row r="55" spans="1:11" x14ac:dyDescent="0.3">
      <c r="A55" t="s">
        <v>172</v>
      </c>
      <c r="B55" t="s">
        <v>173</v>
      </c>
      <c r="D55" s="7">
        <v>3.6699447011560906</v>
      </c>
      <c r="E55" s="7">
        <v>1.2118566051853406</v>
      </c>
      <c r="F55" s="7">
        <v>1.2118566051853406</v>
      </c>
      <c r="G55" s="101">
        <v>2.098480934037283</v>
      </c>
      <c r="H55" s="101">
        <v>1.0337173185937603</v>
      </c>
      <c r="I55" s="101">
        <v>0.35860069581578524</v>
      </c>
      <c r="J55" s="101">
        <v>4.4998127394659697</v>
      </c>
      <c r="K55" s="101">
        <v>0.85616332874812962</v>
      </c>
    </row>
    <row r="56" spans="1:11" x14ac:dyDescent="0.3">
      <c r="A56" t="s">
        <v>174</v>
      </c>
      <c r="B56" t="s">
        <v>175</v>
      </c>
      <c r="D56" s="7">
        <v>81.719041978481059</v>
      </c>
      <c r="E56" s="7">
        <v>115.78927104730887</v>
      </c>
      <c r="F56" s="7">
        <v>115.78927104730887</v>
      </c>
      <c r="G56" s="101">
        <v>83.536328151590354</v>
      </c>
      <c r="H56" s="101">
        <v>78.182781378698081</v>
      </c>
      <c r="I56" s="101">
        <v>79.487084952360817</v>
      </c>
      <c r="J56" s="101">
        <v>58.873936414283399</v>
      </c>
      <c r="K56" s="101">
        <v>75.981886618917514</v>
      </c>
    </row>
    <row r="57" spans="1:11" x14ac:dyDescent="0.3">
      <c r="A57" t="s">
        <v>176</v>
      </c>
      <c r="B57" t="s">
        <v>177</v>
      </c>
      <c r="D57" s="7">
        <v>14.507549999607445</v>
      </c>
      <c r="E57" s="7">
        <v>9.497459534277036</v>
      </c>
      <c r="F57" s="7">
        <v>9.497459534277036</v>
      </c>
      <c r="G57" s="101">
        <v>6.5176783127630182</v>
      </c>
      <c r="H57" s="101">
        <v>12.085804455867558</v>
      </c>
      <c r="I57" s="101">
        <v>12.450341284287457</v>
      </c>
      <c r="J57" s="101">
        <v>25.703199023975614</v>
      </c>
      <c r="K57" s="101">
        <v>10.939310708136427</v>
      </c>
    </row>
    <row r="58" spans="1:11" x14ac:dyDescent="0.3">
      <c r="A58" t="s">
        <v>178</v>
      </c>
      <c r="D58" s="7"/>
      <c r="E58" s="7"/>
      <c r="F58" s="7"/>
      <c r="G58" s="101"/>
      <c r="H58" s="101"/>
      <c r="I58" s="101"/>
      <c r="J58" s="101"/>
      <c r="K58" s="101"/>
    </row>
    <row r="59" spans="1:11" x14ac:dyDescent="0.3">
      <c r="A59" t="s">
        <v>179</v>
      </c>
      <c r="B59" t="s">
        <v>180</v>
      </c>
      <c r="D59" s="7" t="s">
        <v>354</v>
      </c>
      <c r="E59" s="7">
        <v>2.72</v>
      </c>
      <c r="F59" s="7">
        <v>0</v>
      </c>
      <c r="G59" s="101" t="s">
        <v>354</v>
      </c>
      <c r="H59" s="101" t="s">
        <v>354</v>
      </c>
      <c r="I59" s="101" t="s">
        <v>354</v>
      </c>
      <c r="J59" s="101" t="s">
        <v>354</v>
      </c>
      <c r="K59" s="101" t="s">
        <v>354</v>
      </c>
    </row>
    <row r="60" spans="1:11" x14ac:dyDescent="0.3">
      <c r="A60" t="s">
        <v>181</v>
      </c>
      <c r="B60" t="s">
        <v>182</v>
      </c>
      <c r="D60" s="7" t="s">
        <v>354</v>
      </c>
      <c r="E60" s="7">
        <v>0</v>
      </c>
      <c r="F60" s="7" t="s">
        <v>354</v>
      </c>
      <c r="G60" s="101" t="s">
        <v>354</v>
      </c>
      <c r="H60" s="101" t="s">
        <v>354</v>
      </c>
      <c r="I60" s="101" t="s">
        <v>354</v>
      </c>
      <c r="J60" s="101" t="s">
        <v>354</v>
      </c>
      <c r="K60" s="101" t="s">
        <v>354</v>
      </c>
    </row>
    <row r="61" spans="1:11" x14ac:dyDescent="0.3">
      <c r="A61" t="s">
        <v>183</v>
      </c>
      <c r="B61" t="s">
        <v>184</v>
      </c>
      <c r="D61" s="7">
        <v>0</v>
      </c>
      <c r="E61" s="7">
        <v>4.7286688017778618</v>
      </c>
      <c r="F61" s="7">
        <v>4.7286688017778618</v>
      </c>
      <c r="G61" s="101">
        <v>0</v>
      </c>
      <c r="H61" s="101">
        <v>0</v>
      </c>
      <c r="I61" s="101">
        <v>0</v>
      </c>
      <c r="J61" s="101">
        <v>0</v>
      </c>
      <c r="K61" s="101">
        <v>0</v>
      </c>
    </row>
    <row r="62" spans="1:11" x14ac:dyDescent="0.3">
      <c r="A62" s="8" t="s">
        <v>185</v>
      </c>
      <c r="B62" s="8" t="s">
        <v>186</v>
      </c>
      <c r="C62" s="9">
        <v>1.2</v>
      </c>
      <c r="D62" s="7">
        <v>0</v>
      </c>
      <c r="E62" s="7">
        <v>2.85</v>
      </c>
      <c r="F62" s="7">
        <v>5.12</v>
      </c>
      <c r="G62" s="101">
        <v>0</v>
      </c>
      <c r="H62" s="101">
        <v>0</v>
      </c>
      <c r="I62" s="101">
        <v>0</v>
      </c>
      <c r="J62" s="101">
        <v>0.97</v>
      </c>
      <c r="K62" s="101">
        <v>0</v>
      </c>
    </row>
    <row r="63" spans="1:11" x14ac:dyDescent="0.3">
      <c r="A63" t="s">
        <v>187</v>
      </c>
      <c r="D63" s="7"/>
      <c r="E63" s="7"/>
      <c r="F63" s="7"/>
      <c r="G63" s="101"/>
      <c r="H63" s="101"/>
      <c r="I63" s="101"/>
      <c r="J63" s="101"/>
      <c r="K63" s="101"/>
    </row>
    <row r="64" spans="1:11" x14ac:dyDescent="0.3">
      <c r="A64" s="8" t="s">
        <v>188</v>
      </c>
      <c r="B64" s="8" t="s">
        <v>189</v>
      </c>
      <c r="C64" s="9">
        <v>1</v>
      </c>
      <c r="D64" s="7">
        <v>0.11</v>
      </c>
      <c r="E64" s="7">
        <v>7.94</v>
      </c>
      <c r="F64" s="7">
        <v>0.15</v>
      </c>
      <c r="G64" s="101">
        <v>0.16</v>
      </c>
      <c r="H64" s="101">
        <v>0.11</v>
      </c>
      <c r="I64" s="101">
        <v>0.03</v>
      </c>
      <c r="J64" s="101">
        <v>0.19</v>
      </c>
      <c r="K64" s="101">
        <v>0.76</v>
      </c>
    </row>
    <row r="65" spans="1:11" x14ac:dyDescent="0.3">
      <c r="A65" s="8" t="s">
        <v>190</v>
      </c>
      <c r="B65" s="8" t="s">
        <v>191</v>
      </c>
      <c r="C65" s="9"/>
      <c r="D65" s="7">
        <v>0.2</v>
      </c>
      <c r="E65" s="7">
        <v>0.11</v>
      </c>
      <c r="F65" s="7">
        <v>0.06</v>
      </c>
      <c r="G65" s="101">
        <v>0</v>
      </c>
      <c r="H65" s="101">
        <v>0</v>
      </c>
      <c r="I65" s="101">
        <v>0.18</v>
      </c>
      <c r="J65" s="101">
        <v>0.06</v>
      </c>
      <c r="K65" s="101">
        <v>0.04</v>
      </c>
    </row>
    <row r="66" spans="1:11" x14ac:dyDescent="0.3">
      <c r="A66" s="8" t="s">
        <v>192</v>
      </c>
      <c r="B66" s="8" t="s">
        <v>193</v>
      </c>
      <c r="C66" s="9">
        <v>0.6</v>
      </c>
      <c r="D66" s="7">
        <v>0.3</v>
      </c>
      <c r="E66" s="7">
        <v>7.84</v>
      </c>
      <c r="F66" s="7">
        <v>0</v>
      </c>
      <c r="G66" s="101">
        <v>0</v>
      </c>
      <c r="H66" s="101">
        <v>0</v>
      </c>
      <c r="I66" s="101">
        <v>0</v>
      </c>
      <c r="J66" s="101">
        <v>0</v>
      </c>
      <c r="K66" s="101">
        <v>0</v>
      </c>
    </row>
    <row r="67" spans="1:11" x14ac:dyDescent="0.3">
      <c r="A67" t="s">
        <v>194</v>
      </c>
      <c r="D67" s="7"/>
      <c r="E67" s="7"/>
      <c r="F67" s="7"/>
      <c r="G67" s="101"/>
      <c r="H67" s="101"/>
      <c r="I67" s="101"/>
      <c r="J67" s="101"/>
      <c r="K67" s="101"/>
    </row>
    <row r="68" spans="1:11" x14ac:dyDescent="0.3">
      <c r="A68" t="s">
        <v>195</v>
      </c>
      <c r="B68" t="s">
        <v>196</v>
      </c>
      <c r="D68" s="7">
        <v>56.652807167682226</v>
      </c>
      <c r="E68" s="7">
        <v>46.64</v>
      </c>
      <c r="F68" s="28">
        <v>53.97</v>
      </c>
      <c r="G68" s="106">
        <v>33.35</v>
      </c>
      <c r="H68" s="106">
        <v>50.66</v>
      </c>
      <c r="I68" s="106">
        <v>46.78</v>
      </c>
      <c r="J68" s="106">
        <v>35.72</v>
      </c>
      <c r="K68" s="106">
        <v>46.68</v>
      </c>
    </row>
    <row r="69" spans="1:11" x14ac:dyDescent="0.3">
      <c r="A69" t="s">
        <v>197</v>
      </c>
      <c r="D69" s="7"/>
      <c r="E69" s="7"/>
      <c r="F69" s="7"/>
      <c r="G69" s="101"/>
      <c r="H69" s="101"/>
      <c r="I69" s="101"/>
      <c r="J69" s="101"/>
      <c r="K69" s="101"/>
    </row>
    <row r="70" spans="1:11" x14ac:dyDescent="0.3">
      <c r="A70" t="s">
        <v>198</v>
      </c>
      <c r="B70" t="s">
        <v>199</v>
      </c>
      <c r="D70" s="7">
        <v>16.52</v>
      </c>
      <c r="E70" s="28">
        <v>15.85</v>
      </c>
      <c r="F70" s="7">
        <v>16.16</v>
      </c>
      <c r="G70" s="101">
        <v>14.52</v>
      </c>
      <c r="H70" s="101">
        <v>14.42</v>
      </c>
      <c r="I70" s="101">
        <v>14.71</v>
      </c>
      <c r="J70" s="101">
        <v>11.02</v>
      </c>
      <c r="K70" s="101">
        <v>11.14</v>
      </c>
    </row>
    <row r="71" spans="1:11" x14ac:dyDescent="0.3">
      <c r="A71" t="s">
        <v>200</v>
      </c>
      <c r="B71" t="s">
        <v>201</v>
      </c>
      <c r="D71" s="7">
        <v>19.899999999999999</v>
      </c>
      <c r="E71" s="28">
        <v>17.73</v>
      </c>
      <c r="F71" s="7">
        <v>19.88</v>
      </c>
      <c r="G71" s="101">
        <v>18.52</v>
      </c>
      <c r="H71" s="101">
        <v>19.71</v>
      </c>
      <c r="I71" s="101">
        <v>17.21</v>
      </c>
      <c r="J71" s="101">
        <v>13.98</v>
      </c>
      <c r="K71" s="101">
        <v>14.64</v>
      </c>
    </row>
    <row r="72" spans="1:11" x14ac:dyDescent="0.3">
      <c r="A72" t="s">
        <v>305</v>
      </c>
      <c r="D72" s="7"/>
      <c r="E72" s="7"/>
      <c r="F72" s="7"/>
      <c r="G72" s="101"/>
      <c r="H72" s="101"/>
      <c r="I72" s="101"/>
      <c r="J72" s="101"/>
      <c r="K72" s="101"/>
    </row>
    <row r="73" spans="1:11" x14ac:dyDescent="0.3">
      <c r="B73" t="s">
        <v>202</v>
      </c>
      <c r="D73" s="7">
        <v>65.89</v>
      </c>
      <c r="E73" s="7">
        <v>59.056949451472427</v>
      </c>
      <c r="F73" s="7">
        <v>62.237738734190032</v>
      </c>
      <c r="G73" s="101">
        <v>56.858263536900196</v>
      </c>
      <c r="H73" s="101">
        <v>57.375050694951128</v>
      </c>
      <c r="I73" s="101">
        <v>55.060845718584808</v>
      </c>
      <c r="J73" s="101">
        <v>64.124838476698173</v>
      </c>
      <c r="K73" s="101">
        <v>51.503239166795908</v>
      </c>
    </row>
    <row r="74" spans="1:11" x14ac:dyDescent="0.3">
      <c r="B74" t="s">
        <v>203</v>
      </c>
      <c r="D74" s="7">
        <v>78.7</v>
      </c>
      <c r="E74" s="7">
        <v>70.9672298111537</v>
      </c>
      <c r="F74" s="7">
        <v>78.218737790137993</v>
      </c>
      <c r="G74" s="101">
        <v>77.163027007801105</v>
      </c>
      <c r="H74" s="101">
        <v>76.72626441346226</v>
      </c>
      <c r="I74" s="101">
        <v>71.204341799814003</v>
      </c>
      <c r="J74" s="101">
        <v>77.563617862248606</v>
      </c>
      <c r="K74" s="101">
        <v>61.298012199055051</v>
      </c>
    </row>
    <row r="75" spans="1:11" x14ac:dyDescent="0.3">
      <c r="B75" t="s">
        <v>204</v>
      </c>
      <c r="D75" s="7">
        <v>33.42</v>
      </c>
      <c r="E75" s="7">
        <v>32.557933993053631</v>
      </c>
      <c r="F75" s="7">
        <v>36.295924499509781</v>
      </c>
      <c r="G75" s="101">
        <v>23.209739490279606</v>
      </c>
      <c r="H75" s="101">
        <v>23.865434466086356</v>
      </c>
      <c r="I75" s="101">
        <v>26.784981841375416</v>
      </c>
      <c r="J75" s="101">
        <v>40.873297682055124</v>
      </c>
      <c r="K75" s="101">
        <v>30.483019579180613</v>
      </c>
    </row>
    <row r="76" spans="1:11" x14ac:dyDescent="0.3">
      <c r="A76" s="8" t="s">
        <v>37</v>
      </c>
      <c r="B76" s="8"/>
      <c r="C76" s="9">
        <v>47</v>
      </c>
      <c r="D76" s="7">
        <v>57.380059963933995</v>
      </c>
      <c r="E76" s="7">
        <v>55.178492771522158</v>
      </c>
      <c r="F76" s="28">
        <v>57.471545801371285</v>
      </c>
      <c r="G76" s="106">
        <v>52.254612358485716</v>
      </c>
      <c r="H76" s="106">
        <v>56.485345589563693</v>
      </c>
      <c r="I76" s="106">
        <v>56.253132804701252</v>
      </c>
      <c r="J76" s="106">
        <v>61.085743924912393</v>
      </c>
      <c r="K76" s="106">
        <v>52.946621249367254</v>
      </c>
    </row>
    <row r="77" spans="1:11" x14ac:dyDescent="0.3">
      <c r="A77" s="29" t="s">
        <v>338</v>
      </c>
      <c r="B77" s="29"/>
      <c r="C77" s="58"/>
      <c r="D77" s="28">
        <v>54.261939129572504</v>
      </c>
      <c r="E77" s="28">
        <v>51.690377435789422</v>
      </c>
      <c r="F77" s="28">
        <v>55.597793402227389</v>
      </c>
      <c r="G77" s="106">
        <v>49.83472380470765</v>
      </c>
      <c r="H77" s="106">
        <v>53.962174964711743</v>
      </c>
      <c r="I77" s="106">
        <v>53.801606513556912</v>
      </c>
      <c r="J77" s="106">
        <v>59.275268010805618</v>
      </c>
      <c r="K77" s="106">
        <v>50.988801963917609</v>
      </c>
    </row>
    <row r="78" spans="1:11" x14ac:dyDescent="0.3">
      <c r="A78" t="s">
        <v>268</v>
      </c>
      <c r="D78" s="7"/>
      <c r="E78" s="7"/>
      <c r="F78" s="7"/>
      <c r="G78" s="101"/>
      <c r="H78" s="101"/>
      <c r="I78" s="101"/>
      <c r="J78" s="101"/>
      <c r="K78" s="101"/>
    </row>
    <row r="79" spans="1:11" x14ac:dyDescent="0.3">
      <c r="A79">
        <v>4</v>
      </c>
      <c r="B79" t="s">
        <v>205</v>
      </c>
      <c r="D79" s="7">
        <v>12.220447284345049</v>
      </c>
      <c r="E79" s="7">
        <v>13.467313467313469</v>
      </c>
      <c r="F79" s="28">
        <v>12.479015109121434</v>
      </c>
      <c r="G79" s="106">
        <v>13.011613485173074</v>
      </c>
      <c r="H79" s="106">
        <v>11.357435197817189</v>
      </c>
      <c r="I79" s="106">
        <v>10.999216739398006</v>
      </c>
      <c r="J79" s="106">
        <v>9.81111111111111</v>
      </c>
      <c r="K79" s="106">
        <v>8.814589665653493</v>
      </c>
    </row>
    <row r="80" spans="1:11" x14ac:dyDescent="0.3">
      <c r="A80">
        <v>9</v>
      </c>
      <c r="B80" t="s">
        <v>350</v>
      </c>
      <c r="D80" s="7">
        <v>18.986764034687358</v>
      </c>
      <c r="E80" s="7">
        <v>17.290367290367293</v>
      </c>
      <c r="F80" s="28">
        <v>14.941242305540012</v>
      </c>
      <c r="G80" s="106">
        <v>15.954448077573572</v>
      </c>
      <c r="H80" s="106">
        <v>17.849022282855842</v>
      </c>
      <c r="I80" s="106">
        <v>21.651560926485399</v>
      </c>
      <c r="J80" s="106">
        <v>17.655555555555555</v>
      </c>
      <c r="K80" s="106">
        <v>16.825879287885368</v>
      </c>
    </row>
    <row r="81" spans="1:11" x14ac:dyDescent="0.3">
      <c r="A81">
        <v>10</v>
      </c>
      <c r="B81" t="s">
        <v>206</v>
      </c>
      <c r="D81" s="7">
        <v>11.969420356001825</v>
      </c>
      <c r="E81" s="7">
        <v>11.376761376761376</v>
      </c>
      <c r="F81" s="28">
        <v>12.188024622271966</v>
      </c>
      <c r="G81" s="106">
        <v>11.489457661517646</v>
      </c>
      <c r="H81" s="106">
        <v>11.77808094588449</v>
      </c>
      <c r="I81" s="106">
        <v>12.621685129237997</v>
      </c>
      <c r="J81" s="106">
        <v>12.155555555555555</v>
      </c>
      <c r="K81" s="106">
        <v>16.348241424229265</v>
      </c>
    </row>
    <row r="82" spans="1:11" x14ac:dyDescent="0.3">
      <c r="A82">
        <v>12</v>
      </c>
      <c r="B82" t="s">
        <v>207</v>
      </c>
      <c r="D82" s="7">
        <v>15.15289821999087</v>
      </c>
      <c r="E82" s="7">
        <v>13.779163779163778</v>
      </c>
      <c r="F82" s="28">
        <v>13.195299384443201</v>
      </c>
      <c r="G82" s="106">
        <v>15.514714172962002</v>
      </c>
      <c r="H82" s="106">
        <v>16.678035470668483</v>
      </c>
      <c r="I82" s="106">
        <v>14.949088060870535</v>
      </c>
      <c r="J82" s="106">
        <v>12.666666666666668</v>
      </c>
      <c r="K82" s="106">
        <v>13.352149370386451</v>
      </c>
    </row>
    <row r="83" spans="1:11" x14ac:dyDescent="0.3">
      <c r="A83" t="s">
        <v>208</v>
      </c>
      <c r="D83" s="7"/>
      <c r="E83" s="7"/>
      <c r="F83" s="7"/>
      <c r="G83" s="101"/>
      <c r="H83" s="101"/>
      <c r="I83" s="101"/>
      <c r="J83" s="101"/>
      <c r="K83" s="101"/>
    </row>
    <row r="84" spans="1:11" x14ac:dyDescent="0.3">
      <c r="A84">
        <v>4</v>
      </c>
      <c r="B84" t="s">
        <v>205</v>
      </c>
      <c r="D84" s="7">
        <v>77.64</v>
      </c>
      <c r="E84" s="7">
        <v>79.209999999999994</v>
      </c>
      <c r="F84" s="7">
        <v>84.32</v>
      </c>
      <c r="G84" s="101">
        <v>84.74</v>
      </c>
      <c r="H84" s="101">
        <v>74.650000000000006</v>
      </c>
      <c r="I84" s="101">
        <v>80.200732645253296</v>
      </c>
      <c r="J84" s="101">
        <v>78.159594327441511</v>
      </c>
      <c r="K84" s="101">
        <v>81.77835918853431</v>
      </c>
    </row>
    <row r="85" spans="1:11" x14ac:dyDescent="0.3">
      <c r="A85">
        <v>9</v>
      </c>
      <c r="B85" t="s">
        <v>350</v>
      </c>
      <c r="D85" s="7">
        <v>82.39</v>
      </c>
      <c r="E85" s="7">
        <v>78.72</v>
      </c>
      <c r="F85" s="7">
        <v>82.45</v>
      </c>
      <c r="G85" s="101">
        <v>84.01</v>
      </c>
      <c r="H85" s="101">
        <v>85.4</v>
      </c>
      <c r="I85" s="101">
        <v>86.974093712079465</v>
      </c>
      <c r="J85" s="101">
        <v>86.306518624534505</v>
      </c>
      <c r="K85" s="101">
        <v>87.873395062240505</v>
      </c>
    </row>
    <row r="86" spans="1:11" x14ac:dyDescent="0.3">
      <c r="A86">
        <v>10</v>
      </c>
      <c r="B86" t="s">
        <v>206</v>
      </c>
      <c r="D86" s="7">
        <v>78.959999999999994</v>
      </c>
      <c r="E86" s="7">
        <v>85.65</v>
      </c>
      <c r="F86" s="7">
        <v>83.03</v>
      </c>
      <c r="G86" s="101">
        <v>87.73</v>
      </c>
      <c r="H86" s="101">
        <v>86.06</v>
      </c>
      <c r="I86" s="101">
        <v>83.606274065663229</v>
      </c>
      <c r="J86" s="101">
        <v>78.172917160152181</v>
      </c>
      <c r="K86" s="101">
        <v>90.183649795827819</v>
      </c>
    </row>
    <row r="87" spans="1:11" x14ac:dyDescent="0.3">
      <c r="A87">
        <v>12</v>
      </c>
      <c r="B87" t="s">
        <v>207</v>
      </c>
      <c r="D87" s="7">
        <v>76.849999999999994</v>
      </c>
      <c r="E87" s="7">
        <v>68.760000000000005</v>
      </c>
      <c r="F87" s="7">
        <v>78.11</v>
      </c>
      <c r="G87" s="101">
        <v>79.989999999999995</v>
      </c>
      <c r="H87" s="101">
        <v>77.239999999999995</v>
      </c>
      <c r="I87" s="101">
        <v>77.867140784621029</v>
      </c>
      <c r="J87" s="101">
        <v>84.167694513418311</v>
      </c>
      <c r="K87" s="101">
        <v>85.990249788105217</v>
      </c>
    </row>
    <row r="88" spans="1:11" x14ac:dyDescent="0.3">
      <c r="B88" s="63" t="s">
        <v>306</v>
      </c>
      <c r="D88" s="7"/>
      <c r="E88" s="7"/>
      <c r="F88" s="7"/>
      <c r="G88" s="101"/>
      <c r="H88" s="101"/>
      <c r="I88" s="101"/>
      <c r="J88" s="101"/>
      <c r="K88" s="101"/>
    </row>
    <row r="89" spans="1:11" x14ac:dyDescent="0.3">
      <c r="B89" t="s">
        <v>110</v>
      </c>
      <c r="D89" s="7">
        <v>367.13226833883101</v>
      </c>
      <c r="E89" s="7">
        <v>350.14826884227551</v>
      </c>
      <c r="F89" s="7">
        <v>362.58510068602214</v>
      </c>
      <c r="G89" s="101">
        <v>355.01394750014094</v>
      </c>
      <c r="H89" s="101">
        <v>354.72657825926274</v>
      </c>
      <c r="I89" s="101">
        <v>352.25227220007974</v>
      </c>
      <c r="J89" s="101">
        <v>369.77947768871218</v>
      </c>
      <c r="K89" s="101">
        <v>368.56431741147844</v>
      </c>
    </row>
    <row r="90" spans="1:11" x14ac:dyDescent="0.3">
      <c r="B90" t="s">
        <v>129</v>
      </c>
      <c r="D90" s="7">
        <v>157.51675807997006</v>
      </c>
      <c r="E90" s="7">
        <v>150.44420956890005</v>
      </c>
      <c r="F90" s="7">
        <v>170.92035541980178</v>
      </c>
      <c r="G90" s="101">
        <v>180.492157874811</v>
      </c>
      <c r="H90" s="101">
        <v>204.57029658165237</v>
      </c>
      <c r="I90" s="101">
        <v>209.21258224469867</v>
      </c>
      <c r="J90" s="101">
        <v>229.38618194069946</v>
      </c>
      <c r="K90" s="101">
        <v>334.14493954817681</v>
      </c>
    </row>
    <row r="91" spans="1:11" x14ac:dyDescent="0.3">
      <c r="B91" t="s">
        <v>159</v>
      </c>
      <c r="D91" s="7">
        <v>30.939403225806455</v>
      </c>
      <c r="E91" s="7">
        <v>36.337096774193533</v>
      </c>
      <c r="F91" s="7">
        <v>36.521612903225808</v>
      </c>
      <c r="G91" s="101">
        <v>24.474374999999998</v>
      </c>
      <c r="H91" s="101">
        <v>18.420312500000001</v>
      </c>
      <c r="I91" s="101">
        <v>10.619375</v>
      </c>
      <c r="J91" s="101">
        <v>3.849687499999999</v>
      </c>
      <c r="K91" s="101">
        <v>1.0896875000000004</v>
      </c>
    </row>
    <row r="92" spans="1:11" x14ac:dyDescent="0.3">
      <c r="B92" t="s">
        <v>168</v>
      </c>
      <c r="D92" s="7">
        <v>1806.715247780151</v>
      </c>
      <c r="E92" s="7">
        <v>1760.2223341478993</v>
      </c>
      <c r="F92" s="7">
        <v>1723.4313709635639</v>
      </c>
      <c r="G92" s="101">
        <v>1688.3834954123995</v>
      </c>
      <c r="H92" s="101">
        <v>1744.0187221199872</v>
      </c>
      <c r="I92" s="101">
        <v>1744.7789254873785</v>
      </c>
      <c r="J92" s="101">
        <v>1726.9557160967668</v>
      </c>
      <c r="K92" s="101">
        <v>1697.0701833805592</v>
      </c>
    </row>
    <row r="93" spans="1:11" x14ac:dyDescent="0.3">
      <c r="D93" s="7"/>
      <c r="E93" s="7"/>
      <c r="F93" s="7"/>
      <c r="G93" s="101"/>
      <c r="H93" s="101"/>
      <c r="I93" s="101"/>
      <c r="J93" s="101"/>
      <c r="K93" s="101"/>
    </row>
    <row r="94" spans="1:11" x14ac:dyDescent="0.3">
      <c r="B94" s="37" t="s">
        <v>303</v>
      </c>
      <c r="D94" s="7"/>
      <c r="E94" s="7"/>
      <c r="F94" s="7"/>
      <c r="G94" s="101"/>
      <c r="H94" s="101"/>
      <c r="I94" s="101"/>
      <c r="J94" s="101"/>
      <c r="K94" s="101"/>
    </row>
    <row r="95" spans="1:11" x14ac:dyDescent="0.3">
      <c r="D95" s="7"/>
      <c r="E95" s="7"/>
      <c r="F95" s="7"/>
      <c r="G95" s="101"/>
      <c r="H95" s="101"/>
      <c r="I95" s="101"/>
      <c r="J95" s="101"/>
      <c r="K95" s="101"/>
    </row>
    <row r="96" spans="1:11" x14ac:dyDescent="0.3">
      <c r="D96" s="7"/>
      <c r="E96" s="7"/>
      <c r="F96" s="7"/>
      <c r="G96" s="101"/>
      <c r="H96" s="101"/>
      <c r="I96" s="101"/>
      <c r="J96" s="101"/>
      <c r="K96" s="101"/>
    </row>
    <row r="97" spans="4:11" x14ac:dyDescent="0.3">
      <c r="D97" s="7"/>
      <c r="E97" s="7"/>
      <c r="F97" s="7"/>
      <c r="G97" s="101"/>
      <c r="H97" s="101"/>
      <c r="I97" s="101"/>
      <c r="J97" s="101"/>
      <c r="K97" s="101"/>
    </row>
    <row r="98" spans="4:11" x14ac:dyDescent="0.3">
      <c r="D98" s="7"/>
      <c r="E98" s="7"/>
      <c r="F98" s="7"/>
      <c r="G98" s="101"/>
      <c r="H98" s="101"/>
      <c r="I98" s="101"/>
      <c r="J98" s="101"/>
      <c r="K98" s="101"/>
    </row>
    <row r="99" spans="4:11" x14ac:dyDescent="0.3">
      <c r="D99" s="7"/>
      <c r="E99" s="7"/>
      <c r="F99" s="7"/>
      <c r="G99" s="101"/>
      <c r="H99" s="101"/>
      <c r="I99" s="101"/>
      <c r="J99" s="101"/>
      <c r="K99" s="101"/>
    </row>
    <row r="100" spans="4:11" x14ac:dyDescent="0.3">
      <c r="D100" s="7"/>
      <c r="E100" s="7"/>
      <c r="F100" s="7"/>
      <c r="G100" s="101"/>
      <c r="H100" s="101"/>
      <c r="I100" s="101"/>
      <c r="J100" s="101"/>
      <c r="K100" s="101"/>
    </row>
    <row r="101" spans="4:11" x14ac:dyDescent="0.3">
      <c r="D101" s="7"/>
      <c r="E101" s="7"/>
      <c r="F101" s="7"/>
      <c r="G101" s="101"/>
      <c r="H101" s="101"/>
      <c r="I101" s="101"/>
      <c r="J101" s="101"/>
      <c r="K101" s="101"/>
    </row>
    <row r="102" spans="4:11" x14ac:dyDescent="0.3">
      <c r="D102" s="7"/>
      <c r="E102" s="7"/>
      <c r="F102" s="7"/>
      <c r="G102" s="101"/>
      <c r="H102" s="101"/>
      <c r="I102" s="101"/>
      <c r="J102" s="101"/>
      <c r="K102" s="101"/>
    </row>
    <row r="103" spans="4:11" x14ac:dyDescent="0.3">
      <c r="D103" s="7"/>
      <c r="E103" s="7"/>
      <c r="F103" s="7"/>
      <c r="G103" s="101"/>
      <c r="H103" s="101"/>
      <c r="I103" s="101"/>
      <c r="J103" s="101"/>
      <c r="K103" s="101"/>
    </row>
    <row r="104" spans="4:11" x14ac:dyDescent="0.3">
      <c r="D104" s="7"/>
      <c r="E104" s="7"/>
      <c r="F104" s="7"/>
      <c r="G104" s="101"/>
      <c r="H104" s="101"/>
      <c r="I104" s="101"/>
      <c r="J104" s="101"/>
      <c r="K104" s="101"/>
    </row>
    <row r="105" spans="4:11" x14ac:dyDescent="0.3">
      <c r="D105" s="7"/>
      <c r="E105" s="7"/>
      <c r="F105" s="7"/>
      <c r="G105" s="101"/>
      <c r="H105" s="101"/>
      <c r="I105" s="101"/>
      <c r="J105" s="101"/>
      <c r="K105" s="101"/>
    </row>
    <row r="106" spans="4:11" x14ac:dyDescent="0.3">
      <c r="D106" s="7"/>
      <c r="E106" s="7"/>
      <c r="F106" s="7"/>
      <c r="G106" s="101"/>
      <c r="H106" s="101"/>
      <c r="I106" s="101"/>
      <c r="J106" s="101"/>
      <c r="K106" s="101"/>
    </row>
    <row r="107" spans="4:11" x14ac:dyDescent="0.3">
      <c r="D107" s="7"/>
      <c r="E107" s="7"/>
      <c r="F107" s="7"/>
      <c r="G107" s="101"/>
      <c r="H107" s="101"/>
      <c r="I107" s="101"/>
      <c r="J107" s="101"/>
      <c r="K107" s="101"/>
    </row>
    <row r="108" spans="4:11" x14ac:dyDescent="0.3">
      <c r="D108" s="7"/>
      <c r="E108" s="7"/>
      <c r="F108" s="7"/>
      <c r="G108" s="101"/>
      <c r="H108" s="101"/>
      <c r="I108" s="101"/>
      <c r="J108" s="101"/>
      <c r="K108" s="101"/>
    </row>
    <row r="109" spans="4:11" x14ac:dyDescent="0.3">
      <c r="D109" s="7"/>
      <c r="E109" s="7"/>
      <c r="F109" s="7"/>
      <c r="G109" s="101"/>
      <c r="H109" s="101"/>
      <c r="I109" s="101"/>
      <c r="J109" s="101"/>
      <c r="K109" s="101"/>
    </row>
    <row r="110" spans="4:11" x14ac:dyDescent="0.3">
      <c r="D110" s="7"/>
      <c r="E110" s="7"/>
      <c r="F110" s="7"/>
      <c r="G110" s="101"/>
      <c r="H110" s="101"/>
      <c r="I110" s="101"/>
      <c r="J110" s="101"/>
      <c r="K110" s="101"/>
    </row>
    <row r="111" spans="4:11" x14ac:dyDescent="0.3">
      <c r="D111" s="7"/>
      <c r="E111" s="7"/>
      <c r="F111" s="7"/>
      <c r="G111" s="101"/>
      <c r="H111" s="101"/>
      <c r="I111" s="101"/>
      <c r="J111" s="101"/>
      <c r="K111" s="101"/>
    </row>
    <row r="112" spans="4:11" x14ac:dyDescent="0.3">
      <c r="D112" s="7"/>
      <c r="E112" s="7"/>
      <c r="F112" s="7"/>
      <c r="G112" s="101"/>
      <c r="H112" s="101"/>
      <c r="I112" s="101"/>
      <c r="J112" s="101"/>
      <c r="K112" s="101"/>
    </row>
    <row r="113" spans="2:11" x14ac:dyDescent="0.3">
      <c r="D113" s="7"/>
      <c r="E113" s="7"/>
      <c r="F113" s="7"/>
      <c r="G113" s="101"/>
      <c r="H113" s="101"/>
      <c r="I113" s="101"/>
      <c r="J113" s="101"/>
      <c r="K113" s="101"/>
    </row>
    <row r="114" spans="2:11" x14ac:dyDescent="0.3">
      <c r="D114" s="7"/>
      <c r="E114" s="7"/>
      <c r="F114" s="7"/>
      <c r="G114" s="101"/>
      <c r="H114" s="101"/>
      <c r="I114" s="101"/>
      <c r="J114" s="101"/>
      <c r="K114" s="101"/>
    </row>
    <row r="115" spans="2:11" x14ac:dyDescent="0.3">
      <c r="B115" s="37" t="s">
        <v>304</v>
      </c>
      <c r="D115" s="7"/>
      <c r="E115" s="7"/>
      <c r="F115" s="7"/>
      <c r="G115" s="101"/>
      <c r="H115" s="101"/>
      <c r="I115" s="101"/>
      <c r="J115" s="101"/>
      <c r="K115" s="101"/>
    </row>
    <row r="116" spans="2:11" x14ac:dyDescent="0.3">
      <c r="D116" s="7"/>
      <c r="E116" s="7"/>
      <c r="F116" s="7"/>
      <c r="G116" s="101"/>
      <c r="H116" s="101"/>
      <c r="I116" s="101"/>
      <c r="J116" s="101"/>
      <c r="K116" s="101"/>
    </row>
    <row r="117" spans="2:11" x14ac:dyDescent="0.3">
      <c r="D117" s="7"/>
      <c r="E117" s="7"/>
      <c r="F117" s="7"/>
      <c r="G117" s="101"/>
      <c r="H117" s="101"/>
      <c r="I117" s="101"/>
      <c r="J117" s="101"/>
      <c r="K117" s="101"/>
    </row>
    <row r="118" spans="2:11" x14ac:dyDescent="0.3">
      <c r="D118" s="7"/>
      <c r="E118" s="7"/>
      <c r="F118" s="7"/>
      <c r="G118" s="101"/>
      <c r="H118" s="101"/>
      <c r="I118" s="101"/>
      <c r="J118" s="101"/>
      <c r="K118" s="101"/>
    </row>
    <row r="119" spans="2:11" x14ac:dyDescent="0.3">
      <c r="D119" s="7"/>
      <c r="E119" s="7"/>
      <c r="F119" s="7"/>
      <c r="G119" s="101"/>
      <c r="H119" s="101"/>
      <c r="I119" s="101"/>
      <c r="J119" s="101"/>
      <c r="K119" s="101"/>
    </row>
    <row r="120" spans="2:11" x14ac:dyDescent="0.3">
      <c r="D120" s="7"/>
      <c r="E120" s="7"/>
      <c r="F120" s="7"/>
      <c r="G120" s="101"/>
      <c r="H120" s="101"/>
      <c r="I120" s="101"/>
      <c r="J120" s="101"/>
      <c r="K120" s="101"/>
    </row>
    <row r="121" spans="2:11" x14ac:dyDescent="0.3">
      <c r="D121" s="7"/>
      <c r="E121" s="7"/>
      <c r="F121" s="7"/>
      <c r="G121" s="101"/>
      <c r="H121" s="101"/>
      <c r="I121" s="101"/>
      <c r="J121" s="101"/>
      <c r="K121" s="101"/>
    </row>
    <row r="122" spans="2:11" x14ac:dyDescent="0.3">
      <c r="D122" s="7"/>
      <c r="E122" s="7"/>
      <c r="F122" s="7"/>
      <c r="G122" s="101"/>
      <c r="H122" s="101"/>
      <c r="I122" s="101"/>
      <c r="J122" s="101"/>
      <c r="K122" s="101"/>
    </row>
    <row r="123" spans="2:11" x14ac:dyDescent="0.3">
      <c r="D123" s="7"/>
      <c r="E123" s="7"/>
      <c r="F123" s="7"/>
      <c r="G123" s="101"/>
      <c r="H123" s="101"/>
      <c r="I123" s="101"/>
      <c r="J123" s="101"/>
      <c r="K123" s="101"/>
    </row>
    <row r="124" spans="2:11" x14ac:dyDescent="0.3">
      <c r="D124" s="7"/>
      <c r="E124" s="7"/>
      <c r="F124" s="7"/>
      <c r="G124" s="101"/>
      <c r="H124" s="101"/>
      <c r="I124" s="101"/>
      <c r="J124" s="101"/>
      <c r="K124" s="101"/>
    </row>
    <row r="125" spans="2:11" x14ac:dyDescent="0.3">
      <c r="D125" s="7"/>
      <c r="E125" s="7"/>
      <c r="F125" s="7"/>
      <c r="G125" s="101"/>
      <c r="H125" s="101"/>
      <c r="I125" s="101"/>
      <c r="J125" s="101"/>
      <c r="K125" s="101"/>
    </row>
    <row r="126" spans="2:11" x14ac:dyDescent="0.3">
      <c r="D126" s="7"/>
      <c r="E126" s="7"/>
      <c r="F126" s="7"/>
      <c r="G126" s="101"/>
      <c r="H126" s="101"/>
      <c r="I126" s="101"/>
      <c r="J126" s="101"/>
      <c r="K126" s="101"/>
    </row>
    <row r="127" spans="2:11" x14ac:dyDescent="0.3">
      <c r="D127" s="7"/>
      <c r="E127" s="7"/>
      <c r="F127" s="7"/>
      <c r="G127" s="101"/>
      <c r="H127" s="101"/>
      <c r="I127" s="101"/>
      <c r="J127" s="101"/>
      <c r="K127" s="101"/>
    </row>
    <row r="128" spans="2:11" x14ac:dyDescent="0.3">
      <c r="D128" s="7"/>
      <c r="E128" s="7"/>
      <c r="F128" s="7"/>
      <c r="G128" s="101"/>
      <c r="H128" s="101"/>
      <c r="I128" s="101"/>
      <c r="J128" s="101"/>
      <c r="K128" s="101"/>
    </row>
    <row r="129" spans="2:11" x14ac:dyDescent="0.3">
      <c r="D129" s="7"/>
      <c r="E129" s="7"/>
      <c r="F129" s="7"/>
      <c r="G129" s="101"/>
      <c r="H129" s="101"/>
      <c r="I129" s="101"/>
      <c r="J129" s="101"/>
      <c r="K129" s="101"/>
    </row>
    <row r="130" spans="2:11" x14ac:dyDescent="0.3">
      <c r="D130" s="7"/>
      <c r="E130" s="7"/>
      <c r="F130" s="7"/>
      <c r="G130" s="101"/>
      <c r="H130" s="101"/>
      <c r="I130" s="101"/>
      <c r="J130" s="101"/>
      <c r="K130" s="101"/>
    </row>
    <row r="131" spans="2:11" x14ac:dyDescent="0.3">
      <c r="D131" s="7"/>
      <c r="E131" s="7"/>
      <c r="F131" s="7"/>
      <c r="G131" s="101"/>
      <c r="H131" s="101"/>
      <c r="I131" s="101"/>
      <c r="J131" s="101"/>
      <c r="K131" s="101"/>
    </row>
    <row r="132" spans="2:11" x14ac:dyDescent="0.3">
      <c r="D132" s="7"/>
      <c r="E132" s="7"/>
      <c r="F132" s="7"/>
      <c r="G132" s="101"/>
      <c r="H132" s="101"/>
      <c r="I132" s="101"/>
      <c r="J132" s="101"/>
      <c r="K132" s="101"/>
    </row>
    <row r="133" spans="2:11" x14ac:dyDescent="0.3">
      <c r="D133" s="7"/>
      <c r="E133" s="7"/>
      <c r="F133" s="7"/>
      <c r="G133" s="101"/>
      <c r="H133" s="101"/>
      <c r="I133" s="101"/>
      <c r="J133" s="101"/>
      <c r="K133" s="101"/>
    </row>
    <row r="134" spans="2:11" x14ac:dyDescent="0.3">
      <c r="D134" s="7"/>
      <c r="E134" s="7"/>
      <c r="F134" s="7"/>
      <c r="G134" s="101"/>
      <c r="H134" s="101"/>
      <c r="I134" s="101"/>
      <c r="J134" s="101"/>
      <c r="K134" s="101"/>
    </row>
    <row r="135" spans="2:11" x14ac:dyDescent="0.3">
      <c r="D135" s="7"/>
      <c r="E135" s="7"/>
      <c r="F135" s="7"/>
      <c r="G135" s="101"/>
      <c r="H135" s="101"/>
      <c r="I135" s="101"/>
      <c r="J135" s="101"/>
      <c r="K135" s="101"/>
    </row>
    <row r="136" spans="2:11" x14ac:dyDescent="0.3">
      <c r="B136" s="37" t="s">
        <v>159</v>
      </c>
      <c r="D136" s="7"/>
      <c r="E136" s="7"/>
      <c r="F136" s="7"/>
      <c r="G136" s="101"/>
      <c r="H136" s="101"/>
      <c r="I136" s="101"/>
      <c r="J136" s="101"/>
      <c r="K136" s="101"/>
    </row>
    <row r="137" spans="2:11" x14ac:dyDescent="0.3">
      <c r="D137" s="7"/>
      <c r="E137" s="7"/>
      <c r="F137" s="7"/>
      <c r="G137" s="101"/>
      <c r="H137" s="101"/>
      <c r="I137" s="101"/>
      <c r="J137" s="101"/>
      <c r="K137" s="101"/>
    </row>
    <row r="138" spans="2:11" x14ac:dyDescent="0.3">
      <c r="D138" s="7"/>
      <c r="E138" s="7"/>
      <c r="F138" s="7"/>
      <c r="G138" s="101"/>
      <c r="H138" s="101"/>
      <c r="I138" s="101"/>
      <c r="J138" s="101"/>
      <c r="K138" s="101"/>
    </row>
    <row r="139" spans="2:11" x14ac:dyDescent="0.3">
      <c r="D139" s="7"/>
      <c r="E139" s="7"/>
      <c r="F139" s="7"/>
      <c r="G139" s="101"/>
      <c r="H139" s="101"/>
      <c r="I139" s="101"/>
      <c r="J139" s="101"/>
      <c r="K139" s="101"/>
    </row>
    <row r="140" spans="2:11" x14ac:dyDescent="0.3">
      <c r="D140" s="7"/>
      <c r="E140" s="7"/>
      <c r="F140" s="7"/>
      <c r="G140" s="101"/>
      <c r="H140" s="101"/>
      <c r="I140" s="101"/>
      <c r="J140" s="101"/>
      <c r="K140" s="101"/>
    </row>
    <row r="141" spans="2:11" x14ac:dyDescent="0.3">
      <c r="D141" s="7"/>
      <c r="E141" s="7"/>
      <c r="F141" s="7"/>
      <c r="G141" s="101"/>
      <c r="H141" s="101"/>
      <c r="I141" s="101"/>
      <c r="J141" s="101"/>
      <c r="K141" s="101"/>
    </row>
    <row r="142" spans="2:11" x14ac:dyDescent="0.3">
      <c r="D142" s="7"/>
      <c r="E142" s="7"/>
      <c r="F142" s="7"/>
      <c r="G142" s="101"/>
      <c r="H142" s="101"/>
      <c r="I142" s="101"/>
      <c r="J142" s="101"/>
      <c r="K142" s="101"/>
    </row>
    <row r="143" spans="2:11" x14ac:dyDescent="0.3">
      <c r="D143" s="7"/>
      <c r="E143" s="7"/>
      <c r="F143" s="7"/>
      <c r="G143" s="101"/>
      <c r="H143" s="101"/>
      <c r="I143" s="101"/>
      <c r="J143" s="101"/>
      <c r="K143" s="101"/>
    </row>
    <row r="144" spans="2:11" x14ac:dyDescent="0.3">
      <c r="D144" s="7"/>
      <c r="E144" s="7"/>
      <c r="F144" s="7"/>
      <c r="G144" s="101"/>
      <c r="H144" s="101"/>
      <c r="I144" s="101"/>
      <c r="J144" s="101"/>
      <c r="K144" s="101"/>
    </row>
    <row r="145" spans="2:11" x14ac:dyDescent="0.3">
      <c r="D145" s="7"/>
      <c r="E145" s="7"/>
      <c r="F145" s="7"/>
      <c r="G145" s="101"/>
      <c r="H145" s="101"/>
      <c r="I145" s="101"/>
      <c r="J145" s="101"/>
      <c r="K145" s="101"/>
    </row>
    <row r="146" spans="2:11" x14ac:dyDescent="0.3">
      <c r="D146" s="7"/>
      <c r="E146" s="7"/>
      <c r="F146" s="7"/>
      <c r="G146" s="101"/>
      <c r="H146" s="101"/>
      <c r="I146" s="101"/>
      <c r="J146" s="101"/>
      <c r="K146" s="101"/>
    </row>
    <row r="147" spans="2:11" x14ac:dyDescent="0.3">
      <c r="D147" s="7"/>
      <c r="E147" s="7"/>
      <c r="F147" s="7"/>
      <c r="G147" s="101"/>
      <c r="H147" s="101"/>
      <c r="I147" s="101"/>
      <c r="J147" s="101"/>
      <c r="K147" s="101"/>
    </row>
    <row r="148" spans="2:11" x14ac:dyDescent="0.3">
      <c r="D148" s="7"/>
      <c r="E148" s="7"/>
      <c r="F148" s="7"/>
      <c r="G148" s="101"/>
      <c r="H148" s="101"/>
      <c r="I148" s="101"/>
      <c r="J148" s="101"/>
      <c r="K148" s="101"/>
    </row>
    <row r="149" spans="2:11" x14ac:dyDescent="0.3">
      <c r="D149" s="7"/>
      <c r="E149" s="7"/>
      <c r="F149" s="7"/>
      <c r="G149" s="101"/>
      <c r="H149" s="101"/>
      <c r="I149" s="101"/>
      <c r="J149" s="101"/>
      <c r="K149" s="101"/>
    </row>
    <row r="150" spans="2:11" x14ac:dyDescent="0.3">
      <c r="D150" s="7"/>
      <c r="E150" s="7"/>
      <c r="F150" s="7"/>
      <c r="G150" s="101"/>
      <c r="H150" s="101"/>
      <c r="I150" s="101"/>
      <c r="J150" s="101"/>
      <c r="K150" s="101"/>
    </row>
    <row r="151" spans="2:11" x14ac:dyDescent="0.3">
      <c r="D151" s="7"/>
      <c r="E151" s="7"/>
      <c r="F151" s="7"/>
      <c r="G151" s="101"/>
      <c r="H151" s="101"/>
      <c r="I151" s="101"/>
      <c r="J151" s="101"/>
      <c r="K151" s="101"/>
    </row>
    <row r="152" spans="2:11" x14ac:dyDescent="0.3">
      <c r="D152" s="7"/>
      <c r="E152" s="7"/>
      <c r="F152" s="7"/>
      <c r="G152" s="101"/>
      <c r="H152" s="101"/>
      <c r="I152" s="101"/>
      <c r="J152" s="101"/>
      <c r="K152" s="101"/>
    </row>
    <row r="153" spans="2:11" x14ac:dyDescent="0.3">
      <c r="D153" s="7"/>
      <c r="E153" s="7"/>
      <c r="F153" s="7"/>
      <c r="G153" s="101"/>
      <c r="H153" s="101"/>
      <c r="I153" s="101"/>
      <c r="J153" s="101"/>
      <c r="K153" s="101"/>
    </row>
    <row r="154" spans="2:11" x14ac:dyDescent="0.3">
      <c r="D154" s="7"/>
      <c r="E154" s="7"/>
      <c r="F154" s="7"/>
      <c r="G154" s="101"/>
      <c r="H154" s="101"/>
      <c r="I154" s="101"/>
      <c r="J154" s="101"/>
      <c r="K154" s="101"/>
    </row>
    <row r="155" spans="2:11" x14ac:dyDescent="0.3">
      <c r="D155" s="7"/>
      <c r="E155" s="7"/>
      <c r="F155" s="7"/>
      <c r="G155" s="101"/>
      <c r="H155" s="101"/>
      <c r="I155" s="101"/>
      <c r="J155" s="101"/>
      <c r="K155" s="101"/>
    </row>
    <row r="156" spans="2:11" x14ac:dyDescent="0.3">
      <c r="D156" s="7"/>
      <c r="E156" s="7"/>
      <c r="F156" s="7"/>
      <c r="G156" s="101"/>
      <c r="H156" s="101"/>
      <c r="I156" s="101"/>
      <c r="J156" s="101"/>
      <c r="K156" s="101"/>
    </row>
    <row r="157" spans="2:11" x14ac:dyDescent="0.3">
      <c r="B157" s="37" t="s">
        <v>168</v>
      </c>
      <c r="D157" s="7"/>
      <c r="E157" s="7"/>
      <c r="F157" s="7"/>
      <c r="G157" s="101"/>
      <c r="H157" s="101"/>
      <c r="I157" s="101"/>
      <c r="J157" s="101"/>
      <c r="K157" s="101"/>
    </row>
    <row r="158" spans="2:11" x14ac:dyDescent="0.3">
      <c r="D158" s="7"/>
      <c r="E158" s="7"/>
      <c r="F158" s="7"/>
      <c r="G158" s="101"/>
      <c r="H158" s="101"/>
      <c r="I158" s="101"/>
      <c r="J158" s="101"/>
      <c r="K158" s="101"/>
    </row>
    <row r="159" spans="2:11" x14ac:dyDescent="0.3">
      <c r="D159" s="7"/>
      <c r="E159" s="7"/>
      <c r="F159" s="7"/>
      <c r="G159" s="101"/>
      <c r="H159" s="101"/>
      <c r="I159" s="101"/>
      <c r="J159" s="101"/>
      <c r="K159" s="101"/>
    </row>
    <row r="160" spans="2:11" x14ac:dyDescent="0.3">
      <c r="D160" s="7"/>
      <c r="E160" s="7"/>
      <c r="F160" s="7"/>
      <c r="G160" s="101"/>
      <c r="H160" s="101"/>
      <c r="I160" s="101"/>
      <c r="J160" s="101"/>
      <c r="K160" s="101"/>
    </row>
    <row r="161" spans="4:11" x14ac:dyDescent="0.3">
      <c r="D161" s="7"/>
      <c r="E161" s="7"/>
      <c r="F161" s="7"/>
      <c r="G161" s="101"/>
      <c r="H161" s="101"/>
      <c r="I161" s="101"/>
      <c r="J161" s="101"/>
      <c r="K161" s="101"/>
    </row>
    <row r="162" spans="4:11" x14ac:dyDescent="0.3">
      <c r="D162" s="7"/>
      <c r="E162" s="7"/>
      <c r="F162" s="7"/>
      <c r="G162" s="101"/>
      <c r="H162" s="101"/>
      <c r="I162" s="101"/>
      <c r="J162" s="101"/>
      <c r="K162" s="101"/>
    </row>
    <row r="163" spans="4:11" x14ac:dyDescent="0.3">
      <c r="D163" s="7"/>
      <c r="E163" s="7"/>
      <c r="F163" s="7"/>
      <c r="G163" s="101"/>
      <c r="H163" s="101"/>
      <c r="I163" s="101"/>
      <c r="J163" s="101"/>
      <c r="K163" s="101"/>
    </row>
    <row r="164" spans="4:11" x14ac:dyDescent="0.3">
      <c r="D164" s="7"/>
      <c r="E164" s="7"/>
      <c r="F164" s="7"/>
      <c r="G164" s="101"/>
      <c r="H164" s="101"/>
      <c r="I164" s="101"/>
      <c r="J164" s="101"/>
      <c r="K164" s="101"/>
    </row>
    <row r="165" spans="4:11" x14ac:dyDescent="0.3">
      <c r="D165" s="7"/>
      <c r="E165" s="7"/>
      <c r="F165" s="7"/>
      <c r="G165" s="101"/>
      <c r="H165" s="101"/>
      <c r="I165" s="101"/>
      <c r="J165" s="101"/>
      <c r="K165" s="101"/>
    </row>
    <row r="166" spans="4:11" x14ac:dyDescent="0.3">
      <c r="D166" s="7"/>
      <c r="E166" s="7"/>
      <c r="F166" s="7"/>
      <c r="G166" s="101"/>
      <c r="H166" s="101"/>
      <c r="I166" s="101"/>
      <c r="J166" s="101"/>
      <c r="K166" s="101"/>
    </row>
    <row r="167" spans="4:11" x14ac:dyDescent="0.3">
      <c r="D167" s="7"/>
      <c r="E167" s="7"/>
      <c r="F167" s="7"/>
      <c r="G167" s="101"/>
      <c r="H167" s="101"/>
      <c r="I167" s="101"/>
      <c r="J167" s="101"/>
      <c r="K167" s="101"/>
    </row>
    <row r="168" spans="4:11" x14ac:dyDescent="0.3">
      <c r="D168" s="7"/>
      <c r="E168" s="7"/>
      <c r="F168" s="7"/>
      <c r="G168" s="101"/>
      <c r="H168" s="101"/>
      <c r="I168" s="101"/>
      <c r="J168" s="101"/>
      <c r="K168" s="101"/>
    </row>
    <row r="169" spans="4:11" x14ac:dyDescent="0.3">
      <c r="D169" s="7"/>
      <c r="E169" s="7"/>
      <c r="F169" s="7"/>
      <c r="G169" s="101"/>
      <c r="H169" s="101"/>
      <c r="I169" s="101"/>
      <c r="J169" s="101"/>
      <c r="K169" s="101"/>
    </row>
    <row r="170" spans="4:11" x14ac:dyDescent="0.3">
      <c r="D170" s="7"/>
      <c r="E170" s="7"/>
      <c r="F170" s="7"/>
      <c r="G170" s="101"/>
      <c r="H170" s="101"/>
      <c r="I170" s="101"/>
      <c r="J170" s="101"/>
      <c r="K170" s="101"/>
    </row>
    <row r="171" spans="4:11" x14ac:dyDescent="0.3">
      <c r="D171" s="7"/>
      <c r="E171" s="7"/>
      <c r="F171" s="7"/>
      <c r="G171" s="101"/>
      <c r="H171" s="101"/>
      <c r="I171" s="101"/>
      <c r="J171" s="101"/>
      <c r="K171" s="101"/>
    </row>
    <row r="172" spans="4:11" x14ac:dyDescent="0.3">
      <c r="D172" s="7"/>
      <c r="E172" s="7"/>
      <c r="F172" s="7"/>
      <c r="G172" s="101"/>
      <c r="H172" s="101"/>
      <c r="I172" s="101"/>
      <c r="J172" s="101"/>
      <c r="K172" s="101"/>
    </row>
    <row r="173" spans="4:11" x14ac:dyDescent="0.3">
      <c r="D173" s="7"/>
      <c r="E173" s="7"/>
      <c r="F173" s="7"/>
      <c r="G173" s="101"/>
      <c r="H173" s="101"/>
      <c r="I173" s="101"/>
      <c r="J173" s="101"/>
      <c r="K173" s="101"/>
    </row>
    <row r="174" spans="4:11" x14ac:dyDescent="0.3">
      <c r="D174" s="7"/>
      <c r="E174" s="7"/>
      <c r="F174" s="7"/>
      <c r="G174" s="101"/>
      <c r="H174" s="101"/>
      <c r="I174" s="101"/>
      <c r="J174" s="101"/>
      <c r="K174" s="101"/>
    </row>
    <row r="175" spans="4:11" x14ac:dyDescent="0.3">
      <c r="D175" s="7"/>
      <c r="E175" s="7"/>
      <c r="F175" s="7"/>
      <c r="G175" s="101"/>
      <c r="H175" s="101"/>
      <c r="I175" s="101"/>
      <c r="J175" s="101"/>
      <c r="K175" s="101"/>
    </row>
    <row r="176" spans="4:11" x14ac:dyDescent="0.3">
      <c r="D176" s="7"/>
      <c r="E176" s="7"/>
      <c r="F176" s="7"/>
      <c r="G176" s="101"/>
      <c r="H176" s="101"/>
      <c r="I176" s="101"/>
      <c r="J176" s="101"/>
      <c r="K176" s="101"/>
    </row>
    <row r="177" spans="2:11" x14ac:dyDescent="0.3">
      <c r="D177" s="7"/>
      <c r="E177" s="7"/>
      <c r="F177" s="7"/>
      <c r="G177" s="101"/>
      <c r="H177" s="101"/>
      <c r="I177" s="101"/>
      <c r="J177" s="101"/>
      <c r="K177" s="101"/>
    </row>
    <row r="178" spans="2:11" x14ac:dyDescent="0.3">
      <c r="B178" s="37" t="s">
        <v>302</v>
      </c>
    </row>
    <row r="179" spans="2:11" x14ac:dyDescent="0.3">
      <c r="E179" s="29"/>
    </row>
    <row r="199" spans="2:2" x14ac:dyDescent="0.3">
      <c r="B199" s="37" t="s">
        <v>268</v>
      </c>
    </row>
    <row r="218" spans="2:2" x14ac:dyDescent="0.3">
      <c r="B218" s="37" t="s">
        <v>208</v>
      </c>
    </row>
  </sheetData>
  <mergeCells count="1">
    <mergeCell ref="A1:B1"/>
  </mergeCells>
  <conditionalFormatting sqref="D3">
    <cfRule type="cellIs" dxfId="72" priority="54" operator="greaterThan">
      <formula>$C3</formula>
    </cfRule>
  </conditionalFormatting>
  <conditionalFormatting sqref="D12">
    <cfRule type="cellIs" dxfId="71" priority="52" operator="lessThan">
      <formula>$C12</formula>
    </cfRule>
  </conditionalFormatting>
  <conditionalFormatting sqref="D15:G15 K15">
    <cfRule type="cellIs" dxfId="70" priority="50" operator="greaterThan">
      <formula>$C$15</formula>
    </cfRule>
  </conditionalFormatting>
  <conditionalFormatting sqref="E3:G3 K3">
    <cfRule type="cellIs" dxfId="69" priority="46" operator="greaterThan">
      <formula>$C3</formula>
    </cfRule>
  </conditionalFormatting>
  <conditionalFormatting sqref="D51:G51 K51">
    <cfRule type="cellIs" dxfId="68" priority="45" operator="greaterThan">
      <formula>$C51</formula>
    </cfRule>
  </conditionalFormatting>
  <conditionalFormatting sqref="D62:G62 K62">
    <cfRule type="cellIs" dxfId="67" priority="44" operator="greaterThan">
      <formula>$C62</formula>
    </cfRule>
  </conditionalFormatting>
  <conditionalFormatting sqref="D64:G64 K64">
    <cfRule type="cellIs" dxfId="66" priority="43" operator="greaterThan">
      <formula>$C64</formula>
    </cfRule>
  </conditionalFormatting>
  <conditionalFormatting sqref="E12:G12 K12">
    <cfRule type="cellIs" dxfId="65" priority="42" operator="lessThan">
      <formula>$C12</formula>
    </cfRule>
  </conditionalFormatting>
  <conditionalFormatting sqref="D76:E77">
    <cfRule type="cellIs" dxfId="64" priority="41" operator="lessThan">
      <formula>$C76</formula>
    </cfRule>
  </conditionalFormatting>
  <conditionalFormatting sqref="E76:G77 K76:K77">
    <cfRule type="cellIs" dxfId="63" priority="40" operator="lessThan">
      <formula>$C76</formula>
    </cfRule>
  </conditionalFormatting>
  <conditionalFormatting sqref="D65">
    <cfRule type="expression" dxfId="62" priority="31">
      <formula>D$65+D$66&gt;=$C$66</formula>
    </cfRule>
  </conditionalFormatting>
  <conditionalFormatting sqref="E65:G65 K65">
    <cfRule type="expression" dxfId="61" priority="30">
      <formula>E$65+E$66&gt;=$C$66</formula>
    </cfRule>
  </conditionalFormatting>
  <conditionalFormatting sqref="D66">
    <cfRule type="expression" dxfId="60" priority="29">
      <formula>D$65+D$66&gt;=$C$66</formula>
    </cfRule>
  </conditionalFormatting>
  <conditionalFormatting sqref="E66:G66 K66">
    <cfRule type="expression" dxfId="59" priority="28">
      <formula>E$65+E$66&gt;=$C$66</formula>
    </cfRule>
  </conditionalFormatting>
  <conditionalFormatting sqref="H15">
    <cfRule type="cellIs" dxfId="58" priority="27" operator="greaterThan">
      <formula>$C$15</formula>
    </cfRule>
  </conditionalFormatting>
  <conditionalFormatting sqref="H3">
    <cfRule type="cellIs" dxfId="57" priority="26" operator="greaterThan">
      <formula>$C3</formula>
    </cfRule>
  </conditionalFormatting>
  <conditionalFormatting sqref="H51">
    <cfRule type="cellIs" dxfId="56" priority="25" operator="greaterThan">
      <formula>$C51</formula>
    </cfRule>
  </conditionalFormatting>
  <conditionalFormatting sqref="H62">
    <cfRule type="cellIs" dxfId="55" priority="24" operator="greaterThan">
      <formula>$C62</formula>
    </cfRule>
  </conditionalFormatting>
  <conditionalFormatting sqref="H64">
    <cfRule type="cellIs" dxfId="54" priority="23" operator="greaterThan">
      <formula>$C64</formula>
    </cfRule>
  </conditionalFormatting>
  <conditionalFormatting sqref="H12">
    <cfRule type="cellIs" dxfId="53" priority="22" operator="lessThan">
      <formula>$C12</formula>
    </cfRule>
  </conditionalFormatting>
  <conditionalFormatting sqref="H76:H77">
    <cfRule type="cellIs" dxfId="52" priority="21" operator="lessThan">
      <formula>$C76</formula>
    </cfRule>
  </conditionalFormatting>
  <conditionalFormatting sqref="H65">
    <cfRule type="expression" dxfId="51" priority="20">
      <formula>H$65+H$66&gt;=$C$66</formula>
    </cfRule>
  </conditionalFormatting>
  <conditionalFormatting sqref="H66">
    <cfRule type="expression" dxfId="50" priority="19">
      <formula>H$65+H$66&gt;=$C$66</formula>
    </cfRule>
  </conditionalFormatting>
  <conditionalFormatting sqref="I15">
    <cfRule type="cellIs" dxfId="49" priority="18" operator="greaterThan">
      <formula>$C$15</formula>
    </cfRule>
  </conditionalFormatting>
  <conditionalFormatting sqref="I3">
    <cfRule type="cellIs" dxfId="48" priority="17" operator="greaterThan">
      <formula>$C3</formula>
    </cfRule>
  </conditionalFormatting>
  <conditionalFormatting sqref="I51">
    <cfRule type="cellIs" dxfId="47" priority="16" operator="greaterThan">
      <formula>$C51</formula>
    </cfRule>
  </conditionalFormatting>
  <conditionalFormatting sqref="I62">
    <cfRule type="cellIs" dxfId="46" priority="15" operator="greaterThan">
      <formula>$C62</formula>
    </cfRule>
  </conditionalFormatting>
  <conditionalFormatting sqref="I64">
    <cfRule type="cellIs" dxfId="45" priority="14" operator="greaterThan">
      <formula>$C64</formula>
    </cfRule>
  </conditionalFormatting>
  <conditionalFormatting sqref="I12">
    <cfRule type="cellIs" dxfId="44" priority="13" operator="lessThan">
      <formula>$C12</formula>
    </cfRule>
  </conditionalFormatting>
  <conditionalFormatting sqref="I76:I77">
    <cfRule type="cellIs" dxfId="43" priority="12" operator="lessThan">
      <formula>$C76</formula>
    </cfRule>
  </conditionalFormatting>
  <conditionalFormatting sqref="I65">
    <cfRule type="expression" dxfId="42" priority="11">
      <formula>I$65+I$66&gt;=$C$66</formula>
    </cfRule>
  </conditionalFormatting>
  <conditionalFormatting sqref="I66">
    <cfRule type="expression" dxfId="41" priority="10">
      <formula>I$65+I$66&gt;=$C$66</formula>
    </cfRule>
  </conditionalFormatting>
  <conditionalFormatting sqref="J15">
    <cfRule type="cellIs" dxfId="40" priority="9" operator="greaterThan">
      <formula>$C$15</formula>
    </cfRule>
  </conditionalFormatting>
  <conditionalFormatting sqref="J3">
    <cfRule type="cellIs" dxfId="39" priority="8" operator="greaterThan">
      <formula>$C3</formula>
    </cfRule>
  </conditionalFormatting>
  <conditionalFormatting sqref="J51">
    <cfRule type="cellIs" dxfId="38" priority="7" operator="greaterThan">
      <formula>$C51</formula>
    </cfRule>
  </conditionalFormatting>
  <conditionalFormatting sqref="J62">
    <cfRule type="cellIs" dxfId="37" priority="6" operator="greaterThan">
      <formula>$C62</formula>
    </cfRule>
  </conditionalFormatting>
  <conditionalFormatting sqref="J64">
    <cfRule type="cellIs" dxfId="36" priority="5" operator="greaterThan">
      <formula>$C64</formula>
    </cfRule>
  </conditionalFormatting>
  <conditionalFormatting sqref="J12">
    <cfRule type="cellIs" dxfId="35" priority="4" operator="lessThan">
      <formula>$C12</formula>
    </cfRule>
  </conditionalFormatting>
  <conditionalFormatting sqref="J76:J77">
    <cfRule type="cellIs" dxfId="34" priority="3" operator="lessThan">
      <formula>$C76</formula>
    </cfRule>
  </conditionalFormatting>
  <conditionalFormatting sqref="J65">
    <cfRule type="expression" dxfId="33" priority="2">
      <formula>J$65+J$66&gt;=$C$66</formula>
    </cfRule>
  </conditionalFormatting>
  <conditionalFormatting sqref="J66">
    <cfRule type="expression" dxfId="32" priority="1">
      <formula>J$65+J$66&gt;=$C$66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Entrate_Uscite</vt:lpstr>
      <vt:lpstr>Tav_Entrate</vt:lpstr>
      <vt:lpstr>Tav_Uscite</vt:lpstr>
      <vt:lpstr>Tav_Saldi</vt:lpstr>
      <vt:lpstr>Risultato_amministrazione</vt:lpstr>
      <vt:lpstr>Conto_economico</vt:lpstr>
      <vt:lpstr>Tav_contoeconomico</vt:lpstr>
      <vt:lpstr>Stato_patrimoniale</vt:lpstr>
      <vt:lpstr>Piano_indicatori</vt:lpstr>
      <vt:lpstr>Tav_indicatori</vt:lpstr>
      <vt:lpstr>Popolazione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2019-02-06T21:02:13Z</dcterms:created>
  <dcterms:modified xsi:type="dcterms:W3CDTF">2024-12-27T11:58:44Z</dcterms:modified>
</cp:coreProperties>
</file>