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tabRatio="598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G6" i="9"/>
  <c r="G5" i="9"/>
  <c r="G4" i="9"/>
  <c r="G3" i="9"/>
  <c r="G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7" i="8" s="1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5" i="7" s="1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Z48" i="2" s="1"/>
  <c r="X16" i="2"/>
  <c r="W16" i="2"/>
  <c r="X15" i="2"/>
  <c r="W15" i="2"/>
  <c r="Z15" i="2" s="1"/>
  <c r="X14" i="2"/>
  <c r="X20" i="2" s="1"/>
  <c r="W14" i="2"/>
  <c r="W20" i="2" s="1"/>
  <c r="AA53" i="2"/>
  <c r="Z53" i="2"/>
  <c r="AA52" i="2"/>
  <c r="Z52" i="2"/>
  <c r="Z51" i="2"/>
  <c r="AA50" i="2"/>
  <c r="Z50" i="2"/>
  <c r="AA49" i="2"/>
  <c r="Z49" i="2"/>
  <c r="AA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20" i="8"/>
  <c r="H30" i="8"/>
  <c r="H31" i="8" s="1"/>
  <c r="H21" i="8"/>
  <c r="H15" i="7"/>
  <c r="H11" i="7"/>
  <c r="H20" i="7"/>
  <c r="H21" i="7" s="1"/>
  <c r="H16" i="7"/>
  <c r="X21" i="2"/>
  <c r="AA21" i="2" s="1"/>
  <c r="AA20" i="2"/>
  <c r="X55" i="2"/>
  <c r="AA55" i="2" s="1"/>
  <c r="AA54" i="2"/>
  <c r="W21" i="2"/>
  <c r="Z21" i="2" s="1"/>
  <c r="Z20" i="2"/>
  <c r="W54" i="2"/>
  <c r="AA14" i="2"/>
  <c r="W55" i="2" l="1"/>
  <c r="Z55" i="2" s="1"/>
  <c r="Z54" i="2"/>
  <c r="T58" i="2" l="1"/>
  <c r="T53" i="2"/>
  <c r="V53" i="2" s="1"/>
  <c r="U52" i="2"/>
  <c r="T52" i="2"/>
  <c r="V52" i="2" s="1"/>
  <c r="V51" i="2"/>
  <c r="T51" i="2"/>
  <c r="V50" i="2"/>
  <c r="U50" i="2"/>
  <c r="T50" i="2"/>
  <c r="U49" i="2"/>
  <c r="T49" i="2"/>
  <c r="V49" i="2" s="1"/>
  <c r="V48" i="2"/>
  <c r="U48" i="2"/>
  <c r="U61" i="2" s="1"/>
  <c r="T48" i="2"/>
  <c r="T54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U20" i="2"/>
  <c r="U21" i="2" s="1"/>
  <c r="V19" i="2"/>
  <c r="V18" i="2"/>
  <c r="V17" i="2"/>
  <c r="U16" i="2"/>
  <c r="T16" i="2"/>
  <c r="V16" i="2" s="1"/>
  <c r="V15" i="2"/>
  <c r="U15" i="2"/>
  <c r="U57" i="2" s="1"/>
  <c r="T15" i="2"/>
  <c r="T57" i="2" s="1"/>
  <c r="V14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I27" i="5"/>
  <c r="I28" i="5" s="1"/>
  <c r="I26" i="5"/>
  <c r="I13" i="5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15" i="10"/>
  <c r="I13" i="10"/>
  <c r="I12" i="10"/>
  <c r="I11" i="10"/>
  <c r="I9" i="10"/>
  <c r="I8" i="10"/>
  <c r="I7" i="10"/>
  <c r="I6" i="10"/>
  <c r="I5" i="10"/>
  <c r="I4" i="10"/>
  <c r="I3" i="10"/>
  <c r="I2" i="10"/>
  <c r="I10" i="10" s="1"/>
  <c r="I14" i="10" s="1"/>
  <c r="I16" i="10" s="1"/>
  <c r="L27" i="6"/>
  <c r="L26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9" i="6"/>
  <c r="L8" i="6"/>
  <c r="L7" i="6"/>
  <c r="L6" i="6"/>
  <c r="L5" i="6"/>
  <c r="L4" i="6"/>
  <c r="L3" i="6"/>
  <c r="L2" i="6"/>
  <c r="J28" i="6"/>
  <c r="J21" i="6"/>
  <c r="J10" i="6"/>
  <c r="J29" i="6" s="1"/>
  <c r="J23" i="1"/>
  <c r="J19" i="1"/>
  <c r="J13" i="1"/>
  <c r="J7" i="1"/>
  <c r="J21" i="1" s="1"/>
  <c r="T55" i="2" l="1"/>
  <c r="T20" i="2"/>
  <c r="U54" i="2"/>
  <c r="U55" i="2" s="1"/>
  <c r="U59" i="2" s="1"/>
  <c r="U58" i="2"/>
  <c r="U60" i="2"/>
  <c r="G3" i="13"/>
  <c r="G4" i="13"/>
  <c r="T21" i="2" l="1"/>
  <c r="V20" i="2"/>
  <c r="V54" i="2"/>
  <c r="V55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7" l="1"/>
  <c r="G5" i="7"/>
  <c r="G16" i="7" s="1"/>
  <c r="G15" i="8"/>
  <c r="G27" i="8"/>
  <c r="V21" i="2"/>
  <c r="T59" i="2"/>
  <c r="G20" i="8"/>
  <c r="G10" i="8"/>
  <c r="G21" i="8" s="1"/>
  <c r="G11" i="7"/>
  <c r="G20" i="7" s="1"/>
  <c r="G21" i="7" l="1"/>
  <c r="G30" i="8"/>
  <c r="R61" i="2"/>
  <c r="S53" i="2"/>
  <c r="Q53" i="2"/>
  <c r="R52" i="2"/>
  <c r="Q52" i="2"/>
  <c r="S52" i="2" s="1"/>
  <c r="R51" i="2"/>
  <c r="Q51" i="2"/>
  <c r="S51" i="2" s="1"/>
  <c r="S50" i="2"/>
  <c r="R50" i="2"/>
  <c r="Q50" i="2"/>
  <c r="R49" i="2"/>
  <c r="Q49" i="2"/>
  <c r="S49" i="2" s="1"/>
  <c r="R48" i="2"/>
  <c r="R54" i="2" s="1"/>
  <c r="R55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R56" i="2" s="1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C9" i="10"/>
  <c r="D9" i="10"/>
  <c r="E9" i="10"/>
  <c r="F9" i="10"/>
  <c r="G9" i="10"/>
  <c r="H9" i="10"/>
  <c r="B9" i="10"/>
  <c r="H15" i="10"/>
  <c r="H13" i="10"/>
  <c r="H12" i="10"/>
  <c r="H11" i="10"/>
  <c r="H8" i="10"/>
  <c r="H7" i="10"/>
  <c r="H6" i="10"/>
  <c r="H5" i="10"/>
  <c r="H4" i="10"/>
  <c r="H3" i="10"/>
  <c r="H2" i="10"/>
  <c r="H10" i="10" s="1"/>
  <c r="H14" i="10" s="1"/>
  <c r="H16" i="10" s="1"/>
  <c r="I28" i="6"/>
  <c r="I21" i="6"/>
  <c r="I10" i="6"/>
  <c r="I29" i="6" s="1"/>
  <c r="I23" i="1"/>
  <c r="I19" i="1"/>
  <c r="I13" i="1"/>
  <c r="I7" i="1"/>
  <c r="I21" i="1" s="1"/>
  <c r="Q56" i="2" l="1"/>
  <c r="G31" i="8"/>
  <c r="S14" i="2"/>
  <c r="R60" i="2"/>
  <c r="Q20" i="2"/>
  <c r="R58" i="2"/>
  <c r="S16" i="2"/>
  <c r="Q54" i="2"/>
  <c r="Q57" i="2"/>
  <c r="S15" i="2"/>
  <c r="R20" i="2"/>
  <c r="R57" i="2"/>
  <c r="Q58" i="2"/>
  <c r="Q21" i="2" l="1"/>
  <c r="R21" i="2"/>
  <c r="Q55" i="2"/>
  <c r="S55" i="2" s="1"/>
  <c r="S54" i="2"/>
  <c r="S20" i="2"/>
  <c r="S21" i="2"/>
  <c r="Q59" i="2"/>
  <c r="C28" i="5"/>
  <c r="D28" i="5"/>
  <c r="E28" i="5"/>
  <c r="F28" i="5"/>
  <c r="G28" i="5"/>
  <c r="B28" i="5"/>
  <c r="R59" i="2" l="1"/>
  <c r="G11" i="13"/>
  <c r="G10" i="13"/>
  <c r="G9" i="13"/>
  <c r="G8" i="13"/>
  <c r="G7" i="13"/>
  <c r="G6" i="13"/>
  <c r="G5" i="13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27" i="8"/>
  <c r="F11" i="7"/>
  <c r="F15" i="7"/>
  <c r="F10" i="8"/>
  <c r="F20" i="8"/>
  <c r="F5" i="7"/>
  <c r="F20" i="7" l="1"/>
  <c r="F21" i="8"/>
  <c r="F16" i="7"/>
  <c r="F30" i="8"/>
  <c r="P53" i="2"/>
  <c r="N53" i="2"/>
  <c r="O52" i="2"/>
  <c r="N52" i="2"/>
  <c r="P52" i="2" s="1"/>
  <c r="O51" i="2"/>
  <c r="O54" i="2" s="1"/>
  <c r="O55" i="2" s="1"/>
  <c r="N51" i="2"/>
  <c r="P51" i="2" s="1"/>
  <c r="P50" i="2"/>
  <c r="O50" i="2"/>
  <c r="N50" i="2"/>
  <c r="O49" i="2"/>
  <c r="N49" i="2"/>
  <c r="P49" i="2" s="1"/>
  <c r="O48" i="2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O20" i="2" l="1"/>
  <c r="O21" i="2" s="1"/>
  <c r="O59" i="2" s="1"/>
  <c r="F31" i="8"/>
  <c r="F21" i="7"/>
  <c r="O58" i="2"/>
  <c r="P16" i="2"/>
  <c r="F4" i="9"/>
  <c r="N56" i="2"/>
  <c r="F2" i="9" s="1"/>
  <c r="O56" i="2"/>
  <c r="O57" i="2"/>
  <c r="O60" i="2"/>
  <c r="P15" i="2"/>
  <c r="O61" i="2"/>
  <c r="N20" i="2"/>
  <c r="N54" i="2"/>
  <c r="N57" i="2"/>
  <c r="N58" i="2"/>
  <c r="F5" i="9" s="1"/>
  <c r="P14" i="2"/>
  <c r="B27" i="5"/>
  <c r="C27" i="5"/>
  <c r="D27" i="5"/>
  <c r="E27" i="5"/>
  <c r="F27" i="5"/>
  <c r="G27" i="5"/>
  <c r="J27" i="5"/>
  <c r="F3" i="9" l="1"/>
  <c r="N55" i="2"/>
  <c r="P55" i="2" s="1"/>
  <c r="P54" i="2"/>
  <c r="N21" i="2"/>
  <c r="P20" i="2"/>
  <c r="G26" i="5"/>
  <c r="G13" i="5"/>
  <c r="G15" i="10"/>
  <c r="G13" i="10"/>
  <c r="G12" i="10"/>
  <c r="G11" i="10"/>
  <c r="G8" i="10"/>
  <c r="G7" i="10"/>
  <c r="G6" i="10"/>
  <c r="G4" i="10"/>
  <c r="G3" i="10"/>
  <c r="G2" i="10"/>
  <c r="H28" i="6"/>
  <c r="H21" i="6"/>
  <c r="G5" i="10" s="1"/>
  <c r="H10" i="6"/>
  <c r="H29" i="6" s="1"/>
  <c r="H23" i="1"/>
  <c r="H19" i="1"/>
  <c r="H13" i="1"/>
  <c r="H7" i="1"/>
  <c r="H21" i="1" s="1"/>
  <c r="G10" i="10" l="1"/>
  <c r="G14" i="10" s="1"/>
  <c r="G16" i="10" s="1"/>
  <c r="P21" i="2"/>
  <c r="N59" i="2"/>
  <c r="F6" i="9" s="1"/>
  <c r="H9" i="12" l="1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27" i="8" l="1"/>
  <c r="E10" i="8"/>
  <c r="E15" i="8"/>
  <c r="E20" i="8"/>
  <c r="E5" i="7"/>
  <c r="E15" i="7"/>
  <c r="E11" i="7"/>
  <c r="E16" i="7" l="1"/>
  <c r="E21" i="8"/>
  <c r="E20" i="7"/>
  <c r="E21" i="7" l="1"/>
  <c r="M53" i="2"/>
  <c r="K53" i="2"/>
  <c r="L52" i="2"/>
  <c r="K52" i="2"/>
  <c r="M51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J15" i="10"/>
  <c r="J13" i="10"/>
  <c r="J12" i="10"/>
  <c r="J11" i="10"/>
  <c r="J8" i="10"/>
  <c r="J7" i="10"/>
  <c r="J6" i="10"/>
  <c r="J4" i="10"/>
  <c r="J3" i="10"/>
  <c r="K28" i="6"/>
  <c r="L28" i="6" s="1"/>
  <c r="K21" i="6"/>
  <c r="L21" i="6" s="1"/>
  <c r="K10" i="6"/>
  <c r="L10" i="6" s="1"/>
  <c r="K23" i="1"/>
  <c r="K19" i="1"/>
  <c r="K13" i="1"/>
  <c r="K7" i="1"/>
  <c r="K29" i="6" l="1"/>
  <c r="J5" i="10"/>
  <c r="J2" i="10"/>
  <c r="K57" i="2"/>
  <c r="K54" i="2"/>
  <c r="E29" i="8"/>
  <c r="K20" i="2"/>
  <c r="M20" i="2" s="1"/>
  <c r="L57" i="2"/>
  <c r="L54" i="2"/>
  <c r="L20" i="2"/>
  <c r="M16" i="2"/>
  <c r="E4" i="9"/>
  <c r="M49" i="2"/>
  <c r="M50" i="2"/>
  <c r="M52" i="2"/>
  <c r="E28" i="8"/>
  <c r="L56" i="2"/>
  <c r="M14" i="2"/>
  <c r="L60" i="2"/>
  <c r="L61" i="2"/>
  <c r="K55" i="2"/>
  <c r="L58" i="2"/>
  <c r="K58" i="2"/>
  <c r="M15" i="2"/>
  <c r="M48" i="2"/>
  <c r="K56" i="2"/>
  <c r="K21" i="1"/>
  <c r="L9" i="12"/>
  <c r="L8" i="12"/>
  <c r="L7" i="12"/>
  <c r="L6" i="12"/>
  <c r="L5" i="12"/>
  <c r="L4" i="12"/>
  <c r="L3" i="12"/>
  <c r="L2" i="12"/>
  <c r="K4" i="9"/>
  <c r="I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AA57" i="2" s="1"/>
  <c r="W57" i="2"/>
  <c r="Z57" i="2" s="1"/>
  <c r="X56" i="2"/>
  <c r="AA56" i="2" s="1"/>
  <c r="W56" i="2"/>
  <c r="Z56" i="2" s="1"/>
  <c r="H53" i="2"/>
  <c r="J53" i="2" s="1"/>
  <c r="I52" i="2"/>
  <c r="H52" i="2"/>
  <c r="J52" i="2" s="1"/>
  <c r="I51" i="2"/>
  <c r="H51" i="2"/>
  <c r="J51" i="2" s="1"/>
  <c r="I50" i="2"/>
  <c r="H50" i="2"/>
  <c r="J50" i="2" s="1"/>
  <c r="I49" i="2"/>
  <c r="H49" i="2"/>
  <c r="I48" i="2"/>
  <c r="I61" i="2" s="1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J15" i="2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6" i="5"/>
  <c r="F13" i="5"/>
  <c r="F15" i="10"/>
  <c r="F13" i="10"/>
  <c r="F12" i="10"/>
  <c r="F11" i="10"/>
  <c r="F8" i="10"/>
  <c r="F7" i="10"/>
  <c r="F6" i="10"/>
  <c r="F4" i="10"/>
  <c r="F3" i="10"/>
  <c r="G28" i="6"/>
  <c r="G21" i="6"/>
  <c r="G10" i="6"/>
  <c r="L29" i="6" l="1"/>
  <c r="J9" i="10"/>
  <c r="I3" i="9"/>
  <c r="K21" i="2"/>
  <c r="J10" i="10"/>
  <c r="F2" i="10"/>
  <c r="G29" i="6"/>
  <c r="K3" i="9"/>
  <c r="I5" i="9"/>
  <c r="K5" i="9"/>
  <c r="I2" i="9"/>
  <c r="K2" i="9"/>
  <c r="H58" i="2"/>
  <c r="D5" i="9" s="1"/>
  <c r="I58" i="2"/>
  <c r="J14" i="2"/>
  <c r="J16" i="2"/>
  <c r="J49" i="2"/>
  <c r="D29" i="8"/>
  <c r="E2" i="9"/>
  <c r="L55" i="2"/>
  <c r="H54" i="2"/>
  <c r="H56" i="2"/>
  <c r="D2" i="9" s="1"/>
  <c r="H57" i="2"/>
  <c r="D3" i="9" s="1"/>
  <c r="I60" i="2"/>
  <c r="D4" i="9"/>
  <c r="M55" i="2"/>
  <c r="E30" i="8"/>
  <c r="I54" i="2"/>
  <c r="I55" i="2" s="1"/>
  <c r="I56" i="2"/>
  <c r="D28" i="8"/>
  <c r="E5" i="9"/>
  <c r="M54" i="2"/>
  <c r="L21" i="2"/>
  <c r="M21" i="2" s="1"/>
  <c r="E3" i="9"/>
  <c r="D5" i="7"/>
  <c r="D11" i="7"/>
  <c r="D15" i="7"/>
  <c r="K59" i="2"/>
  <c r="E6" i="9" s="1"/>
  <c r="D27" i="8"/>
  <c r="F5" i="10"/>
  <c r="D10" i="8"/>
  <c r="D20" i="8"/>
  <c r="D15" i="8"/>
  <c r="J54" i="2"/>
  <c r="H55" i="2"/>
  <c r="J55" i="2" s="1"/>
  <c r="I20" i="2"/>
  <c r="I21" i="2" s="1"/>
  <c r="J48" i="2"/>
  <c r="H20" i="2"/>
  <c r="G23" i="1"/>
  <c r="F23" i="1"/>
  <c r="E23" i="1"/>
  <c r="D23" i="1"/>
  <c r="C23" i="1"/>
  <c r="J14" i="10" l="1"/>
  <c r="D16" i="7"/>
  <c r="F10" i="10"/>
  <c r="F14" i="10" s="1"/>
  <c r="I59" i="2"/>
  <c r="E31" i="8"/>
  <c r="L59" i="2"/>
  <c r="D30" i="8"/>
  <c r="D31" i="8" s="1"/>
  <c r="D20" i="7"/>
  <c r="D21" i="7" s="1"/>
  <c r="D21" i="8"/>
  <c r="H21" i="2"/>
  <c r="H59" i="2" s="1"/>
  <c r="D6" i="9" s="1"/>
  <c r="J20" i="2"/>
  <c r="J16" i="10" l="1"/>
  <c r="F16" i="10"/>
  <c r="J21" i="2"/>
  <c r="G19" i="1" l="1"/>
  <c r="G13" i="1"/>
  <c r="G7" i="1"/>
  <c r="C21" i="5"/>
  <c r="C3" i="10"/>
  <c r="D3" i="10"/>
  <c r="E3" i="10"/>
  <c r="D4" i="10"/>
  <c r="E4" i="10"/>
  <c r="C6" i="10"/>
  <c r="D6" i="10"/>
  <c r="E6" i="10"/>
  <c r="C7" i="10"/>
  <c r="D7" i="10"/>
  <c r="E7" i="10"/>
  <c r="D8" i="10"/>
  <c r="E8" i="10"/>
  <c r="C11" i="10"/>
  <c r="D11" i="10"/>
  <c r="E11" i="10"/>
  <c r="C12" i="10"/>
  <c r="D12" i="10"/>
  <c r="E12" i="10"/>
  <c r="C13" i="10"/>
  <c r="D13" i="10"/>
  <c r="E13" i="10"/>
  <c r="C15" i="10"/>
  <c r="D15" i="10"/>
  <c r="E15" i="10"/>
  <c r="B7" i="10"/>
  <c r="B6" i="10"/>
  <c r="B3" i="10"/>
  <c r="B11" i="10"/>
  <c r="G21" i="1" l="1"/>
  <c r="B24" i="5" l="1"/>
  <c r="B21" i="5"/>
  <c r="B20" i="5"/>
  <c r="C24" i="5"/>
  <c r="C20" i="5"/>
  <c r="B6" i="5"/>
  <c r="B5" i="5"/>
  <c r="C6" i="5"/>
  <c r="C5" i="5"/>
  <c r="C16" i="6"/>
  <c r="C4" i="6"/>
  <c r="C5" i="6"/>
  <c r="D16" i="6"/>
  <c r="C8" i="10" s="1"/>
  <c r="D5" i="6"/>
  <c r="D4" i="6"/>
  <c r="C4" i="10" s="1"/>
  <c r="F21" i="6"/>
  <c r="E5" i="10" s="1"/>
  <c r="E21" i="6"/>
  <c r="D5" i="10" s="1"/>
  <c r="F10" i="6"/>
  <c r="E10" i="6"/>
  <c r="F19" i="1"/>
  <c r="E19" i="1"/>
  <c r="D19" i="1"/>
  <c r="C19" i="1"/>
  <c r="F13" i="1"/>
  <c r="E13" i="1"/>
  <c r="D13" i="1"/>
  <c r="C13" i="1"/>
  <c r="B13" i="1"/>
  <c r="F7" i="1"/>
  <c r="E7" i="1"/>
  <c r="D7" i="1"/>
  <c r="C7" i="1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F57" i="2" s="1"/>
  <c r="E15" i="2"/>
  <c r="F14" i="2"/>
  <c r="E14" i="2"/>
  <c r="B53" i="2"/>
  <c r="C52" i="2"/>
  <c r="B52" i="2"/>
  <c r="B51" i="2"/>
  <c r="C50" i="2"/>
  <c r="B50" i="2"/>
  <c r="C49" i="2"/>
  <c r="B49" i="2"/>
  <c r="C48" i="2"/>
  <c r="B48" i="2"/>
  <c r="C16" i="2"/>
  <c r="B16" i="2"/>
  <c r="C15" i="2"/>
  <c r="C57" i="2" s="1"/>
  <c r="B15" i="2"/>
  <c r="B57" i="2" s="1"/>
  <c r="B3" i="9" s="1"/>
  <c r="C14" i="2"/>
  <c r="B14" i="2"/>
  <c r="E2" i="10" l="1"/>
  <c r="E10" i="10" s="1"/>
  <c r="F29" i="6"/>
  <c r="D2" i="10"/>
  <c r="D10" i="10" s="1"/>
  <c r="D14" i="10" s="1"/>
  <c r="D16" i="10" s="1"/>
  <c r="E29" i="6"/>
  <c r="B58" i="2"/>
  <c r="B5" i="9" s="1"/>
  <c r="B56" i="2"/>
  <c r="B2" i="9" s="1"/>
  <c r="B4" i="9"/>
  <c r="E58" i="2"/>
  <c r="C5" i="9" s="1"/>
  <c r="E56" i="2"/>
  <c r="C2" i="9" s="1"/>
  <c r="C4" i="9"/>
  <c r="C61" i="2"/>
  <c r="C58" i="2"/>
  <c r="C56" i="2"/>
  <c r="C60" i="2"/>
  <c r="F60" i="2"/>
  <c r="F58" i="2"/>
  <c r="F56" i="2"/>
  <c r="E20" i="2"/>
  <c r="E21" i="2" s="1"/>
  <c r="E57" i="2"/>
  <c r="C3" i="9" s="1"/>
  <c r="F61" i="2"/>
  <c r="C10" i="6"/>
  <c r="C29" i="6" s="1"/>
  <c r="B4" i="10"/>
  <c r="C21" i="6"/>
  <c r="B8" i="10"/>
  <c r="D10" i="6"/>
  <c r="F20" i="2"/>
  <c r="F21" i="2" s="1"/>
  <c r="D21" i="6"/>
  <c r="C5" i="10" s="1"/>
  <c r="C20" i="2"/>
  <c r="C21" i="2" s="1"/>
  <c r="B20" i="2"/>
  <c r="B21" i="2" s="1"/>
  <c r="G6" i="12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B15" i="10"/>
  <c r="B13" i="10"/>
  <c r="B12" i="10"/>
  <c r="C2" i="10" l="1"/>
  <c r="C10" i="10" s="1"/>
  <c r="C14" i="10" s="1"/>
  <c r="C16" i="10" s="1"/>
  <c r="D29" i="6"/>
  <c r="E14" i="10"/>
  <c r="E16" i="10" l="1"/>
  <c r="L2" i="8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I23" i="8"/>
  <c r="I22" i="8"/>
  <c r="I19" i="8"/>
  <c r="I18" i="8"/>
  <c r="M18" i="8" s="1"/>
  <c r="I17" i="8"/>
  <c r="M17" i="8" s="1"/>
  <c r="I16" i="8"/>
  <c r="I14" i="8"/>
  <c r="I13" i="8"/>
  <c r="I12" i="8"/>
  <c r="I11" i="8"/>
  <c r="I9" i="8"/>
  <c r="I8" i="8"/>
  <c r="I7" i="8"/>
  <c r="M7" i="8" s="1"/>
  <c r="I6" i="8"/>
  <c r="I5" i="8"/>
  <c r="I4" i="8"/>
  <c r="I3" i="8"/>
  <c r="I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I18" i="7"/>
  <c r="I17" i="7"/>
  <c r="I14" i="7"/>
  <c r="I13" i="7"/>
  <c r="M13" i="7" s="1"/>
  <c r="I12" i="7"/>
  <c r="I10" i="7"/>
  <c r="I9" i="7"/>
  <c r="I8" i="7"/>
  <c r="M8" i="7" s="1"/>
  <c r="I7" i="7"/>
  <c r="I6" i="7"/>
  <c r="I4" i="7"/>
  <c r="I3" i="7"/>
  <c r="I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3" i="8" l="1"/>
  <c r="M5" i="8"/>
  <c r="M9" i="8"/>
  <c r="M19" i="8"/>
  <c r="M6" i="7"/>
  <c r="M6" i="8"/>
  <c r="M22" i="8"/>
  <c r="L20" i="8"/>
  <c r="M10" i="7"/>
  <c r="M9" i="7"/>
  <c r="M19" i="7"/>
  <c r="L11" i="7"/>
  <c r="I15" i="8"/>
  <c r="M23" i="8"/>
  <c r="B5" i="7"/>
  <c r="M4" i="8"/>
  <c r="M8" i="8"/>
  <c r="M24" i="8"/>
  <c r="L15" i="7"/>
  <c r="M14" i="7"/>
  <c r="B11" i="7"/>
  <c r="M4" i="7"/>
  <c r="B27" i="8"/>
  <c r="B15" i="7"/>
  <c r="I27" i="8"/>
  <c r="L27" i="8"/>
  <c r="L15" i="8"/>
  <c r="C27" i="8"/>
  <c r="L10" i="8"/>
  <c r="I10" i="8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I5" i="7"/>
  <c r="I15" i="7"/>
  <c r="M3" i="7"/>
  <c r="C5" i="7"/>
  <c r="B21" i="8" l="1"/>
  <c r="I21" i="8"/>
  <c r="C21" i="8"/>
  <c r="L21" i="8"/>
  <c r="C16" i="7"/>
  <c r="L16" i="7"/>
  <c r="I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M5" i="7"/>
  <c r="I21" i="7" l="1"/>
  <c r="M21" i="8"/>
  <c r="M16" i="7"/>
  <c r="M20" i="7"/>
  <c r="L28" i="8"/>
  <c r="L30" i="8" s="1"/>
  <c r="L31" i="8" s="1"/>
  <c r="J16" i="7" l="1"/>
  <c r="J13" i="7"/>
  <c r="J12" i="7"/>
  <c r="J5" i="7"/>
  <c r="J2" i="7"/>
  <c r="J11" i="7"/>
  <c r="J9" i="7"/>
  <c r="J10" i="7"/>
  <c r="J8" i="7"/>
  <c r="J21" i="7"/>
  <c r="M21" i="7"/>
  <c r="J4" i="7"/>
  <c r="J6" i="7"/>
  <c r="J17" i="7"/>
  <c r="J3" i="7"/>
  <c r="J15" i="7"/>
  <c r="J14" i="7"/>
  <c r="J18" i="7"/>
  <c r="J7" i="7"/>
  <c r="C28" i="6"/>
  <c r="B5" i="10"/>
  <c r="B2" i="10"/>
  <c r="B10" i="10" l="1"/>
  <c r="B14" i="10" s="1"/>
  <c r="B16" i="10" s="1"/>
  <c r="B26" i="5" l="1"/>
  <c r="B13" i="5"/>
  <c r="E54" i="2"/>
  <c r="E55" i="2" s="1"/>
  <c r="E59" i="2" s="1"/>
  <c r="C6" i="9" s="1"/>
  <c r="F54" i="2"/>
  <c r="F55" i="2" s="1"/>
  <c r="F59" i="2" s="1"/>
  <c r="D28" i="6" l="1"/>
  <c r="F28" i="6"/>
  <c r="E28" i="6"/>
  <c r="D26" i="5" l="1"/>
  <c r="E26" i="5"/>
  <c r="C26" i="5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E13" i="5" l="1"/>
  <c r="I28" i="8"/>
  <c r="Y53" i="2" l="1"/>
  <c r="I29" i="8"/>
  <c r="M28" i="8"/>
  <c r="Y49" i="2"/>
  <c r="Y52" i="2"/>
  <c r="Y51" i="2"/>
  <c r="Y50" i="2"/>
  <c r="Y48" i="2"/>
  <c r="Y16" i="2"/>
  <c r="Y14" i="2"/>
  <c r="Y15" i="2"/>
  <c r="D13" i="5"/>
  <c r="C13" i="5"/>
  <c r="I30" i="8" l="1"/>
  <c r="M29" i="8"/>
  <c r="Y21" i="2"/>
  <c r="Y20" i="2"/>
  <c r="Y54" i="2"/>
  <c r="G12" i="2"/>
  <c r="D53" i="2"/>
  <c r="D52" i="2"/>
  <c r="Y55" i="2" l="1"/>
  <c r="W59" i="2"/>
  <c r="X59" i="2"/>
  <c r="I31" i="8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Z59" i="2"/>
  <c r="J10" i="8"/>
  <c r="J8" i="8"/>
  <c r="J11" i="8"/>
  <c r="J25" i="8"/>
  <c r="J17" i="8"/>
  <c r="J15" i="8"/>
  <c r="J14" i="8"/>
  <c r="J27" i="8"/>
  <c r="J4" i="8"/>
  <c r="J22" i="8"/>
  <c r="J3" i="8"/>
  <c r="J9" i="8"/>
  <c r="J31" i="8"/>
  <c r="J13" i="8"/>
  <c r="M31" i="8"/>
  <c r="J19" i="8"/>
  <c r="J7" i="8"/>
  <c r="J6" i="8"/>
  <c r="J24" i="8"/>
  <c r="J16" i="8"/>
  <c r="J23" i="8"/>
  <c r="J21" i="8"/>
  <c r="J28" i="8"/>
  <c r="J20" i="8"/>
  <c r="J2" i="8"/>
  <c r="J5" i="8"/>
  <c r="J26" i="8"/>
  <c r="J12" i="8"/>
  <c r="J18" i="8"/>
  <c r="G20" i="2"/>
  <c r="G54" i="2"/>
  <c r="G16" i="2"/>
  <c r="D21" i="2"/>
  <c r="D20" i="2"/>
  <c r="B55" i="2"/>
  <c r="D54" i="2"/>
  <c r="D55" i="2" l="1"/>
  <c r="B59" i="2"/>
  <c r="B6" i="9" s="1"/>
  <c r="G21" i="2"/>
  <c r="G55" i="2"/>
  <c r="C21" i="1" l="1"/>
  <c r="B21" i="1"/>
  <c r="F21" i="1" l="1"/>
  <c r="E21" i="1"/>
  <c r="D21" i="1"/>
</calcChain>
</file>

<file path=xl/sharedStrings.xml><?xml version="1.0" encoding="utf-8"?>
<sst xmlns="http://schemas.openxmlformats.org/spreadsheetml/2006/main" count="493" uniqueCount="368">
  <si>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</si>
  <si>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</si>
  <si>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</si>
  <si>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</si>
  <si>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</si>
  <si>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</si>
  <si>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</si>
  <si>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</si>
  <si>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</si>
  <si>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</si>
  <si>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</si>
  <si>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</si>
  <si>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</si>
  <si>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</si>
  <si>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</si>
  <si>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</si>
  <si>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</si>
  <si>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</si>
  <si>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</si>
  <si>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</si>
  <si>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</si>
  <si>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</si>
  <si>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</si>
  <si>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</si>
  <si>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</si>
  <si>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</si>
  <si>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</si>
  <si>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</si>
  <si>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</si>
  <si>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</si>
  <si>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</si>
  <si>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</si>
  <si>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</si>
  <si>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</si>
  <si>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</si>
  <si>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</si>
  <si>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</si>
  <si>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</si>
  <si>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</si>
  <si>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</si>
  <si>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</si>
  <si>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</si>
  <si>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</si>
  <si>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</si>
  <si>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</si>
  <si>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</si>
  <si>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</si>
  <si>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</si>
  <si>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</si>
  <si>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</si>
  <si>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</si>
  <si>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</si>
  <si>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</si>
  <si>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</si>
  <si>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</si>
  <si>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</si>
  <si>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</si>
  <si>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</si>
  <si>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</si>
  <si>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</si>
  <si>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</si>
  <si>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</si>
  <si>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</si>
  <si>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</si>
  <si>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</si>
  <si>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</si>
  <si>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</si>
  <si>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</si>
  <si>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</si>
  <si>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</si>
  <si>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</si>
  <si>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</si>
  <si>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</si>
  <si>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</si>
  <si>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</si>
  <si>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</si>
  <si>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</si>
  <si>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</si>
  <si>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</si>
  <si>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</si>
  <si>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</si>
  <si>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</si>
  <si>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</si>
  <si>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</si>
  <si>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</si>
  <si>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</si>
  <si>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</si>
  <si>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</si>
  <si>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</si>
  <si>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</si>
  <si>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</si>
  <si>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</si>
  <si>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</si>
  <si>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</si>
  <si>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</si>
  <si>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</si>
  <si>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</si>
  <si>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</si>
  <si>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</si>
  <si>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</si>
  <si>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</si>
  <si>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</si>
  <si>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</si>
  <si>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</si>
  <si>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</si>
  <si>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</si>
  <si>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</si>
  <si>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</si>
  <si>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</si>
  <si>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</si>
  <si>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</si>
  <si>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</si>
  <si>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</si>
  <si>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</si>
  <si>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</si>
  <si>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</si>
  <si>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</si>
  <si>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</si>
  <si>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</si>
  <si>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</si>
  <si>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</si>
  <si>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</si>
  <si>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</si>
  <si>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</si>
  <si>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</si>
  <si>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</si>
  <si>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</si>
  <si>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</si>
  <si>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</si>
  <si>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</si>
  <si>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</si>
  <si>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</si>
  <si>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</si>
  <si>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</si>
  <si>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</si>
  <si>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</si>
  <si>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</si>
  <si>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</si>
  <si>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</si>
  <si>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</si>
  <si>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</si>
  <si>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</si>
  <si>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</si>
  <si>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</si>
  <si>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</si>
  <si>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</si>
  <si>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</si>
  <si>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</si>
  <si>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</si>
  <si>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</si>
  <si>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</si>
  <si>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</si>
  <si>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</si>
  <si>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</si>
  <si>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</si>
  <si>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</si>
  <si>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</si>
  <si>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</si>
  <si>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</si>
  <si>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</si>
  <si>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</si>
  <si>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</si>
  <si>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</si>
  <si>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</si>
  <si>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</si>
  <si>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</si>
  <si>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</si>
  <si>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</si>
  <si>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</si>
  <si>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</si>
  <si>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</si>
  <si>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</si>
  <si>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</si>
  <si>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</si>
  <si>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</si>
  <si>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</si>
  <si>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</si>
  <si>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</si>
  <si>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</si>
  <si>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</si>
  <si>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</si>
  <si>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</si>
  <si>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</si>
  <si>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</si>
  <si>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</si>
  <si>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</si>
  <si>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</si>
  <si>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</si>
  <si>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</si>
  <si>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</si>
  <si>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</si>
  <si>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</si>
  <si>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</si>
  <si>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</si>
  <si>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</si>
  <si>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</si>
  <si>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</si>
  <si>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</si>
  <si>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</si>
  <si>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</si>
  <si>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</si>
  <si>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</si>
  <si>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</si>
  <si>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</si>
  <si>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</si>
  <si>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</si>
  <si>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</si>
  <si>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</si>
  <si>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</si>
  <si>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</si>
  <si>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</si>
  <si>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</si>
  <si>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</si>
  <si>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</si>
  <si>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</si>
  <si>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</si>
  <si>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</si>
  <si>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</si>
  <si>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</si>
  <si>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</si>
  <si>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</si>
  <si>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</si>
  <si>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</si>
  <si>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</si>
  <si>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</si>
  <si>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</si>
  <si>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</si>
  <si>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</si>
  <si>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</si>
  <si>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</si>
  <si>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</si>
  <si>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</si>
  <si>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</si>
  <si>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</si>
  <si>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</si>
  <si>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</si>
  <si>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</si>
  <si>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</si>
  <si>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</si>
  <si>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</si>
  <si>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</si>
  <si>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</si>
  <si>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</si>
  <si>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</si>
  <si>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</si>
  <si>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</si>
  <si>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</si>
  <si>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</si>
  <si>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</si>
  <si>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</si>
  <si>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</si>
  <si>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</si>
  <si>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</si>
  <si>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</si>
  <si>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</si>
  <si>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</si>
  <si>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</si>
  <si>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</si>
  <si>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</si>
  <si>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</si>
  <si>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</si>
  <si>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</si>
  <si>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</si>
  <si>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</si>
  <si>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</si>
  <si>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</si>
  <si>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</si>
  <si>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</si>
  <si>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</si>
  <si>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</si>
  <si>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</si>
  <si>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</si>
  <si>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</si>
  <si>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</si>
  <si>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</si>
  <si>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</si>
  <si>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</si>
  <si>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</si>
  <si>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</si>
  <si>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</si>
  <si>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</si>
  <si>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</si>
  <si>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</si>
  <si>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</si>
  <si>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</si>
  <si>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</si>
  <si>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</si>
  <si>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</si>
  <si>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</si>
  <si>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</si>
  <si>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</si>
  <si>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</si>
  <si>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</si>
  <si>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</si>
  <si>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</si>
  <si>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</si>
  <si>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</si>
  <si>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</si>
  <si>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</si>
  <si>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</si>
  <si>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</si>
  <si>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</si>
  <si>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Sviluppo sostenibile, tutela territorio e ambiente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</si>
  <si>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</si>
  <si>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</si>
  <si>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</si>
  <si>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</si>
  <si>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</si>
  <si>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Componenti positivi della gestione</t>
  </si>
  <si>
    <t>Componenti negativi della gestione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</si>
  <si>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</si>
  <si>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</si>
  <si>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</si>
  <si>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</si>
  <si>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</si>
  <si>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</si>
  <si>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</si>
  <si>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</si>
  <si>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</si>
  <si>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</si>
  <si>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</si>
  <si>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</si>
  <si>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</si>
  <si>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</si>
  <si>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</si>
  <si>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</si>
  <si>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</si>
  <si>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</si>
  <si>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</si>
  <si>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</si>
  <si>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</si>
  <si>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</si>
  <si>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</si>
  <si>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</si>
  <si>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</si>
  <si>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</si>
  <si>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</si>
  <si>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</si>
  <si>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</si>
  <si>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</si>
  <si>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</si>
  <si>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</si>
  <si>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</si>
  <si>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</si>
  <si>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</si>
  <si>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</si>
  <si>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</si>
  <si>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</si>
  <si>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</si>
  <si>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Entrate finali</t>
  </si>
  <si>
    <t>Uscite finali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</si>
  <si>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</si>
  <si>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</si>
  <si>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</si>
  <si>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</si>
  <si>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</si>
  <si>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</si>
  <si>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</si>
  <si>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</si>
  <si>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</si>
  <si>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</si>
  <si>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/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</si>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</sst>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2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4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164" fontId="0" fillId="0" borderId="0" xfId="1" applyNumberFormat="1" applyFont="1" applyFill="1"/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Risultato_amministrazione!$C$3:$K$3</c:f>
              <c:numCache>
                <c:formatCode>#,##0</c:formatCode>
                <c:ptCount val="9"/>
                <c:pt idx="0">
                  <c:v>103925742.08</c:v>
                </c:pt>
                <c:pt idx="1">
                  <c:v>111239183.55</c:v>
                </c:pt>
                <c:pt idx="2">
                  <c:v>128583447.23999999</c:v>
                </c:pt>
                <c:pt idx="3">
                  <c:v>133279675.75</c:v>
                </c:pt>
                <c:pt idx="4">
                  <c:v>139586885.83000001</c:v>
                </c:pt>
                <c:pt idx="5">
                  <c:v>152476519.74000001</c:v>
                </c:pt>
                <c:pt idx="6">
                  <c:v>155292741.16</c:v>
                </c:pt>
                <c:pt idx="7">
                  <c:v>162381190.25</c:v>
                </c:pt>
                <c:pt idx="8">
                  <c:v>146072860.99000001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Risultato_amministrazione!$C$4:$K$4</c:f>
              <c:numCache>
                <c:formatCode>#,##0</c:formatCode>
                <c:ptCount val="9"/>
                <c:pt idx="0">
                  <c:v>52918765.960000001</c:v>
                </c:pt>
                <c:pt idx="1">
                  <c:v>67085362.43</c:v>
                </c:pt>
                <c:pt idx="2">
                  <c:v>57567657.789999999</c:v>
                </c:pt>
                <c:pt idx="3">
                  <c:v>56610031.579999998</c:v>
                </c:pt>
                <c:pt idx="4">
                  <c:v>66986942.329999998</c:v>
                </c:pt>
                <c:pt idx="5">
                  <c:v>77624079.010000005</c:v>
                </c:pt>
                <c:pt idx="6">
                  <c:v>72603225.900000006</c:v>
                </c:pt>
                <c:pt idx="7">
                  <c:v>97493924.989999995</c:v>
                </c:pt>
                <c:pt idx="8">
                  <c:v>74047139.469999999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592"/>
        <c:axId val="1064539136"/>
      </c:lineChart>
      <c:catAx>
        <c:axId val="106453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9136"/>
        <c:crosses val="autoZero"/>
        <c:auto val="1"/>
        <c:lblAlgn val="ctr"/>
        <c:lblOffset val="100"/>
        <c:noMultiLvlLbl val="0"/>
      </c:catAx>
      <c:valAx>
        <c:axId val="1064539136"/>
        <c:scaling>
          <c:orientation val="minMax"/>
          <c:max val="170000000.00000003"/>
          <c:min val="5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8592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09769268532154E-2"/>
          <c:y val="5.9862208510722083E-2"/>
          <c:w val="0.956799214531179"/>
          <c:h val="0.74631826532358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1.9085790628876802E-3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51474377326082E-2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195.76134999999999</c:v>
                </c:pt>
                <c:pt idx="1">
                  <c:v>144.89306999999999</c:v>
                </c:pt>
                <c:pt idx="2">
                  <c:v>144.53268</c:v>
                </c:pt>
                <c:pt idx="3">
                  <c:v>189.63900000000001</c:v>
                </c:pt>
                <c:pt idx="4">
                  <c:v>119.43</c:v>
                </c:pt>
                <c:pt idx="5">
                  <c:v>132.71700000000001</c:v>
                </c:pt>
                <c:pt idx="6">
                  <c:v>209.99</c:v>
                </c:pt>
                <c:pt idx="7">
                  <c:v>190.89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319840"/>
        <c:axId val="1669322560"/>
      </c:barChart>
      <c:catAx>
        <c:axId val="166931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9322560"/>
        <c:crosses val="autoZero"/>
        <c:auto val="1"/>
        <c:lblAlgn val="ctr"/>
        <c:lblOffset val="100"/>
        <c:noMultiLvlLbl val="0"/>
      </c:catAx>
      <c:valAx>
        <c:axId val="166932256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66931984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02E-2"/>
          <c:y val="2.2160664819944598E-2"/>
          <c:w val="0.956799214531179"/>
          <c:h val="0.84957040496885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1782032400589141E-2"/>
                  <c:y val="1.108033240997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6F-47D4-9AD2-70BDB42DBA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782032400589101E-2"/>
                  <c:y val="7.3868882733148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6F-47D4-9AD2-70BDB42DBA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673048600883652E-2"/>
                  <c:y val="1.108033240997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6F-47D4-9AD2-70BDB42DBA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0.88</c:v>
                </c:pt>
                <c:pt idx="1">
                  <c:v>-0.95</c:v>
                </c:pt>
                <c:pt idx="2">
                  <c:v>-1.05</c:v>
                </c:pt>
                <c:pt idx="3">
                  <c:v>-2.76</c:v>
                </c:pt>
                <c:pt idx="4">
                  <c:v>6.71</c:v>
                </c:pt>
                <c:pt idx="5">
                  <c:v>-9.35</c:v>
                </c:pt>
                <c:pt idx="6">
                  <c:v>-12.62</c:v>
                </c:pt>
                <c:pt idx="7">
                  <c:v>-15.68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320928"/>
        <c:axId val="1669320384"/>
      </c:barChart>
      <c:catAx>
        <c:axId val="16693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9320384"/>
        <c:crosses val="autoZero"/>
        <c:auto val="1"/>
        <c:lblAlgn val="ctr"/>
        <c:lblOffset val="100"/>
        <c:noMultiLvlLbl val="0"/>
      </c:catAx>
      <c:valAx>
        <c:axId val="1669320384"/>
        <c:scaling>
          <c:orientation val="minMax"/>
          <c:max val="40"/>
          <c:min val="-20"/>
        </c:scaling>
        <c:delete val="1"/>
        <c:axPos val="l"/>
        <c:numFmt formatCode="0" sourceLinked="0"/>
        <c:majorTickMark val="out"/>
        <c:minorTickMark val="none"/>
        <c:tickLblPos val="nextTo"/>
        <c:crossAx val="166932092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02E-2"/>
          <c:y val="8.4949215143120954E-2"/>
          <c:w val="0.956799214531179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633.79331000000002</c:v>
                </c:pt>
                <c:pt idx="1">
                  <c:v>613.87842000000001</c:v>
                </c:pt>
                <c:pt idx="2">
                  <c:v>606.52575000000002</c:v>
                </c:pt>
                <c:pt idx="3">
                  <c:v>590.45600000000002</c:v>
                </c:pt>
                <c:pt idx="4">
                  <c:v>570.59900000000005</c:v>
                </c:pt>
                <c:pt idx="5">
                  <c:v>576.33399999999995</c:v>
                </c:pt>
                <c:pt idx="6">
                  <c:v>548.09</c:v>
                </c:pt>
                <c:pt idx="7">
                  <c:v>536.89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321472"/>
        <c:axId val="1669322016"/>
      </c:barChart>
      <c:catAx>
        <c:axId val="16693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9322016"/>
        <c:crosses val="autoZero"/>
        <c:auto val="1"/>
        <c:lblAlgn val="ctr"/>
        <c:lblOffset val="100"/>
        <c:noMultiLvlLbl val="0"/>
      </c:catAx>
      <c:valAx>
        <c:axId val="1669322016"/>
        <c:scaling>
          <c:orientation val="minMax"/>
          <c:max val="185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669321472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3042182069333326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198496</c:v>
                </c:pt>
                <c:pt idx="1">
                  <c:v>197018</c:v>
                </c:pt>
                <c:pt idx="2">
                  <c:v>195436</c:v>
                </c:pt>
                <c:pt idx="3">
                  <c:v>195998</c:v>
                </c:pt>
                <c:pt idx="4">
                  <c:v>200455</c:v>
                </c:pt>
                <c:pt idx="5">
                  <c:v>198606</c:v>
                </c:pt>
                <c:pt idx="6">
                  <c:v>197301</c:v>
                </c:pt>
                <c:pt idx="7">
                  <c:v>195267</c:v>
                </c:pt>
                <c:pt idx="8">
                  <c:v>192940</c:v>
                </c:pt>
                <c:pt idx="9">
                  <c:v>189696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318752"/>
        <c:axId val="1669319296"/>
      </c:barChart>
      <c:catAx>
        <c:axId val="166931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669319296"/>
        <c:crosses val="autoZero"/>
        <c:auto val="1"/>
        <c:lblAlgn val="ctr"/>
        <c:lblOffset val="100"/>
        <c:noMultiLvlLbl val="0"/>
      </c:catAx>
      <c:valAx>
        <c:axId val="1669319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1669318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Risultato_amministrazione!$C$3:$K$3</c:f>
              <c:numCache>
                <c:formatCode>#,##0</c:formatCode>
                <c:ptCount val="9"/>
                <c:pt idx="0">
                  <c:v>103925742.08</c:v>
                </c:pt>
                <c:pt idx="1">
                  <c:v>111239183.55</c:v>
                </c:pt>
                <c:pt idx="2">
                  <c:v>128583447.23999999</c:v>
                </c:pt>
                <c:pt idx="3">
                  <c:v>133279675.75</c:v>
                </c:pt>
                <c:pt idx="4">
                  <c:v>139586885.83000001</c:v>
                </c:pt>
                <c:pt idx="5">
                  <c:v>152476519.74000001</c:v>
                </c:pt>
                <c:pt idx="6">
                  <c:v>155292741.16</c:v>
                </c:pt>
                <c:pt idx="7">
                  <c:v>162381190.25</c:v>
                </c:pt>
                <c:pt idx="8">
                  <c:v>146072860.99000001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Risultato_amministrazione!$C$8:$K$8</c:f>
              <c:numCache>
                <c:formatCode>#,##0</c:formatCode>
                <c:ptCount val="9"/>
                <c:pt idx="0">
                  <c:v>15961335.029999999</c:v>
                </c:pt>
                <c:pt idx="1">
                  <c:v>25680941.469999999</c:v>
                </c:pt>
                <c:pt idx="2">
                  <c:v>35029445.810000002</c:v>
                </c:pt>
                <c:pt idx="3">
                  <c:v>42425122.469999999</c:v>
                </c:pt>
                <c:pt idx="4">
                  <c:v>54080054.549999997</c:v>
                </c:pt>
                <c:pt idx="5">
                  <c:v>67072901.359999999</c:v>
                </c:pt>
                <c:pt idx="6">
                  <c:v>77408246.439999998</c:v>
                </c:pt>
                <c:pt idx="7">
                  <c:v>75344284.049999997</c:v>
                </c:pt>
                <c:pt idx="8">
                  <c:v>68084959.609999999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1312"/>
        <c:axId val="106454348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Risultato_amministrazione!$C$23:$K$23</c:f>
              <c:numCache>
                <c:formatCode>0.0</c:formatCode>
                <c:ptCount val="9"/>
                <c:pt idx="0">
                  <c:v>15.358403712636736</c:v>
                </c:pt>
                <c:pt idx="1">
                  <c:v>23.086236926987944</c:v>
                </c:pt>
                <c:pt idx="2">
                  <c:v>27.242577922660459</c:v>
                </c:pt>
                <c:pt idx="3">
                  <c:v>31.831651923868069</c:v>
                </c:pt>
                <c:pt idx="4">
                  <c:v>38.742933641963312</c:v>
                </c:pt>
                <c:pt idx="5">
                  <c:v>43.989003339249486</c:v>
                </c:pt>
                <c:pt idx="6">
                  <c:v>49.846661126449781</c:v>
                </c:pt>
                <c:pt idx="7">
                  <c:v>46.399637749914817</c:v>
                </c:pt>
                <c:pt idx="8">
                  <c:v>46.610273221567844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2400"/>
        <c:axId val="1064544576"/>
      </c:lineChart>
      <c:catAx>
        <c:axId val="10645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3488"/>
        <c:crosses val="autoZero"/>
        <c:auto val="1"/>
        <c:lblAlgn val="ctr"/>
        <c:lblOffset val="100"/>
        <c:noMultiLvlLbl val="0"/>
      </c:catAx>
      <c:valAx>
        <c:axId val="1064543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312"/>
        <c:crosses val="autoZero"/>
        <c:crossBetween val="between"/>
      </c:valAx>
      <c:valAx>
        <c:axId val="1064544576"/>
        <c:scaling>
          <c:orientation val="minMax"/>
          <c:max val="50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max"/>
        <c:crossBetween val="between"/>
        <c:majorUnit val="5"/>
      </c:valAx>
      <c:catAx>
        <c:axId val="10645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4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56275640738244E-2"/>
          <c:y val="1.9227205294990352E-2"/>
          <c:w val="0.8842878006289531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9FE-437F-BD07-FE4AF0975E9E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192411924119487E-2"/>
                  <c:y val="3.8647342995169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270803766317662E-2"/>
                  <c:y val="-3.864734299516914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FE-437F-BD07-FE4AF0975E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30904518.270000003</c:v>
                </c:pt>
                <c:pt idx="1">
                  <c:v>21178233.119999994</c:v>
                </c:pt>
                <c:pt idx="2">
                  <c:v>3512582.8299999619</c:v>
                </c:pt>
                <c:pt idx="3">
                  <c:v>1409942.8699999549</c:v>
                </c:pt>
                <c:pt idx="4">
                  <c:v>-2754558.9899999946</c:v>
                </c:pt>
                <c:pt idx="5">
                  <c:v>77312.6300000255</c:v>
                </c:pt>
                <c:pt idx="6">
                  <c:v>-3286010.8100000089</c:v>
                </c:pt>
                <c:pt idx="7">
                  <c:v>16268412.76999997</c:v>
                </c:pt>
                <c:pt idx="8">
                  <c:v>-4023052.2400000086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2944"/>
        <c:axId val="1064539680"/>
      </c:barChart>
      <c:catAx>
        <c:axId val="10645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1064542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129621405.78</c:v>
                </c:pt>
                <c:pt idx="1">
                  <c:v>122429219.95</c:v>
                </c:pt>
                <c:pt idx="2">
                  <c:v>119776274.69</c:v>
                </c:pt>
                <c:pt idx="3">
                  <c:v>118341665.18000001</c:v>
                </c:pt>
                <c:pt idx="4">
                  <c:v>116210046.98999999</c:v>
                </c:pt>
                <c:pt idx="5">
                  <c:v>113189372.59999999</c:v>
                </c:pt>
                <c:pt idx="6">
                  <c:v>114149223.34</c:v>
                </c:pt>
                <c:pt idx="7">
                  <c:v>109179846.59</c:v>
                </c:pt>
                <c:pt idx="8">
                  <c:v>90825049.659999996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47381978.920000002</c:v>
                </c:pt>
                <c:pt idx="1">
                  <c:v>62216836.990000002</c:v>
                </c:pt>
                <c:pt idx="2">
                  <c:v>27974169.170000002</c:v>
                </c:pt>
                <c:pt idx="3">
                  <c:v>31447432.5</c:v>
                </c:pt>
                <c:pt idx="4">
                  <c:v>38697277.579999998</c:v>
                </c:pt>
                <c:pt idx="5">
                  <c:v>40240253.469999999</c:v>
                </c:pt>
                <c:pt idx="6">
                  <c:v>33105601.149999999</c:v>
                </c:pt>
                <c:pt idx="7">
                  <c:v>48454356.350000001</c:v>
                </c:pt>
                <c:pt idx="8">
                  <c:v>34206196.939999998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12045113.439999999</c:v>
                </c:pt>
                <c:pt idx="3">
                  <c:v>13885977.689999999</c:v>
                </c:pt>
                <c:pt idx="4">
                  <c:v>11506581.550000001</c:v>
                </c:pt>
                <c:pt idx="5">
                  <c:v>20856922.969999999</c:v>
                </c:pt>
                <c:pt idx="6">
                  <c:v>21996414.379999999</c:v>
                </c:pt>
                <c:pt idx="7">
                  <c:v>27404309.449999999</c:v>
                </c:pt>
                <c:pt idx="8">
                  <c:v>22006999.48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5536787.0600000005</c:v>
                </c:pt>
                <c:pt idx="1">
                  <c:v>4868525.4399999995</c:v>
                </c:pt>
                <c:pt idx="2">
                  <c:v>16433009.060000001</c:v>
                </c:pt>
                <c:pt idx="3">
                  <c:v>10810831.6</c:v>
                </c:pt>
                <c:pt idx="4">
                  <c:v>11527284.43</c:v>
                </c:pt>
                <c:pt idx="5">
                  <c:v>16126902.57</c:v>
                </c:pt>
                <c:pt idx="6">
                  <c:v>17497561.890000001</c:v>
                </c:pt>
                <c:pt idx="7">
                  <c:v>21235533.91</c:v>
                </c:pt>
                <c:pt idx="8">
                  <c:v>17833943.050000001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1856"/>
        <c:axId val="1064540224"/>
      </c:barChart>
      <c:catAx>
        <c:axId val="10645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0224"/>
        <c:crosses val="autoZero"/>
        <c:auto val="1"/>
        <c:lblAlgn val="ctr"/>
        <c:lblOffset val="100"/>
        <c:noMultiLvlLbl val="0"/>
      </c:catAx>
      <c:valAx>
        <c:axId val="1064540224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1856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78377906090648E-2"/>
          <c:y val="1.2121099411463505E-2"/>
          <c:w val="0.89867457512692817"/>
          <c:h val="0.7947248681774957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646421711.48000002</c:v>
                </c:pt>
                <c:pt idx="1">
                  <c:v>646421711.48000002</c:v>
                </c:pt>
                <c:pt idx="2">
                  <c:v>-909257054.66999996</c:v>
                </c:pt>
                <c:pt idx="3">
                  <c:v>-905744471.84000003</c:v>
                </c:pt>
                <c:pt idx="4">
                  <c:v>-904334528.97000003</c:v>
                </c:pt>
                <c:pt idx="5">
                  <c:v>-904334528.97000003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195309364.80000001</c:v>
                </c:pt>
                <c:pt idx="1">
                  <c:v>199104113.94999999</c:v>
                </c:pt>
                <c:pt idx="2">
                  <c:v>2459197901.8699999</c:v>
                </c:pt>
                <c:pt idx="3">
                  <c:v>2497838959.6799998</c:v>
                </c:pt>
                <c:pt idx="4">
                  <c:v>2538275311.2399998</c:v>
                </c:pt>
                <c:pt idx="5">
                  <c:v>2563799061.0799999</c:v>
                </c:pt>
                <c:pt idx="6">
                  <c:v>2569404454.46</c:v>
                </c:pt>
                <c:pt idx="7">
                  <c:v>2574921797.6700001</c:v>
                </c:pt>
                <c:pt idx="8">
                  <c:v>1700137068.4100001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21178233.120000001</c:v>
                </c:pt>
                <c:pt idx="2">
                  <c:v>3512582.83</c:v>
                </c:pt>
                <c:pt idx="3">
                  <c:v>1409942.87</c:v>
                </c:pt>
                <c:pt idx="4">
                  <c:v>-2754558.99</c:v>
                </c:pt>
                <c:pt idx="5">
                  <c:v>77312.63</c:v>
                </c:pt>
                <c:pt idx="6">
                  <c:v>-3286010.81</c:v>
                </c:pt>
                <c:pt idx="7">
                  <c:v>16268412.77</c:v>
                </c:pt>
                <c:pt idx="8">
                  <c:v>-4023052.24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Stato_patrimoniale!$A$19</c:f>
              <c:strCache>
                <c:ptCount val="1"/>
                <c:pt idx="0">
                  <c:v>Riserve negative per beni indisponibili (A5)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Stato_patrimoniale!$B$19:$J$19</c:f>
              <c:numCache>
                <c:formatCode>#,##0</c:formatCode>
                <c:ptCount val="9"/>
                <c:pt idx="5">
                  <c:v>0</c:v>
                </c:pt>
                <c:pt idx="6">
                  <c:v>-897220629.51999998</c:v>
                </c:pt>
                <c:pt idx="7">
                  <c:v>-897220629.51999998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446372256"/>
      </c:barChart>
      <c:catAx>
        <c:axId val="106454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2256"/>
        <c:crosses val="autoZero"/>
        <c:auto val="1"/>
        <c:lblAlgn val="ctr"/>
        <c:lblOffset val="100"/>
        <c:noMultiLvlLbl val="0"/>
      </c:catAx>
      <c:valAx>
        <c:axId val="1446372256"/>
        <c:scaling>
          <c:orientation val="minMax"/>
          <c:max val="3000000000"/>
          <c:min val="-1000000000"/>
        </c:scaling>
        <c:delete val="0"/>
        <c:axPos val="b"/>
        <c:numFmt formatCode="0.0E+00" sourceLinked="0"/>
        <c:majorTickMark val="none"/>
        <c:minorTickMark val="none"/>
        <c:tickLblPos val="nextTo"/>
        <c:crossAx val="106454076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4668406188208864E-2"/>
          <c:y val="0.88974766203350708"/>
          <c:w val="0.94327263376171033"/>
          <c:h val="9.1357675708580818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102E-2"/>
          <c:w val="0.912266379073747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83.898499999999999</c:v>
                </c:pt>
                <c:pt idx="1">
                  <c:v>78.156580000000005</c:v>
                </c:pt>
                <c:pt idx="2">
                  <c:v>84.598179999999999</c:v>
                </c:pt>
                <c:pt idx="3">
                  <c:v>80.747</c:v>
                </c:pt>
                <c:pt idx="4">
                  <c:v>76.802999999999997</c:v>
                </c:pt>
                <c:pt idx="5">
                  <c:v>74.027996743135731</c:v>
                </c:pt>
                <c:pt idx="6">
                  <c:v>75.580572282888369</c:v>
                </c:pt>
                <c:pt idx="7">
                  <c:v>73.281574624499555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72.297913746469121</c:v>
                </c:pt>
                <c:pt idx="1">
                  <c:v>69.224688766426794</c:v>
                </c:pt>
                <c:pt idx="2">
                  <c:v>69.021143602906164</c:v>
                </c:pt>
                <c:pt idx="3">
                  <c:v>68.193792612944904</c:v>
                </c:pt>
                <c:pt idx="4">
                  <c:v>66.503989360510843</c:v>
                </c:pt>
                <c:pt idx="5">
                  <c:v>67.00679738930036</c:v>
                </c:pt>
                <c:pt idx="6">
                  <c:v>67.352189641249694</c:v>
                </c:pt>
                <c:pt idx="7">
                  <c:v>67.743326603159531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71.108875191737425</c:v>
                </c:pt>
                <c:pt idx="1">
                  <c:v>67.470974024028521</c:v>
                </c:pt>
                <c:pt idx="2">
                  <c:v>67.462859418967128</c:v>
                </c:pt>
                <c:pt idx="3">
                  <c:v>66.556137945500865</c:v>
                </c:pt>
                <c:pt idx="4">
                  <c:v>65.054052989467337</c:v>
                </c:pt>
                <c:pt idx="5">
                  <c:v>65.486208555946405</c:v>
                </c:pt>
                <c:pt idx="6">
                  <c:v>65.802447806752326</c:v>
                </c:pt>
                <c:pt idx="7">
                  <c:v>66.213951995418313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168"/>
        <c:axId val="1446369536"/>
      </c:lineChart>
      <c:catAx>
        <c:axId val="1446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85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699"/>
          <c:w val="0.96177967444791235"/>
          <c:h val="0.1795680460155251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968E-2"/>
          <c:w val="0.9029842635309353"/>
          <c:h val="0.7045436416700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11.565146620131186</c:v>
                </c:pt>
                <c:pt idx="1">
                  <c:v>10.847157962956501</c:v>
                </c:pt>
                <c:pt idx="2">
                  <c:v>8.9754000000000005</c:v>
                </c:pt>
                <c:pt idx="3">
                  <c:v>10.202192028595421</c:v>
                </c:pt>
                <c:pt idx="4">
                  <c:v>9.8267814319972597</c:v>
                </c:pt>
                <c:pt idx="5">
                  <c:v>9.5392664566760974</c:v>
                </c:pt>
                <c:pt idx="6">
                  <c:v>10.854035611472437</c:v>
                </c:pt>
                <c:pt idx="7">
                  <c:v>11.853035143769969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territorio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15.60137453345204</c:v>
                </c:pt>
                <c:pt idx="1">
                  <c:v>15.80581873306798</c:v>
                </c:pt>
                <c:pt idx="2">
                  <c:v>14.306520000000001</c:v>
                </c:pt>
                <c:pt idx="3">
                  <c:v>14.346159643418529</c:v>
                </c:pt>
                <c:pt idx="4">
                  <c:v>14.86810551558753</c:v>
                </c:pt>
                <c:pt idx="5">
                  <c:v>14.924990657199293</c:v>
                </c:pt>
                <c:pt idx="6">
                  <c:v>14.07399509542595</c:v>
                </c:pt>
                <c:pt idx="7">
                  <c:v>3.855165069222577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11.380981960324986</c:v>
                </c:pt>
                <c:pt idx="1">
                  <c:v>13.189416278094711</c:v>
                </c:pt>
                <c:pt idx="2">
                  <c:v>10.639670000000001</c:v>
                </c:pt>
                <c:pt idx="3">
                  <c:v>13.311513533300317</c:v>
                </c:pt>
                <c:pt idx="4">
                  <c:v>9.633007879410755</c:v>
                </c:pt>
                <c:pt idx="5">
                  <c:v>10.875020020287225</c:v>
                </c:pt>
                <c:pt idx="6">
                  <c:v>13.892739097984858</c:v>
                </c:pt>
                <c:pt idx="7">
                  <c:v>11.682641107561235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21.541225776377789</c:v>
                </c:pt>
                <c:pt idx="1">
                  <c:v>21.101525546209146</c:v>
                </c:pt>
                <c:pt idx="2">
                  <c:v>20.287790000000001</c:v>
                </c:pt>
                <c:pt idx="3">
                  <c:v>21.541310479963823</c:v>
                </c:pt>
                <c:pt idx="4">
                  <c:v>24.01293251113395</c:v>
                </c:pt>
                <c:pt idx="5">
                  <c:v>23.002509209332121</c:v>
                </c:pt>
                <c:pt idx="6">
                  <c:v>21.281586523083483</c:v>
                </c:pt>
                <c:pt idx="7">
                  <c:v>26.0702875399361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800"/>
        <c:axId val="1446371712"/>
      </c:barChart>
      <c:catAx>
        <c:axId val="1446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6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28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1266895602807402E-2"/>
          <c:y val="0.84788290275053724"/>
          <c:w val="0.98497963085010865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109E-2"/>
          <c:w val="0.91226653369359956"/>
          <c:h val="0.75107276484056507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85.620019999999997</c:v>
                </c:pt>
                <c:pt idx="1">
                  <c:v>83.367365467645428</c:v>
                </c:pt>
                <c:pt idx="2">
                  <c:v>84.160929999999993</c:v>
                </c:pt>
                <c:pt idx="3">
                  <c:v>82.656245892808855</c:v>
                </c:pt>
                <c:pt idx="4">
                  <c:v>77.406861098817785</c:v>
                </c:pt>
                <c:pt idx="5">
                  <c:v>81.772000000000006</c:v>
                </c:pt>
                <c:pt idx="6">
                  <c:v>82.78030422728385</c:v>
                </c:pt>
                <c:pt idx="7">
                  <c:v>78.437776931872889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territorio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82.533730000000006</c:v>
                </c:pt>
                <c:pt idx="1">
                  <c:v>77.429221714852218</c:v>
                </c:pt>
                <c:pt idx="2">
                  <c:v>86.256609999999995</c:v>
                </c:pt>
                <c:pt idx="3">
                  <c:v>79.801593381563137</c:v>
                </c:pt>
                <c:pt idx="4">
                  <c:v>83.044834026834764</c:v>
                </c:pt>
                <c:pt idx="5">
                  <c:v>84.816999999999993</c:v>
                </c:pt>
                <c:pt idx="6">
                  <c:v>84.66940612312824</c:v>
                </c:pt>
                <c:pt idx="7">
                  <c:v>79.972117290709718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91.105879999999999</c:v>
                </c:pt>
                <c:pt idx="1">
                  <c:v>90.819329888212664</c:v>
                </c:pt>
                <c:pt idx="2">
                  <c:v>75.935509999999994</c:v>
                </c:pt>
                <c:pt idx="3">
                  <c:v>86.406653149903761</c:v>
                </c:pt>
                <c:pt idx="4">
                  <c:v>77.731873363182018</c:v>
                </c:pt>
                <c:pt idx="5">
                  <c:v>82.53</c:v>
                </c:pt>
                <c:pt idx="6">
                  <c:v>46.627968429162266</c:v>
                </c:pt>
                <c:pt idx="7">
                  <c:v>84.44801278986283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77.145579999999995</c:v>
                </c:pt>
                <c:pt idx="1">
                  <c:v>80.844740223578142</c:v>
                </c:pt>
                <c:pt idx="2">
                  <c:v>78.373689999999996</c:v>
                </c:pt>
                <c:pt idx="3">
                  <c:v>81.522342497948699</c:v>
                </c:pt>
                <c:pt idx="4">
                  <c:v>73.322023726507624</c:v>
                </c:pt>
                <c:pt idx="5">
                  <c:v>73.015000000000001</c:v>
                </c:pt>
                <c:pt idx="6">
                  <c:v>77.717695989516216</c:v>
                </c:pt>
                <c:pt idx="7">
                  <c:v>79.028838275761615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316576"/>
        <c:axId val="1669317664"/>
      </c:lineChart>
      <c:catAx>
        <c:axId val="16693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9317664"/>
        <c:crosses val="autoZero"/>
        <c:auto val="1"/>
        <c:lblAlgn val="ctr"/>
        <c:lblOffset val="100"/>
        <c:noMultiLvlLbl val="0"/>
      </c:catAx>
      <c:valAx>
        <c:axId val="1669317664"/>
        <c:scaling>
          <c:orientation val="minMax"/>
          <c:max val="95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931657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716954263695768"/>
          <c:w val="1"/>
          <c:h val="0.1167096666108225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88E-2"/>
          <c:y val="8.4949215143120954E-2"/>
          <c:w val="0.95679921453117833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7.6343162515507207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248.76791</c:v>
                </c:pt>
                <c:pt idx="1">
                  <c:v>245.63489999999999</c:v>
                </c:pt>
                <c:pt idx="2">
                  <c:v>254.47703000000001</c:v>
                </c:pt>
                <c:pt idx="3">
                  <c:v>243.02199999999999</c:v>
                </c:pt>
                <c:pt idx="4">
                  <c:v>231.208</c:v>
                </c:pt>
                <c:pt idx="5">
                  <c:v>239.238</c:v>
                </c:pt>
                <c:pt idx="6">
                  <c:v>249.87</c:v>
                </c:pt>
                <c:pt idx="7">
                  <c:v>244.01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318208"/>
        <c:axId val="1669323104"/>
      </c:barChart>
      <c:catAx>
        <c:axId val="16693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9323104"/>
        <c:crosses val="autoZero"/>
        <c:auto val="1"/>
        <c:lblAlgn val="ctr"/>
        <c:lblOffset val="100"/>
        <c:noMultiLvlLbl val="0"/>
      </c:catAx>
      <c:valAx>
        <c:axId val="1669323104"/>
        <c:scaling>
          <c:orientation val="minMax"/>
          <c:max val="375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6931820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24</xdr:row>
      <xdr:rowOff>38099</xdr:rowOff>
    </xdr:from>
    <xdr:to>
      <xdr:col>10</xdr:col>
      <xdr:colOff>152400</xdr:colOff>
      <xdr:row>46</xdr:row>
      <xdr:rowOff>171450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213360</xdr:colOff>
      <xdr:row>74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</xdr:colOff>
      <xdr:row>32</xdr:row>
      <xdr:rowOff>133349</xdr:rowOff>
    </xdr:from>
    <xdr:to>
      <xdr:col>11</xdr:col>
      <xdr:colOff>441960</xdr:colOff>
      <xdr:row>50</xdr:row>
      <xdr:rowOff>9525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29</xdr:row>
      <xdr:rowOff>38100</xdr:rowOff>
    </xdr:from>
    <xdr:to>
      <xdr:col>6</xdr:col>
      <xdr:colOff>800099</xdr:colOff>
      <xdr:row>51</xdr:row>
      <xdr:rowOff>7620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400049</xdr:colOff>
      <xdr:row>52</xdr:row>
      <xdr:rowOff>85724</xdr:rowOff>
    </xdr:from>
    <xdr:to>
      <xdr:col>9</xdr:col>
      <xdr:colOff>228600</xdr:colOff>
      <xdr:row>74</xdr:row>
      <xdr:rowOff>95249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342900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57146</xdr:colOff>
      <xdr:row>12</xdr:row>
      <xdr:rowOff>19048</xdr:rowOff>
    </xdr:from>
    <xdr:to>
      <xdr:col>11</xdr:col>
      <xdr:colOff>266699</xdr:colOff>
      <xdr:row>30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2.44140625" bestFit="1" customWidth="1"/>
    <col min="16" max="16" width="5.6640625" bestFit="1" customWidth="1"/>
    <col min="17" max="18" width="12.44140625" bestFit="1" customWidth="1"/>
    <col min="19" max="19" width="5.6640625" bestFit="1" customWidth="1"/>
    <col min="20" max="21" width="12.44140625" bestFit="1" customWidth="1"/>
    <col min="22" max="22" width="5.6640625" bestFit="1" customWidth="1"/>
    <col min="23" max="24" width="12.44140625" bestFit="1" customWidth="1"/>
    <col min="25" max="25" width="5.6640625" bestFit="1" customWidth="1"/>
  </cols>
  <sheetData>
    <row r="1" spans="1:27" x14ac:dyDescent="0.3">
      <c r="B1" s="122">
        <v>2016</v>
      </c>
      <c r="C1" s="122"/>
      <c r="D1" s="123"/>
      <c r="E1" s="124">
        <v>2017</v>
      </c>
      <c r="F1" s="125"/>
      <c r="G1" s="126"/>
      <c r="H1" s="124">
        <v>2018</v>
      </c>
      <c r="I1" s="125"/>
      <c r="J1" s="126"/>
      <c r="K1" s="124">
        <v>2019</v>
      </c>
      <c r="L1" s="125"/>
      <c r="M1" s="126"/>
      <c r="N1" s="124">
        <v>2020</v>
      </c>
      <c r="O1" s="125"/>
      <c r="P1" s="126"/>
      <c r="Q1" s="124">
        <v>2021</v>
      </c>
      <c r="R1" s="125"/>
      <c r="S1" s="126"/>
      <c r="T1" s="124">
        <v>2022</v>
      </c>
      <c r="U1" s="125"/>
      <c r="V1" s="126"/>
      <c r="W1" s="124">
        <v>2023</v>
      </c>
      <c r="X1" s="125"/>
      <c r="Y1" s="126"/>
      <c r="Z1" s="121" t="s">
        <v>233</v>
      </c>
      <c r="AA1" s="121"/>
    </row>
    <row r="2" spans="1:27" x14ac:dyDescent="0.3">
      <c r="B2" s="18" t="s">
        <v>73</v>
      </c>
      <c r="C2" s="18" t="s">
        <v>74</v>
      </c>
      <c r="D2" s="19" t="s">
        <v>234</v>
      </c>
      <c r="E2" s="26" t="s">
        <v>73</v>
      </c>
      <c r="F2" s="18" t="s">
        <v>74</v>
      </c>
      <c r="G2" s="19" t="s">
        <v>234</v>
      </c>
      <c r="H2" s="26" t="s">
        <v>73</v>
      </c>
      <c r="I2" s="99" t="s">
        <v>74</v>
      </c>
      <c r="J2" s="100" t="s">
        <v>234</v>
      </c>
      <c r="K2" s="26" t="s">
        <v>73</v>
      </c>
      <c r="L2" s="102" t="s">
        <v>74</v>
      </c>
      <c r="M2" s="103" t="s">
        <v>234</v>
      </c>
      <c r="N2" s="26" t="s">
        <v>73</v>
      </c>
      <c r="O2" s="110" t="s">
        <v>74</v>
      </c>
      <c r="P2" s="111" t="s">
        <v>234</v>
      </c>
      <c r="Q2" s="26" t="s">
        <v>73</v>
      </c>
      <c r="R2" s="113" t="s">
        <v>74</v>
      </c>
      <c r="S2" s="114" t="s">
        <v>234</v>
      </c>
      <c r="T2" s="26" t="s">
        <v>73</v>
      </c>
      <c r="U2" s="118" t="s">
        <v>74</v>
      </c>
      <c r="V2" s="119" t="s">
        <v>234</v>
      </c>
      <c r="W2" s="26" t="s">
        <v>73</v>
      </c>
      <c r="X2" s="18" t="s">
        <v>74</v>
      </c>
      <c r="Y2" s="19" t="s">
        <v>234</v>
      </c>
      <c r="Z2" s="13" t="s">
        <v>73</v>
      </c>
      <c r="AA2" s="13" t="s">
        <v>74</v>
      </c>
    </row>
    <row r="3" spans="1:27" x14ac:dyDescent="0.3">
      <c r="A3" t="s">
        <v>20</v>
      </c>
      <c r="B3" s="32">
        <v>149396137.97</v>
      </c>
      <c r="C3" s="32">
        <v>128808259.25</v>
      </c>
      <c r="D3" s="21">
        <f>IF(B3&gt;0,C3/B3*100,"-")</f>
        <v>86.219269788530795</v>
      </c>
      <c r="E3" s="32">
        <v>150658996.16</v>
      </c>
      <c r="F3" s="32">
        <v>119769456.62</v>
      </c>
      <c r="G3" s="21">
        <f>IF(E3&gt;0,F3/E3*100,"-")</f>
        <v>79.497049411377148</v>
      </c>
      <c r="H3" s="27">
        <v>151653179.34999999</v>
      </c>
      <c r="I3" s="20">
        <v>127883501.68000001</v>
      </c>
      <c r="J3" s="21">
        <f>IF(H3&gt;0,I3/H3*100,"-")</f>
        <v>84.326291231163694</v>
      </c>
      <c r="K3" s="32">
        <v>157979029.63</v>
      </c>
      <c r="L3" s="32">
        <v>133074726.09</v>
      </c>
      <c r="M3" s="21">
        <f>IF(K3&gt;0,L3/K3*100,"-")</f>
        <v>84.235690269570625</v>
      </c>
      <c r="N3" s="32">
        <v>151650503.33000001</v>
      </c>
      <c r="O3" s="32">
        <v>126377851.08</v>
      </c>
      <c r="P3" s="21">
        <f>IF(N3&gt;0,O3/N3*100,"-")</f>
        <v>83.334936782237179</v>
      </c>
      <c r="Q3" s="32">
        <v>159997113.63999999</v>
      </c>
      <c r="R3" s="32">
        <v>127152073.19</v>
      </c>
      <c r="S3" s="21">
        <f>IF(Q3&gt;0,R3/Q3*100,"-")</f>
        <v>79.47147938937033</v>
      </c>
      <c r="T3" s="32">
        <v>164037614.55000001</v>
      </c>
      <c r="U3" s="32">
        <v>135401451.96000001</v>
      </c>
      <c r="V3" s="21">
        <f>IF(T3&gt;0,U3/T3*100,"-")</f>
        <v>82.54292915161146</v>
      </c>
      <c r="W3" s="1">
        <v>125083100.91</v>
      </c>
      <c r="X3" s="1">
        <v>106374426.97</v>
      </c>
      <c r="Y3" s="21">
        <f>IF(W3&gt;0,X3/W3*100,"-")</f>
        <v>85.043004367583364</v>
      </c>
      <c r="Z3" s="14">
        <f>IF(T3&gt;0,W3/T3*100-100,"-")</f>
        <v>-23.747305608450162</v>
      </c>
      <c r="AA3" s="14">
        <f>IF(U3&gt;0,X3/U3*100-100,"-")</f>
        <v>-21.437750164285617</v>
      </c>
    </row>
    <row r="4" spans="1:27" x14ac:dyDescent="0.3">
      <c r="A4" t="s">
        <v>21</v>
      </c>
      <c r="B4" s="32">
        <v>37043477.840000004</v>
      </c>
      <c r="C4" s="32">
        <v>28764049.719999999</v>
      </c>
      <c r="D4" s="21">
        <f t="shared" ref="D4:D21" si="0">IF(B4&gt;0,C4/B4*100,"-")</f>
        <v>77.649430877519336</v>
      </c>
      <c r="E4" s="32">
        <v>37518261.890000001</v>
      </c>
      <c r="F4" s="32">
        <v>28994388.149999999</v>
      </c>
      <c r="G4" s="21">
        <f t="shared" ref="G4:G21" si="1">IF(E4&gt;0,F4/E4*100,"-")</f>
        <v>77.280733939671308</v>
      </c>
      <c r="H4" s="27">
        <v>41174914.420000002</v>
      </c>
      <c r="I4" s="20">
        <v>29309551.149999999</v>
      </c>
      <c r="J4" s="21">
        <f t="shared" ref="J4:J13" si="2">IF(H4&gt;0,I4/H4*100,"-")</f>
        <v>71.183028702941016</v>
      </c>
      <c r="K4" s="32">
        <v>42248728.32</v>
      </c>
      <c r="L4" s="32">
        <v>32170485.390000001</v>
      </c>
      <c r="M4" s="21">
        <f t="shared" ref="M4:M13" si="3">IF(K4&gt;0,L4/K4*100,"-")</f>
        <v>76.14545258341164</v>
      </c>
      <c r="N4" s="32">
        <v>71179384.349999994</v>
      </c>
      <c r="O4" s="32">
        <v>56949811.229999997</v>
      </c>
      <c r="P4" s="21">
        <f t="shared" ref="P4:P13" si="4">IF(N4&gt;0,O4/N4*100,"-")</f>
        <v>80.008856145719108</v>
      </c>
      <c r="Q4" s="32">
        <v>64798457.770000003</v>
      </c>
      <c r="R4" s="32">
        <v>50682834.189999998</v>
      </c>
      <c r="S4" s="21">
        <f t="shared" ref="S4:S13" si="5">IF(Q4&gt;0,R4/Q4*100,"-")</f>
        <v>78.216111824600915</v>
      </c>
      <c r="T4" s="32">
        <v>56755607.390000001</v>
      </c>
      <c r="U4" s="32">
        <v>42475565.549999997</v>
      </c>
      <c r="V4" s="21">
        <f t="shared" ref="V4:V13" si="6">IF(T4&gt;0,U4/T4*100,"-")</f>
        <v>74.839416761283644</v>
      </c>
      <c r="W4" s="1">
        <v>53164781.149999999</v>
      </c>
      <c r="X4" s="1">
        <v>40785416.490000002</v>
      </c>
      <c r="Y4" s="21">
        <f t="shared" ref="Y4:Y21" si="7">IF(W4&gt;0,X4/W4*100,"-")</f>
        <v>76.7151027574577</v>
      </c>
      <c r="Z4" s="14">
        <f t="shared" ref="Z4:AA55" si="8">IF(T4&gt;0,W4/T4*100-100,"-")</f>
        <v>-6.3268219743036127</v>
      </c>
      <c r="AA4" s="14">
        <f t="shared" si="8"/>
        <v>-3.9791090197738299</v>
      </c>
    </row>
    <row r="5" spans="1:27" x14ac:dyDescent="0.3">
      <c r="A5" t="s">
        <v>22</v>
      </c>
      <c r="B5" s="32">
        <v>53214578.670000002</v>
      </c>
      <c r="C5" s="32">
        <v>37186045.390000001</v>
      </c>
      <c r="D5" s="21">
        <f t="shared" si="0"/>
        <v>69.879432139455858</v>
      </c>
      <c r="E5" s="32">
        <v>46788083.75</v>
      </c>
      <c r="F5" s="32">
        <v>31415356.780000001</v>
      </c>
      <c r="G5" s="21">
        <f t="shared" si="1"/>
        <v>67.143926961958556</v>
      </c>
      <c r="H5" s="27">
        <v>47002282.600000001</v>
      </c>
      <c r="I5" s="20">
        <v>31466433.059999999</v>
      </c>
      <c r="J5" s="21">
        <f t="shared" si="2"/>
        <v>66.946606248437817</v>
      </c>
      <c r="K5" s="32">
        <v>44575572.060000002</v>
      </c>
      <c r="L5" s="32">
        <v>29039186.77</v>
      </c>
      <c r="M5" s="21">
        <f t="shared" si="3"/>
        <v>65.145965442490379</v>
      </c>
      <c r="N5" s="32">
        <v>35448581.909999996</v>
      </c>
      <c r="O5" s="32">
        <v>20152754.370000001</v>
      </c>
      <c r="P5" s="21">
        <f t="shared" si="4"/>
        <v>56.850664495312117</v>
      </c>
      <c r="Q5" s="32">
        <v>43667859.259999998</v>
      </c>
      <c r="R5" s="32">
        <v>29350727.120000001</v>
      </c>
      <c r="S5" s="21">
        <f t="shared" si="5"/>
        <v>67.213569928502153</v>
      </c>
      <c r="T5" s="32">
        <v>51068893.740000002</v>
      </c>
      <c r="U5" s="32">
        <v>34894414.369999997</v>
      </c>
      <c r="V5" s="21">
        <f t="shared" si="6"/>
        <v>68.328118771581586</v>
      </c>
      <c r="W5" s="1">
        <v>56982819.579999998</v>
      </c>
      <c r="X5" s="1">
        <v>39481831.939999998</v>
      </c>
      <c r="Y5" s="21">
        <f t="shared" si="7"/>
        <v>69.287255757097441</v>
      </c>
      <c r="Z5" s="14">
        <f t="shared" si="8"/>
        <v>11.58028969671588</v>
      </c>
      <c r="AA5" s="14">
        <f t="shared" si="8"/>
        <v>13.146567016020683</v>
      </c>
    </row>
    <row r="6" spans="1:27" x14ac:dyDescent="0.3">
      <c r="A6" t="s">
        <v>23</v>
      </c>
      <c r="B6" s="32">
        <v>3843.75</v>
      </c>
      <c r="C6" s="32">
        <v>3843.75</v>
      </c>
      <c r="D6" s="21">
        <f t="shared" si="0"/>
        <v>100</v>
      </c>
      <c r="E6" s="32">
        <v>0</v>
      </c>
      <c r="F6" s="32">
        <v>0</v>
      </c>
      <c r="G6" s="21" t="str">
        <f t="shared" si="1"/>
        <v>-</v>
      </c>
      <c r="H6" s="27">
        <v>282.51</v>
      </c>
      <c r="I6" s="20">
        <v>282.51</v>
      </c>
      <c r="J6" s="21">
        <f t="shared" si="2"/>
        <v>100</v>
      </c>
      <c r="K6" s="32">
        <v>0</v>
      </c>
      <c r="L6" s="32">
        <v>0</v>
      </c>
      <c r="M6" s="21" t="str">
        <f t="shared" si="3"/>
        <v>-</v>
      </c>
      <c r="N6" s="32">
        <v>0</v>
      </c>
      <c r="O6" s="32">
        <v>0</v>
      </c>
      <c r="P6" s="21" t="str">
        <f t="shared" si="4"/>
        <v>-</v>
      </c>
      <c r="Q6" s="32">
        <v>0</v>
      </c>
      <c r="R6" s="32">
        <v>0</v>
      </c>
      <c r="S6" s="21" t="str">
        <f t="shared" si="5"/>
        <v>-</v>
      </c>
      <c r="T6" s="32">
        <v>0</v>
      </c>
      <c r="U6" s="32">
        <v>0</v>
      </c>
      <c r="V6" s="21" t="str">
        <f t="shared" si="6"/>
        <v>-</v>
      </c>
      <c r="W6" s="32">
        <v>0</v>
      </c>
      <c r="X6" s="32">
        <v>0</v>
      </c>
      <c r="Y6" s="21" t="str">
        <f t="shared" si="7"/>
        <v>-</v>
      </c>
      <c r="Z6" s="14" t="str">
        <f t="shared" si="8"/>
        <v>-</v>
      </c>
      <c r="AA6" s="14" t="str">
        <f t="shared" si="8"/>
        <v>-</v>
      </c>
    </row>
    <row r="7" spans="1:27" x14ac:dyDescent="0.3">
      <c r="A7" t="s">
        <v>24</v>
      </c>
      <c r="B7" s="32">
        <v>20737699.579999998</v>
      </c>
      <c r="C7" s="32">
        <v>5268978.97</v>
      </c>
      <c r="D7" s="21">
        <f t="shared" si="0"/>
        <v>25.407731217601139</v>
      </c>
      <c r="E7" s="32">
        <v>6799314.0800000001</v>
      </c>
      <c r="F7" s="32">
        <v>1883766</v>
      </c>
      <c r="G7" s="21">
        <f t="shared" si="1"/>
        <v>27.705235819904939</v>
      </c>
      <c r="H7" s="27">
        <v>5173361.1100000003</v>
      </c>
      <c r="I7" s="20">
        <v>1291184.6399999999</v>
      </c>
      <c r="J7" s="21">
        <f t="shared" si="2"/>
        <v>24.95833197307968</v>
      </c>
      <c r="K7" s="32">
        <v>5375340.7300000004</v>
      </c>
      <c r="L7" s="32">
        <v>1635467.09</v>
      </c>
      <c r="M7" s="21">
        <f t="shared" si="3"/>
        <v>30.425365984195015</v>
      </c>
      <c r="N7" s="32">
        <v>17184277.489999998</v>
      </c>
      <c r="O7" s="32">
        <v>11279900.550000001</v>
      </c>
      <c r="P7" s="21">
        <f t="shared" si="4"/>
        <v>65.640819386000288</v>
      </c>
      <c r="Q7" s="32">
        <v>14115503.4</v>
      </c>
      <c r="R7" s="32">
        <v>5818988.9400000004</v>
      </c>
      <c r="S7" s="21">
        <f t="shared" si="5"/>
        <v>41.22409789508464</v>
      </c>
      <c r="T7" s="32">
        <v>17465991.550000001</v>
      </c>
      <c r="U7" s="32">
        <v>10991850.710000001</v>
      </c>
      <c r="V7" s="21">
        <f t="shared" si="6"/>
        <v>62.932875459910555</v>
      </c>
      <c r="W7" s="1">
        <v>16311351.9</v>
      </c>
      <c r="X7" s="1">
        <v>4185476.34</v>
      </c>
      <c r="Y7" s="21">
        <f t="shared" si="7"/>
        <v>25.659898490694687</v>
      </c>
      <c r="Z7" s="14">
        <f t="shared" si="8"/>
        <v>-6.6107878656336538</v>
      </c>
      <c r="AA7" s="14">
        <f t="shared" si="8"/>
        <v>-61.922005216171648</v>
      </c>
    </row>
    <row r="8" spans="1:27" x14ac:dyDescent="0.3">
      <c r="A8" t="s">
        <v>25</v>
      </c>
      <c r="B8" s="32">
        <v>0</v>
      </c>
      <c r="C8" s="32">
        <v>0</v>
      </c>
      <c r="D8" s="21" t="str">
        <f t="shared" si="0"/>
        <v>-</v>
      </c>
      <c r="E8" s="32">
        <v>0</v>
      </c>
      <c r="F8" s="32">
        <v>0</v>
      </c>
      <c r="G8" s="21" t="str">
        <f t="shared" si="1"/>
        <v>-</v>
      </c>
      <c r="H8" s="27">
        <v>0</v>
      </c>
      <c r="I8" s="20">
        <v>0</v>
      </c>
      <c r="J8" s="21" t="str">
        <f t="shared" si="2"/>
        <v>-</v>
      </c>
      <c r="K8" s="32">
        <v>0</v>
      </c>
      <c r="L8" s="32">
        <v>0</v>
      </c>
      <c r="M8" s="21" t="str">
        <f t="shared" si="3"/>
        <v>-</v>
      </c>
      <c r="N8" s="32">
        <v>0</v>
      </c>
      <c r="O8" s="32">
        <v>0</v>
      </c>
      <c r="P8" s="21" t="str">
        <f t="shared" si="4"/>
        <v>-</v>
      </c>
      <c r="Q8" s="32">
        <v>0</v>
      </c>
      <c r="R8" s="32">
        <v>0</v>
      </c>
      <c r="S8" s="21" t="str">
        <f t="shared" si="5"/>
        <v>-</v>
      </c>
      <c r="T8" s="32">
        <v>0</v>
      </c>
      <c r="U8" s="32">
        <v>0</v>
      </c>
      <c r="V8" s="21" t="str">
        <f t="shared" si="6"/>
        <v>-</v>
      </c>
      <c r="W8" s="32">
        <v>0</v>
      </c>
      <c r="X8" s="32">
        <v>0</v>
      </c>
      <c r="Y8" s="21" t="str">
        <f t="shared" si="7"/>
        <v>-</v>
      </c>
      <c r="Z8" s="14" t="str">
        <f t="shared" si="8"/>
        <v>-</v>
      </c>
      <c r="AA8" s="14" t="str">
        <f t="shared" si="8"/>
        <v>-</v>
      </c>
    </row>
    <row r="9" spans="1:27" x14ac:dyDescent="0.3">
      <c r="A9" t="s">
        <v>26</v>
      </c>
      <c r="B9" s="32">
        <v>2336955.7000000002</v>
      </c>
      <c r="C9" s="32">
        <v>2331421.73</v>
      </c>
      <c r="D9" s="21">
        <f t="shared" si="0"/>
        <v>99.763197479524308</v>
      </c>
      <c r="E9" s="32">
        <v>5019211.7</v>
      </c>
      <c r="F9" s="32">
        <v>849115.17</v>
      </c>
      <c r="G9" s="21">
        <f t="shared" si="1"/>
        <v>16.917301376230057</v>
      </c>
      <c r="H9" s="27">
        <v>1054271.69</v>
      </c>
      <c r="I9" s="20">
        <v>1045241.35</v>
      </c>
      <c r="J9" s="21">
        <f t="shared" si="2"/>
        <v>99.143452291695326</v>
      </c>
      <c r="K9" s="32">
        <v>544656.1</v>
      </c>
      <c r="L9" s="32">
        <v>537427.04</v>
      </c>
      <c r="M9" s="21">
        <f t="shared" si="3"/>
        <v>98.672729452584861</v>
      </c>
      <c r="N9" s="32">
        <v>34219.4</v>
      </c>
      <c r="O9" s="32">
        <v>28881.05</v>
      </c>
      <c r="P9" s="21">
        <f t="shared" si="4"/>
        <v>84.39963880138167</v>
      </c>
      <c r="Q9" s="32">
        <v>82640.92</v>
      </c>
      <c r="R9" s="32">
        <v>76760</v>
      </c>
      <c r="S9" s="21">
        <f t="shared" si="5"/>
        <v>92.883767508880595</v>
      </c>
      <c r="T9" s="32">
        <v>310188.77</v>
      </c>
      <c r="U9" s="32">
        <v>44091.77</v>
      </c>
      <c r="V9" s="21">
        <f t="shared" si="6"/>
        <v>14.214495901963181</v>
      </c>
      <c r="W9" s="1">
        <v>121233.43</v>
      </c>
      <c r="X9" s="1">
        <v>119735.83</v>
      </c>
      <c r="Y9" s="21">
        <f t="shared" si="7"/>
        <v>98.764697163150473</v>
      </c>
      <c r="Z9" s="14">
        <f t="shared" si="8"/>
        <v>-60.916241422924507</v>
      </c>
      <c r="AA9" s="14">
        <f t="shared" si="8"/>
        <v>171.56049757131552</v>
      </c>
    </row>
    <row r="10" spans="1:27" x14ac:dyDescent="0.3">
      <c r="A10" t="s">
        <v>27</v>
      </c>
      <c r="B10" s="32">
        <v>6506318.79</v>
      </c>
      <c r="C10" s="32">
        <v>6343222.3499999996</v>
      </c>
      <c r="D10" s="21">
        <f t="shared" si="0"/>
        <v>97.493260855114045</v>
      </c>
      <c r="E10" s="32">
        <v>16033220.49</v>
      </c>
      <c r="F10" s="32">
        <v>14674560.65</v>
      </c>
      <c r="G10" s="21">
        <f t="shared" si="1"/>
        <v>91.525970463342645</v>
      </c>
      <c r="H10" s="27">
        <v>19416343.16</v>
      </c>
      <c r="I10" s="20">
        <v>15125789.09</v>
      </c>
      <c r="J10" s="21">
        <f t="shared" si="2"/>
        <v>77.902357644568937</v>
      </c>
      <c r="K10" s="32">
        <v>23445243.390000001</v>
      </c>
      <c r="L10" s="32">
        <v>18508406.27</v>
      </c>
      <c r="M10" s="21">
        <f t="shared" si="3"/>
        <v>78.943118491550024</v>
      </c>
      <c r="N10" s="32">
        <v>9867652.2400000002</v>
      </c>
      <c r="O10" s="32">
        <v>7462500.1100000003</v>
      </c>
      <c r="P10" s="21">
        <f t="shared" si="4"/>
        <v>75.625892851692143</v>
      </c>
      <c r="Q10" s="32">
        <v>14952071.43</v>
      </c>
      <c r="R10" s="32">
        <v>14416837.880000001</v>
      </c>
      <c r="S10" s="21">
        <f t="shared" si="5"/>
        <v>96.420338462762416</v>
      </c>
      <c r="T10" s="32">
        <v>26003322.300000001</v>
      </c>
      <c r="U10" s="32">
        <v>14447707.4</v>
      </c>
      <c r="V10" s="21">
        <f t="shared" si="6"/>
        <v>55.561005756560576</v>
      </c>
      <c r="W10" s="1">
        <v>11028410.75</v>
      </c>
      <c r="X10" s="1">
        <v>11026385.75</v>
      </c>
      <c r="Y10" s="21">
        <f t="shared" si="7"/>
        <v>99.981638333519626</v>
      </c>
      <c r="Z10" s="14">
        <f t="shared" si="8"/>
        <v>-57.588454956772964</v>
      </c>
      <c r="AA10" s="14">
        <f t="shared" si="8"/>
        <v>-23.680723558950262</v>
      </c>
    </row>
    <row r="11" spans="1:27" x14ac:dyDescent="0.3">
      <c r="A11" t="s">
        <v>28</v>
      </c>
      <c r="B11" s="32">
        <v>160499.73000000001</v>
      </c>
      <c r="C11" s="32">
        <v>160499.73000000001</v>
      </c>
      <c r="D11" s="21">
        <f t="shared" si="0"/>
        <v>100</v>
      </c>
      <c r="E11" s="32">
        <v>5495583.5599999996</v>
      </c>
      <c r="F11" s="32">
        <v>5495583.5599999996</v>
      </c>
      <c r="G11" s="21">
        <f t="shared" si="1"/>
        <v>100</v>
      </c>
      <c r="H11" s="27">
        <v>100</v>
      </c>
      <c r="I11" s="20">
        <v>100</v>
      </c>
      <c r="J11" s="21">
        <f t="shared" si="2"/>
        <v>100</v>
      </c>
      <c r="K11" s="32">
        <v>7618.15</v>
      </c>
      <c r="L11" s="32">
        <v>7618.15</v>
      </c>
      <c r="M11" s="21">
        <f t="shared" si="3"/>
        <v>100</v>
      </c>
      <c r="N11" s="32">
        <v>86752</v>
      </c>
      <c r="O11" s="32">
        <v>86752</v>
      </c>
      <c r="P11" s="21">
        <f t="shared" si="4"/>
        <v>100</v>
      </c>
      <c r="Q11" s="32">
        <v>0</v>
      </c>
      <c r="R11" s="32">
        <v>0</v>
      </c>
      <c r="S11" s="21" t="str">
        <f t="shared" si="5"/>
        <v>-</v>
      </c>
      <c r="T11" s="32">
        <v>0</v>
      </c>
      <c r="U11" s="32">
        <v>0</v>
      </c>
      <c r="V11" s="21" t="str">
        <f t="shared" si="6"/>
        <v>-</v>
      </c>
      <c r="W11" s="1">
        <v>1096584</v>
      </c>
      <c r="X11" s="1">
        <v>1096584</v>
      </c>
      <c r="Y11" s="21">
        <f t="shared" si="7"/>
        <v>100</v>
      </c>
      <c r="Z11" s="14" t="str">
        <f t="shared" si="8"/>
        <v>-</v>
      </c>
      <c r="AA11" s="14" t="str">
        <f t="shared" si="8"/>
        <v>-</v>
      </c>
    </row>
    <row r="12" spans="1:27" x14ac:dyDescent="0.3">
      <c r="A12" t="s">
        <v>29</v>
      </c>
      <c r="B12" s="32">
        <v>0</v>
      </c>
      <c r="C12" s="32">
        <v>0</v>
      </c>
      <c r="D12" s="21" t="str">
        <f t="shared" si="0"/>
        <v>-</v>
      </c>
      <c r="E12" s="32">
        <v>0</v>
      </c>
      <c r="F12" s="32">
        <v>0</v>
      </c>
      <c r="G12" s="21" t="str">
        <f t="shared" si="1"/>
        <v>-</v>
      </c>
      <c r="H12" s="27">
        <v>0</v>
      </c>
      <c r="I12" s="20">
        <v>0</v>
      </c>
      <c r="J12" s="21" t="str">
        <f t="shared" si="2"/>
        <v>-</v>
      </c>
      <c r="K12" s="32">
        <v>0</v>
      </c>
      <c r="L12" s="32">
        <v>0</v>
      </c>
      <c r="M12" s="21" t="str">
        <f t="shared" si="3"/>
        <v>-</v>
      </c>
      <c r="N12" s="32">
        <v>0</v>
      </c>
      <c r="O12" s="32">
        <v>0</v>
      </c>
      <c r="P12" s="21" t="str">
        <f t="shared" si="4"/>
        <v>-</v>
      </c>
      <c r="Q12" s="32">
        <v>0</v>
      </c>
      <c r="R12" s="32">
        <v>0</v>
      </c>
      <c r="S12" s="21" t="str">
        <f t="shared" si="5"/>
        <v>-</v>
      </c>
      <c r="T12" s="32">
        <v>0</v>
      </c>
      <c r="U12" s="32">
        <v>0</v>
      </c>
      <c r="V12" s="21" t="str">
        <f t="shared" si="6"/>
        <v>-</v>
      </c>
      <c r="W12" s="32">
        <v>0</v>
      </c>
      <c r="X12" s="32">
        <v>0</v>
      </c>
      <c r="Y12" s="21" t="str">
        <f t="shared" si="7"/>
        <v>-</v>
      </c>
      <c r="Z12" s="14" t="str">
        <f t="shared" si="8"/>
        <v>-</v>
      </c>
      <c r="AA12" s="14" t="str">
        <f t="shared" si="8"/>
        <v>-</v>
      </c>
    </row>
    <row r="13" spans="1:27" x14ac:dyDescent="0.3">
      <c r="A13" t="s">
        <v>30</v>
      </c>
      <c r="B13" s="32">
        <v>4890000</v>
      </c>
      <c r="C13" s="32">
        <v>0</v>
      </c>
      <c r="D13" s="21">
        <f t="shared" si="0"/>
        <v>0</v>
      </c>
      <c r="E13" s="32">
        <v>7328958.6100000003</v>
      </c>
      <c r="F13" s="32">
        <v>0</v>
      </c>
      <c r="G13" s="21">
        <f t="shared" si="1"/>
        <v>0</v>
      </c>
      <c r="H13" s="27">
        <v>3622887.4</v>
      </c>
      <c r="I13" s="20">
        <v>75864.479999999996</v>
      </c>
      <c r="J13" s="21">
        <f t="shared" si="2"/>
        <v>2.0940336152870773</v>
      </c>
      <c r="K13" s="32">
        <v>4757928.34</v>
      </c>
      <c r="L13" s="32">
        <v>1077928.3400000001</v>
      </c>
      <c r="M13" s="21">
        <f t="shared" si="3"/>
        <v>22.655413511335066</v>
      </c>
      <c r="N13" s="32">
        <v>5210000</v>
      </c>
      <c r="O13" s="32">
        <v>0</v>
      </c>
      <c r="P13" s="21">
        <f t="shared" si="4"/>
        <v>0</v>
      </c>
      <c r="Q13" s="32">
        <v>3810000</v>
      </c>
      <c r="R13" s="32">
        <v>0</v>
      </c>
      <c r="S13" s="21">
        <f t="shared" si="5"/>
        <v>0</v>
      </c>
      <c r="T13" s="1">
        <v>3560000</v>
      </c>
      <c r="U13" s="32">
        <v>0</v>
      </c>
      <c r="V13" s="21">
        <f t="shared" si="6"/>
        <v>0</v>
      </c>
      <c r="W13" s="1">
        <v>3748000</v>
      </c>
      <c r="X13" s="1">
        <v>132151.49</v>
      </c>
      <c r="Y13" s="21">
        <f t="shared" si="7"/>
        <v>3.5259202241195302</v>
      </c>
      <c r="Z13" s="14">
        <f t="shared" si="8"/>
        <v>5.2808988764045068</v>
      </c>
      <c r="AA13" s="14" t="str">
        <f t="shared" si="8"/>
        <v>-</v>
      </c>
    </row>
    <row r="14" spans="1:27" x14ac:dyDescent="0.3">
      <c r="A14" t="s">
        <v>31</v>
      </c>
      <c r="B14" s="32">
        <f t="shared" ref="B14:C14" si="9">SUM(B3:B5)</f>
        <v>239654194.48000002</v>
      </c>
      <c r="C14" s="32">
        <f t="shared" si="9"/>
        <v>194758354.36000001</v>
      </c>
      <c r="D14" s="21">
        <f>IF(B14&gt;0,C14/B14*100,"-")</f>
        <v>81.266407534650227</v>
      </c>
      <c r="E14" s="32">
        <f t="shared" ref="E14:F14" si="10">SUM(E3:E5)</f>
        <v>234965341.80000001</v>
      </c>
      <c r="F14" s="32">
        <f t="shared" si="10"/>
        <v>180179201.55000001</v>
      </c>
      <c r="G14" s="21">
        <f>IF(E14&gt;0,F14/E14*100,"-")</f>
        <v>76.683310044664637</v>
      </c>
      <c r="H14" s="27">
        <f t="shared" ref="H14:I14" si="11">SUM(H3:H5)</f>
        <v>239830376.36999997</v>
      </c>
      <c r="I14" s="20">
        <f t="shared" si="11"/>
        <v>188659485.89000002</v>
      </c>
      <c r="J14" s="21">
        <f>IF(H14&gt;0,I14/H14*100,"-")</f>
        <v>78.663715891828602</v>
      </c>
      <c r="K14" s="32">
        <f t="shared" ref="K14:L14" si="12">SUM(K3:K5)</f>
        <v>244803330.00999999</v>
      </c>
      <c r="L14" s="32">
        <f t="shared" si="12"/>
        <v>194284398.25000003</v>
      </c>
      <c r="M14" s="21">
        <f>IF(K14&gt;0,L14/K14*100,"-")</f>
        <v>79.363462189041172</v>
      </c>
      <c r="N14" s="32">
        <f t="shared" ref="N14:O14" si="13">SUM(N3:N5)</f>
        <v>258278469.59</v>
      </c>
      <c r="O14" s="32">
        <f t="shared" si="13"/>
        <v>203480416.68000001</v>
      </c>
      <c r="P14" s="21">
        <f>IF(N14&gt;0,O14/N14*100,"-")</f>
        <v>78.783344582694681</v>
      </c>
      <c r="Q14" s="32">
        <f t="shared" ref="Q14:R14" si="14">SUM(Q3:Q5)</f>
        <v>268463430.67000002</v>
      </c>
      <c r="R14" s="32">
        <f t="shared" si="14"/>
        <v>207185634.5</v>
      </c>
      <c r="S14" s="21">
        <f>IF(Q14&gt;0,R14/Q14*100,"-")</f>
        <v>77.17462076042537</v>
      </c>
      <c r="T14" s="32">
        <f t="shared" ref="T14:U14" si="15">SUM(T3:T5)</f>
        <v>271862115.68000001</v>
      </c>
      <c r="U14" s="32">
        <f t="shared" si="15"/>
        <v>212771431.88</v>
      </c>
      <c r="V14" s="21">
        <f>IF(T14&gt;0,U14/T14*100,"-")</f>
        <v>78.264465553724406</v>
      </c>
      <c r="W14" s="32">
        <f t="shared" ref="W14:X14" si="16">SUM(W3:W5)</f>
        <v>235230701.63999999</v>
      </c>
      <c r="X14" s="32">
        <f t="shared" si="16"/>
        <v>186641675.40000001</v>
      </c>
      <c r="Y14" s="21">
        <f>IF(W14&gt;0,X14/W14*100,"-")</f>
        <v>79.344096709637313</v>
      </c>
      <c r="Z14" s="14">
        <f t="shared" si="8"/>
        <v>-13.474262108339389</v>
      </c>
      <c r="AA14" s="14">
        <f t="shared" si="8"/>
        <v>-12.280669565986088</v>
      </c>
    </row>
    <row r="15" spans="1:27" x14ac:dyDescent="0.3">
      <c r="A15" t="s">
        <v>32</v>
      </c>
      <c r="B15" s="31">
        <f t="shared" ref="B15:C15" si="17">SUM(B6:B10)</f>
        <v>29584817.819999997</v>
      </c>
      <c r="C15" s="31">
        <f t="shared" si="17"/>
        <v>13947466.799999999</v>
      </c>
      <c r="D15" s="21">
        <f>IF(B15&gt;0,C15/B15*100,"-")</f>
        <v>47.144000969886655</v>
      </c>
      <c r="E15" s="31">
        <f t="shared" ref="E15:F15" si="18">SUM(E6:E10)</f>
        <v>27851746.270000003</v>
      </c>
      <c r="F15" s="31">
        <f t="shared" si="18"/>
        <v>17407441.82</v>
      </c>
      <c r="G15" s="21">
        <f>IF(E15&gt;0,F15/E15*100,"-")</f>
        <v>62.500360484577968</v>
      </c>
      <c r="H15" s="28">
        <f t="shared" ref="H15:I15" si="19">SUM(H6:H10)</f>
        <v>25644258.469999999</v>
      </c>
      <c r="I15" s="22">
        <f t="shared" si="19"/>
        <v>17462497.59</v>
      </c>
      <c r="J15" s="21">
        <f>IF(H15&gt;0,I15/H15*100,"-")</f>
        <v>68.09515514136838</v>
      </c>
      <c r="K15" s="31">
        <f t="shared" ref="K15:L15" si="20">SUM(K6:K10)</f>
        <v>29365240.219999999</v>
      </c>
      <c r="L15" s="31">
        <f t="shared" si="20"/>
        <v>20681300.399999999</v>
      </c>
      <c r="M15" s="21">
        <f>IF(K15&gt;0,L15/K15*100,"-")</f>
        <v>70.42782638609043</v>
      </c>
      <c r="N15" s="31">
        <f t="shared" ref="N15:O15" si="21">SUM(N6:N10)</f>
        <v>27086149.129999995</v>
      </c>
      <c r="O15" s="31">
        <f t="shared" si="21"/>
        <v>18771281.710000001</v>
      </c>
      <c r="P15" s="21">
        <f>IF(N15&gt;0,O15/N15*100,"-")</f>
        <v>69.30214265566957</v>
      </c>
      <c r="Q15" s="31">
        <f t="shared" ref="Q15:R15" si="22">SUM(Q6:Q10)</f>
        <v>29150215.75</v>
      </c>
      <c r="R15" s="31">
        <f t="shared" si="22"/>
        <v>20312586.82</v>
      </c>
      <c r="S15" s="21">
        <f>IF(Q15&gt;0,R15/Q15*100,"-")</f>
        <v>69.682457907708624</v>
      </c>
      <c r="T15" s="31">
        <f t="shared" ref="T15:U15" si="23">SUM(T6:T10)</f>
        <v>43779502.620000005</v>
      </c>
      <c r="U15" s="31">
        <f t="shared" si="23"/>
        <v>25483649.880000003</v>
      </c>
      <c r="V15" s="21">
        <f>IF(T15&gt;0,U15/T15*100,"-")</f>
        <v>58.209089539446211</v>
      </c>
      <c r="W15" s="31">
        <f t="shared" ref="W15:X15" si="24">SUM(W6:W10)</f>
        <v>27460996.079999998</v>
      </c>
      <c r="X15" s="31">
        <f t="shared" si="24"/>
        <v>15331597.92</v>
      </c>
      <c r="Y15" s="21">
        <f>IF(W15&gt;0,X15/W15*100,"-")</f>
        <v>55.830450852313007</v>
      </c>
      <c r="Z15" s="14">
        <f t="shared" si="8"/>
        <v>-37.274307754572668</v>
      </c>
      <c r="AA15" s="14">
        <f t="shared" si="8"/>
        <v>-39.837511533100702</v>
      </c>
    </row>
    <row r="16" spans="1:27" x14ac:dyDescent="0.3">
      <c r="A16" t="s">
        <v>33</v>
      </c>
      <c r="B16" s="32">
        <f t="shared" ref="B16:C16" si="25">SUM(B11:B13)</f>
        <v>5050499.7300000004</v>
      </c>
      <c r="C16" s="32">
        <f t="shared" si="25"/>
        <v>160499.73000000001</v>
      </c>
      <c r="D16" s="21">
        <f t="shared" si="0"/>
        <v>3.1778980017884289</v>
      </c>
      <c r="E16" s="32">
        <f t="shared" ref="E16:F16" si="26">SUM(E11:E13)</f>
        <v>12824542.17</v>
      </c>
      <c r="F16" s="32">
        <f t="shared" si="26"/>
        <v>5495583.5599999996</v>
      </c>
      <c r="G16" s="21">
        <f t="shared" si="1"/>
        <v>42.852083818287291</v>
      </c>
      <c r="H16" s="27">
        <f t="shared" ref="H16:I16" si="27">SUM(H11:H13)</f>
        <v>3622987.4</v>
      </c>
      <c r="I16" s="20">
        <f t="shared" si="27"/>
        <v>75964.479999999996</v>
      </c>
      <c r="J16" s="21">
        <f t="shared" ref="J16:J21" si="28">IF(H16&gt;0,I16/H16*100,"-")</f>
        <v>2.0967359698794428</v>
      </c>
      <c r="K16" s="32">
        <f t="shared" ref="K16:L16" si="29">SUM(K11:K13)</f>
        <v>4765546.49</v>
      </c>
      <c r="L16" s="32">
        <f t="shared" si="29"/>
        <v>1085546.49</v>
      </c>
      <c r="M16" s="21">
        <f t="shared" ref="M16:M21" si="30">IF(K16&gt;0,L16/K16*100,"-")</f>
        <v>22.779055713293438</v>
      </c>
      <c r="N16" s="32">
        <f t="shared" ref="N16:O16" si="31">SUM(N11:N13)</f>
        <v>5296752</v>
      </c>
      <c r="O16" s="32">
        <f t="shared" si="31"/>
        <v>86752</v>
      </c>
      <c r="P16" s="21">
        <f t="shared" ref="P16:P21" si="32">IF(N16&gt;0,O16/N16*100,"-")</f>
        <v>1.637833902738886</v>
      </c>
      <c r="Q16" s="32">
        <f t="shared" ref="Q16:R16" si="33">SUM(Q11:Q13)</f>
        <v>3810000</v>
      </c>
      <c r="R16" s="32">
        <f t="shared" si="33"/>
        <v>0</v>
      </c>
      <c r="S16" s="21">
        <f t="shared" ref="S16:S21" si="34">IF(Q16&gt;0,R16/Q16*100,"-")</f>
        <v>0</v>
      </c>
      <c r="T16" s="32">
        <f t="shared" ref="T16:U16" si="35">SUM(T11:T13)</f>
        <v>3560000</v>
      </c>
      <c r="U16" s="32">
        <f t="shared" si="35"/>
        <v>0</v>
      </c>
      <c r="V16" s="21">
        <f t="shared" ref="V16:V21" si="36">IF(T16&gt;0,U16/T16*100,"-")</f>
        <v>0</v>
      </c>
      <c r="W16" s="32">
        <f t="shared" ref="W16:X16" si="37">SUM(W11:W13)</f>
        <v>4844584</v>
      </c>
      <c r="X16" s="32">
        <f t="shared" si="37"/>
        <v>1228735.49</v>
      </c>
      <c r="Y16" s="21">
        <f t="shared" si="7"/>
        <v>25.363075343517629</v>
      </c>
      <c r="Z16" s="14">
        <f t="shared" si="8"/>
        <v>36.083820224719091</v>
      </c>
      <c r="AA16" s="14" t="str">
        <f t="shared" si="8"/>
        <v>-</v>
      </c>
    </row>
    <row r="17" spans="1:27" x14ac:dyDescent="0.3">
      <c r="A17" t="s">
        <v>34</v>
      </c>
      <c r="B17" s="32">
        <v>4890000</v>
      </c>
      <c r="C17" s="32">
        <v>4890000</v>
      </c>
      <c r="D17" s="21">
        <f t="shared" si="0"/>
        <v>100</v>
      </c>
      <c r="E17" s="32">
        <v>7328958.6100000003</v>
      </c>
      <c r="F17" s="32">
        <v>7328958.6100000003</v>
      </c>
      <c r="G17" s="21">
        <f t="shared" si="1"/>
        <v>100</v>
      </c>
      <c r="H17" s="27">
        <v>3622887.4</v>
      </c>
      <c r="I17" s="20">
        <v>3622887.4</v>
      </c>
      <c r="J17" s="21">
        <f t="shared" si="28"/>
        <v>100</v>
      </c>
      <c r="K17" s="32">
        <v>5730000</v>
      </c>
      <c r="L17" s="32">
        <v>0</v>
      </c>
      <c r="M17" s="21">
        <f t="shared" si="30"/>
        <v>0</v>
      </c>
      <c r="N17" s="32">
        <v>7804250.1699999999</v>
      </c>
      <c r="O17" s="32">
        <v>6397496.7000000002</v>
      </c>
      <c r="P17" s="21">
        <f t="shared" si="32"/>
        <v>81.974521070484855</v>
      </c>
      <c r="Q17" s="32">
        <v>5040931.6399999997</v>
      </c>
      <c r="R17" s="32">
        <v>5008873.68</v>
      </c>
      <c r="S17" s="21">
        <f t="shared" si="34"/>
        <v>99.36404692050138</v>
      </c>
      <c r="T17" s="32">
        <v>6595416.3499999996</v>
      </c>
      <c r="U17" s="32">
        <v>4404325.46</v>
      </c>
      <c r="V17" s="21">
        <f t="shared" si="36"/>
        <v>66.778581158109901</v>
      </c>
      <c r="W17" s="1">
        <v>11925696.800000001</v>
      </c>
      <c r="X17" s="1">
        <v>10015969.16</v>
      </c>
      <c r="Y17" s="21">
        <f t="shared" si="7"/>
        <v>83.986448154543041</v>
      </c>
      <c r="Z17" s="14">
        <f t="shared" si="8"/>
        <v>80.817952455723287</v>
      </c>
      <c r="AA17" s="14">
        <f t="shared" si="8"/>
        <v>127.41210319184722</v>
      </c>
    </row>
    <row r="18" spans="1:27" x14ac:dyDescent="0.3">
      <c r="A18" t="s">
        <v>35</v>
      </c>
      <c r="B18" s="32">
        <v>0</v>
      </c>
      <c r="C18" s="32">
        <v>0</v>
      </c>
      <c r="D18" s="21" t="str">
        <f t="shared" si="0"/>
        <v>-</v>
      </c>
      <c r="E18" s="32">
        <v>0</v>
      </c>
      <c r="F18" s="32">
        <v>0</v>
      </c>
      <c r="G18" s="21" t="str">
        <f t="shared" si="1"/>
        <v>-</v>
      </c>
      <c r="H18" s="27">
        <v>0</v>
      </c>
      <c r="I18" s="20">
        <v>0</v>
      </c>
      <c r="J18" s="21" t="str">
        <f t="shared" si="28"/>
        <v>-</v>
      </c>
      <c r="K18" s="32">
        <v>0</v>
      </c>
      <c r="L18" s="32">
        <v>0</v>
      </c>
      <c r="M18" s="21" t="str">
        <f t="shared" si="30"/>
        <v>-</v>
      </c>
      <c r="N18" s="32">
        <v>0</v>
      </c>
      <c r="O18" s="32">
        <v>0</v>
      </c>
      <c r="P18" s="21" t="str">
        <f t="shared" si="32"/>
        <v>-</v>
      </c>
      <c r="Q18" s="32">
        <v>0</v>
      </c>
      <c r="R18" s="32">
        <v>0</v>
      </c>
      <c r="S18" s="21" t="str">
        <f t="shared" si="34"/>
        <v>-</v>
      </c>
      <c r="T18" s="32">
        <v>0</v>
      </c>
      <c r="U18" s="32">
        <v>0</v>
      </c>
      <c r="V18" s="21" t="str">
        <f t="shared" si="36"/>
        <v>-</v>
      </c>
      <c r="W18" s="32">
        <v>0</v>
      </c>
      <c r="X18" s="32">
        <v>0</v>
      </c>
      <c r="Y18" s="21" t="str">
        <f t="shared" si="7"/>
        <v>-</v>
      </c>
      <c r="Z18" s="14" t="str">
        <f t="shared" si="8"/>
        <v>-</v>
      </c>
      <c r="AA18" s="14" t="str">
        <f t="shared" si="8"/>
        <v>-</v>
      </c>
    </row>
    <row r="19" spans="1:27" x14ac:dyDescent="0.3">
      <c r="A19" t="s">
        <v>36</v>
      </c>
      <c r="B19" s="32">
        <v>23429125.050000001</v>
      </c>
      <c r="C19" s="32">
        <v>22936391.52</v>
      </c>
      <c r="D19" s="21">
        <f t="shared" si="0"/>
        <v>97.896918775462339</v>
      </c>
      <c r="E19" s="32">
        <v>24038908.940000001</v>
      </c>
      <c r="F19" s="32">
        <v>23543144.300000001</v>
      </c>
      <c r="G19" s="21">
        <f t="shared" si="1"/>
        <v>97.937657481720962</v>
      </c>
      <c r="H19" s="27">
        <v>24376809.739999998</v>
      </c>
      <c r="I19" s="20">
        <v>23770441.559999999</v>
      </c>
      <c r="J19" s="21">
        <f t="shared" si="28"/>
        <v>97.512520356570661</v>
      </c>
      <c r="K19" s="32">
        <v>23962028.579999998</v>
      </c>
      <c r="L19" s="32">
        <v>23487477.82</v>
      </c>
      <c r="M19" s="21">
        <f t="shared" si="30"/>
        <v>98.019571847117803</v>
      </c>
      <c r="N19" s="32">
        <v>21628781.68</v>
      </c>
      <c r="O19" s="32">
        <v>21166068.579999998</v>
      </c>
      <c r="P19" s="21">
        <f t="shared" si="32"/>
        <v>97.860660360597791</v>
      </c>
      <c r="Q19" s="32">
        <v>22467495.68</v>
      </c>
      <c r="R19" s="32">
        <v>22463008.260000002</v>
      </c>
      <c r="S19" s="21">
        <f t="shared" si="34"/>
        <v>99.980027057470437</v>
      </c>
      <c r="T19" s="32">
        <v>23922685.52</v>
      </c>
      <c r="U19" s="32">
        <v>23911333.25</v>
      </c>
      <c r="V19" s="21">
        <f t="shared" si="36"/>
        <v>99.952546004960396</v>
      </c>
      <c r="W19" s="1">
        <v>21808314.940000001</v>
      </c>
      <c r="X19" s="1">
        <v>21762366.949999999</v>
      </c>
      <c r="Y19" s="21">
        <f t="shared" si="7"/>
        <v>99.789309764984523</v>
      </c>
      <c r="Z19" s="14">
        <f t="shared" si="8"/>
        <v>-8.8383496001413704</v>
      </c>
      <c r="AA19" s="14">
        <f t="shared" si="8"/>
        <v>-8.9872290998244608</v>
      </c>
    </row>
    <row r="20" spans="1:27" x14ac:dyDescent="0.3">
      <c r="A20" t="s">
        <v>37</v>
      </c>
      <c r="B20" s="32">
        <f t="shared" ref="B20:C20" si="38">B14+B15+B16+B17+B18+B19</f>
        <v>302608637.08000004</v>
      </c>
      <c r="C20" s="32">
        <f t="shared" si="38"/>
        <v>236692712.41000003</v>
      </c>
      <c r="D20" s="21">
        <f t="shared" si="0"/>
        <v>78.217434470459622</v>
      </c>
      <c r="E20" s="32">
        <f t="shared" ref="E20:F20" si="39">E14+E15+E16+E17+E18+E19</f>
        <v>307009497.79000002</v>
      </c>
      <c r="F20" s="32">
        <f t="shared" si="39"/>
        <v>233954329.84000003</v>
      </c>
      <c r="G20" s="21">
        <f t="shared" si="1"/>
        <v>76.204264533870855</v>
      </c>
      <c r="H20" s="27">
        <f t="shared" ref="H20:I20" si="40">H14+H15+H16+H17+H18+H19</f>
        <v>297097319.37999994</v>
      </c>
      <c r="I20" s="20">
        <f t="shared" si="40"/>
        <v>233591276.92000002</v>
      </c>
      <c r="J20" s="21">
        <f t="shared" si="28"/>
        <v>78.624498331883956</v>
      </c>
      <c r="K20" s="32">
        <f t="shared" ref="K20:L20" si="41">K14+K15+K16+K17+K18+K19</f>
        <v>308626145.30000001</v>
      </c>
      <c r="L20" s="32">
        <f t="shared" si="41"/>
        <v>239538722.96000004</v>
      </c>
      <c r="M20" s="21">
        <f t="shared" si="30"/>
        <v>77.614527028212876</v>
      </c>
      <c r="N20" s="32">
        <f t="shared" ref="N20:O20" si="42">N14+N15+N16+N17+N18+N19</f>
        <v>320094402.57000005</v>
      </c>
      <c r="O20" s="32">
        <f t="shared" si="42"/>
        <v>249902015.67000002</v>
      </c>
      <c r="P20" s="21">
        <f t="shared" si="32"/>
        <v>78.071348222138951</v>
      </c>
      <c r="Q20" s="32">
        <f t="shared" ref="Q20:R20" si="43">Q14+Q15+Q16+Q17+Q18+Q19</f>
        <v>328932073.74000001</v>
      </c>
      <c r="R20" s="32">
        <f t="shared" si="43"/>
        <v>254970103.25999999</v>
      </c>
      <c r="S20" s="21">
        <f t="shared" si="34"/>
        <v>77.514515492805884</v>
      </c>
      <c r="T20" s="32">
        <f t="shared" ref="T20:U20" si="44">T14+T15+T16+T17+T18+T19</f>
        <v>349719720.17000002</v>
      </c>
      <c r="U20" s="32">
        <f t="shared" si="44"/>
        <v>266570740.47</v>
      </c>
      <c r="V20" s="21">
        <f t="shared" si="36"/>
        <v>76.224108935126395</v>
      </c>
      <c r="W20" s="32">
        <f t="shared" ref="W20:X20" si="45">W14+W15+W16+W17+W18+W19</f>
        <v>301270293.45999998</v>
      </c>
      <c r="X20" s="32">
        <f t="shared" si="45"/>
        <v>234980344.91999999</v>
      </c>
      <c r="Y20" s="21">
        <f t="shared" si="7"/>
        <v>77.996520075484511</v>
      </c>
      <c r="Z20" s="14">
        <f t="shared" si="8"/>
        <v>-13.853787451976856</v>
      </c>
      <c r="AA20" s="14">
        <f t="shared" si="8"/>
        <v>-11.850661289495577</v>
      </c>
    </row>
    <row r="21" spans="1:27" x14ac:dyDescent="0.3">
      <c r="A21" t="s">
        <v>38</v>
      </c>
      <c r="B21" s="32">
        <f t="shared" ref="B21:C21" si="46">B20-B19</f>
        <v>279179512.03000003</v>
      </c>
      <c r="C21" s="32">
        <f t="shared" si="46"/>
        <v>213756320.89000002</v>
      </c>
      <c r="D21" s="21">
        <f t="shared" si="0"/>
        <v>76.565905332992429</v>
      </c>
      <c r="E21" s="32">
        <f t="shared" ref="E21:F21" si="47">E20-E19</f>
        <v>282970588.85000002</v>
      </c>
      <c r="F21" s="32">
        <f t="shared" si="47"/>
        <v>210411185.54000002</v>
      </c>
      <c r="G21" s="21">
        <f t="shared" si="1"/>
        <v>74.357969990844865</v>
      </c>
      <c r="H21" s="27">
        <f t="shared" ref="H21:I21" si="48">H20-H19</f>
        <v>272720509.63999993</v>
      </c>
      <c r="I21" s="20">
        <f t="shared" si="48"/>
        <v>209820835.36000001</v>
      </c>
      <c r="J21" s="21">
        <f t="shared" si="28"/>
        <v>76.936214161879661</v>
      </c>
      <c r="K21" s="32">
        <f t="shared" ref="K21:L21" si="49">K20-K19</f>
        <v>284664116.72000003</v>
      </c>
      <c r="L21" s="32">
        <f t="shared" si="49"/>
        <v>216051245.14000005</v>
      </c>
      <c r="M21" s="21">
        <f t="shared" si="30"/>
        <v>75.896901804631511</v>
      </c>
      <c r="N21" s="32">
        <f t="shared" ref="N21:O21" si="50">N20-N19</f>
        <v>298465620.89000005</v>
      </c>
      <c r="O21" s="32">
        <f t="shared" si="50"/>
        <v>228735947.09000003</v>
      </c>
      <c r="P21" s="21">
        <f t="shared" si="32"/>
        <v>76.637284524739627</v>
      </c>
      <c r="Q21" s="32">
        <f t="shared" ref="Q21:R21" si="51">Q20-Q19</f>
        <v>306464578.06</v>
      </c>
      <c r="R21" s="32">
        <f t="shared" si="51"/>
        <v>232507095</v>
      </c>
      <c r="S21" s="21">
        <f t="shared" si="34"/>
        <v>75.867526508880729</v>
      </c>
      <c r="T21" s="32">
        <f t="shared" ref="T21:U21" si="52">T20-T19</f>
        <v>325797034.65000004</v>
      </c>
      <c r="U21" s="32">
        <f t="shared" si="52"/>
        <v>242659407.22</v>
      </c>
      <c r="V21" s="21">
        <f t="shared" si="36"/>
        <v>74.481772825429843</v>
      </c>
      <c r="W21" s="32">
        <f t="shared" ref="W21:X21" si="53">W20-W19</f>
        <v>279461978.51999998</v>
      </c>
      <c r="X21" s="32">
        <f t="shared" si="53"/>
        <v>213217977.97</v>
      </c>
      <c r="Y21" s="21">
        <f t="shared" si="7"/>
        <v>76.295880784634477</v>
      </c>
      <c r="Z21" s="14">
        <f t="shared" si="8"/>
        <v>-14.22206195945806</v>
      </c>
      <c r="AA21" s="14">
        <f t="shared" si="8"/>
        <v>-12.132820065495252</v>
      </c>
    </row>
    <row r="22" spans="1:27" x14ac:dyDescent="0.3">
      <c r="B22" s="13" t="s">
        <v>75</v>
      </c>
      <c r="C22" s="13" t="s">
        <v>76</v>
      </c>
      <c r="D22" s="19"/>
      <c r="E22" s="13" t="s">
        <v>75</v>
      </c>
      <c r="F22" s="13" t="s">
        <v>76</v>
      </c>
      <c r="G22" s="19"/>
      <c r="H22" s="26" t="s">
        <v>75</v>
      </c>
      <c r="I22" s="99" t="s">
        <v>76</v>
      </c>
      <c r="J22" s="100"/>
      <c r="K22" s="13" t="s">
        <v>75</v>
      </c>
      <c r="L22" s="13" t="s">
        <v>76</v>
      </c>
      <c r="M22" s="103"/>
      <c r="N22" s="13" t="s">
        <v>75</v>
      </c>
      <c r="O22" s="13" t="s">
        <v>76</v>
      </c>
      <c r="P22" s="111"/>
      <c r="Q22" s="13" t="s">
        <v>75</v>
      </c>
      <c r="R22" s="13" t="s">
        <v>76</v>
      </c>
      <c r="S22" s="114"/>
      <c r="T22" s="13" t="s">
        <v>75</v>
      </c>
      <c r="U22" s="13" t="s">
        <v>76</v>
      </c>
      <c r="V22" s="119"/>
      <c r="W22" s="13" t="s">
        <v>75</v>
      </c>
      <c r="X22" s="13" t="s">
        <v>76</v>
      </c>
      <c r="Y22" s="19"/>
    </row>
    <row r="23" spans="1:27" x14ac:dyDescent="0.3">
      <c r="A23" s="5" t="s">
        <v>39</v>
      </c>
      <c r="B23" s="31">
        <v>45462487.990000002</v>
      </c>
      <c r="C23" s="31">
        <v>44504057.200000003</v>
      </c>
      <c r="D23" s="21">
        <f>IF(B23&gt;0,C23/B23*100,"-")</f>
        <v>97.891820636365495</v>
      </c>
      <c r="E23" s="31">
        <v>45476282.359999999</v>
      </c>
      <c r="F23" s="31">
        <v>44912251.560000002</v>
      </c>
      <c r="G23" s="21">
        <f>IF(E23&gt;0,F23/E23*100,"-")</f>
        <v>98.759725354119738</v>
      </c>
      <c r="H23" s="28">
        <v>46715699.509999998</v>
      </c>
      <c r="I23" s="22">
        <v>45860350.609999999</v>
      </c>
      <c r="J23" s="21">
        <f>IF(H23&gt;0,I23/H23*100,"-")</f>
        <v>98.169033303639381</v>
      </c>
      <c r="K23" s="31">
        <v>45674011.840000004</v>
      </c>
      <c r="L23" s="31">
        <v>45162178.270000003</v>
      </c>
      <c r="M23" s="21">
        <f>IF(K23&gt;0,L23/K23*100,"-")</f>
        <v>98.879376806677286</v>
      </c>
      <c r="N23" s="31">
        <v>43460610.420000002</v>
      </c>
      <c r="O23" s="31">
        <v>41506011.119999997</v>
      </c>
      <c r="P23" s="21">
        <f>IF(N23&gt;0,O23/N23*100,"-")</f>
        <v>95.502595842279007</v>
      </c>
      <c r="Q23" s="1">
        <v>44408452.159999996</v>
      </c>
      <c r="R23" s="1">
        <v>42546776.689999998</v>
      </c>
      <c r="S23" s="21">
        <f>IF(Q23&gt;0,R23/Q23*100,"-")</f>
        <v>95.807835266825919</v>
      </c>
      <c r="T23" s="1">
        <v>47345639.75</v>
      </c>
      <c r="U23" s="1">
        <v>44808529.32</v>
      </c>
      <c r="V23" s="21">
        <f>IF(T23&gt;0,U23/T23*100,"-")</f>
        <v>94.641300775748832</v>
      </c>
      <c r="W23" s="1">
        <v>46761898.359999999</v>
      </c>
      <c r="X23" s="1">
        <v>44905804.049999997</v>
      </c>
      <c r="Y23" s="21">
        <f>IF(W23&gt;0,X23/W23*100,"-")</f>
        <v>96.03075500547321</v>
      </c>
      <c r="Z23" s="14">
        <f t="shared" si="8"/>
        <v>-1.2329359009242324</v>
      </c>
      <c r="AA23" s="14">
        <f t="shared" si="8"/>
        <v>0.21708976276661929</v>
      </c>
    </row>
    <row r="24" spans="1:27" x14ac:dyDescent="0.3">
      <c r="A24" s="5" t="s">
        <v>40</v>
      </c>
      <c r="B24" s="31">
        <v>3305156.66</v>
      </c>
      <c r="C24" s="31">
        <v>3197717.75</v>
      </c>
      <c r="D24" s="21">
        <f t="shared" ref="D24:D55" si="54">IF(B24&gt;0,C24/B24*100,"-")</f>
        <v>96.749354991239656</v>
      </c>
      <c r="E24" s="31">
        <v>3646468.27</v>
      </c>
      <c r="F24" s="31">
        <v>3584141.1</v>
      </c>
      <c r="G24" s="21">
        <f t="shared" ref="G24:G55" si="55">IF(E24&gt;0,F24/E24*100,"-")</f>
        <v>98.290752438111852</v>
      </c>
      <c r="H24" s="28">
        <v>3425306.9</v>
      </c>
      <c r="I24" s="22">
        <v>3350997.1</v>
      </c>
      <c r="J24" s="21">
        <f t="shared" ref="J24:J55" si="56">IF(H24&gt;0,I24/H24*100,"-")</f>
        <v>97.830565196946296</v>
      </c>
      <c r="K24" s="31">
        <v>2842316.45</v>
      </c>
      <c r="L24" s="31">
        <v>2646243.4900000002</v>
      </c>
      <c r="M24" s="21">
        <f t="shared" ref="M24:M55" si="57">IF(K24&gt;0,L24/K24*100,"-")</f>
        <v>93.101649184769698</v>
      </c>
      <c r="N24" s="31">
        <v>2526370.59</v>
      </c>
      <c r="O24" s="31">
        <v>2168712.4500000002</v>
      </c>
      <c r="P24" s="21">
        <f t="shared" ref="P24:P55" si="58">IF(N24&gt;0,O24/N24*100,"-")</f>
        <v>85.843005716750369</v>
      </c>
      <c r="Q24" s="1">
        <v>2735853.64</v>
      </c>
      <c r="R24" s="1">
        <v>2294361.86</v>
      </c>
      <c r="S24" s="21">
        <f t="shared" ref="S24:S55" si="59">IF(Q24&gt;0,R24/Q24*100,"-")</f>
        <v>83.862741283192321</v>
      </c>
      <c r="T24" s="1">
        <v>2939910.92</v>
      </c>
      <c r="U24" s="1">
        <v>2504684.39</v>
      </c>
      <c r="V24" s="21">
        <f t="shared" ref="V24:V55" si="60">IF(T24&gt;0,U24/T24*100,"-")</f>
        <v>85.195927977300755</v>
      </c>
      <c r="W24" s="1">
        <v>2967747.05</v>
      </c>
      <c r="X24" s="1">
        <v>2592211.4</v>
      </c>
      <c r="Y24" s="21">
        <f t="shared" ref="Y24:Y55" si="61">IF(W24&gt;0,X24/W24*100,"-")</f>
        <v>87.346103166036343</v>
      </c>
      <c r="Z24" s="14">
        <f t="shared" si="8"/>
        <v>0.94683583133871707</v>
      </c>
      <c r="AA24" s="14">
        <f t="shared" si="8"/>
        <v>3.4945324987632347</v>
      </c>
    </row>
    <row r="25" spans="1:27" x14ac:dyDescent="0.3">
      <c r="A25" s="5" t="s">
        <v>41</v>
      </c>
      <c r="B25" s="31">
        <v>127456364.87</v>
      </c>
      <c r="C25" s="31">
        <v>98418798.450000003</v>
      </c>
      <c r="D25" s="21">
        <f t="shared" si="54"/>
        <v>77.217641151450493</v>
      </c>
      <c r="E25" s="31">
        <v>110053522.90000001</v>
      </c>
      <c r="F25" s="31">
        <v>86083070.709999993</v>
      </c>
      <c r="G25" s="21">
        <f t="shared" si="55"/>
        <v>78.219277712917261</v>
      </c>
      <c r="H25" s="28">
        <v>113590536.78</v>
      </c>
      <c r="I25" s="22">
        <v>91953667.709999993</v>
      </c>
      <c r="J25" s="21">
        <f t="shared" si="56"/>
        <v>80.951873559761509</v>
      </c>
      <c r="K25" s="31">
        <v>116771443.75</v>
      </c>
      <c r="L25" s="31">
        <v>90778130.870000005</v>
      </c>
      <c r="M25" s="21">
        <f t="shared" si="57"/>
        <v>77.74000899085398</v>
      </c>
      <c r="N25" s="31">
        <v>109713151.7</v>
      </c>
      <c r="O25" s="31">
        <v>81763491.739999995</v>
      </c>
      <c r="P25" s="21">
        <f t="shared" si="58"/>
        <v>74.524786202090297</v>
      </c>
      <c r="Q25" s="1">
        <v>123130393.26000001</v>
      </c>
      <c r="R25" s="1">
        <v>95054291.359999999</v>
      </c>
      <c r="S25" s="21">
        <f t="shared" si="59"/>
        <v>77.198073394669507</v>
      </c>
      <c r="T25" s="1">
        <v>133871570.22</v>
      </c>
      <c r="U25" s="1">
        <v>105257932.23</v>
      </c>
      <c r="V25" s="21">
        <f t="shared" si="60"/>
        <v>78.626053356229917</v>
      </c>
      <c r="W25" s="1">
        <v>97424242.75</v>
      </c>
      <c r="X25" s="1">
        <v>71585749.060000002</v>
      </c>
      <c r="Y25" s="21">
        <f t="shared" si="61"/>
        <v>73.478373595056766</v>
      </c>
      <c r="Z25" s="14">
        <f t="shared" si="8"/>
        <v>-27.225591968558888</v>
      </c>
      <c r="AA25" s="14">
        <f t="shared" si="8"/>
        <v>-31.990162125190352</v>
      </c>
    </row>
    <row r="26" spans="1:27" x14ac:dyDescent="0.3">
      <c r="A26" s="5" t="s">
        <v>42</v>
      </c>
      <c r="B26" s="31">
        <v>28637060.890000001</v>
      </c>
      <c r="C26" s="31">
        <v>23276661.329999998</v>
      </c>
      <c r="D26" s="21">
        <f t="shared" si="54"/>
        <v>81.281600159352095</v>
      </c>
      <c r="E26" s="31">
        <v>46750075.159999996</v>
      </c>
      <c r="F26" s="31">
        <v>36938706.32</v>
      </c>
      <c r="G26" s="21">
        <f t="shared" si="55"/>
        <v>79.013148521321014</v>
      </c>
      <c r="H26" s="28">
        <v>48917933.829999998</v>
      </c>
      <c r="I26" s="22">
        <v>37338327.909999996</v>
      </c>
      <c r="J26" s="21">
        <f t="shared" si="56"/>
        <v>76.328505696414851</v>
      </c>
      <c r="K26" s="31">
        <v>47068127.100000001</v>
      </c>
      <c r="L26" s="31">
        <v>38797994.380000003</v>
      </c>
      <c r="M26" s="21">
        <f t="shared" si="57"/>
        <v>82.429441684753172</v>
      </c>
      <c r="N26" s="31">
        <v>49816241.729999997</v>
      </c>
      <c r="O26" s="31">
        <v>32527881.93</v>
      </c>
      <c r="P26" s="21">
        <f t="shared" si="58"/>
        <v>65.295736491521154</v>
      </c>
      <c r="Q26" s="1">
        <v>51068694.689999998</v>
      </c>
      <c r="R26" s="1">
        <v>35685388.25</v>
      </c>
      <c r="S26" s="21">
        <f t="shared" si="59"/>
        <v>69.877228048649783</v>
      </c>
      <c r="T26" s="1">
        <v>55972917.350000001</v>
      </c>
      <c r="U26" s="1">
        <v>34837900.130000003</v>
      </c>
      <c r="V26" s="21">
        <f t="shared" si="60"/>
        <v>62.240636685341542</v>
      </c>
      <c r="W26" s="1">
        <v>60816674.509999998</v>
      </c>
      <c r="X26" s="1">
        <v>45641995.229999997</v>
      </c>
      <c r="Y26" s="21">
        <f t="shared" si="61"/>
        <v>75.048488918109371</v>
      </c>
      <c r="Z26" s="14">
        <f t="shared" si="8"/>
        <v>8.6537514736133403</v>
      </c>
      <c r="AA26" s="14">
        <f t="shared" si="8"/>
        <v>31.012475090874517</v>
      </c>
    </row>
    <row r="27" spans="1:27" x14ac:dyDescent="0.3">
      <c r="A27" s="5" t="s">
        <v>43</v>
      </c>
      <c r="B27" s="31">
        <v>1923385.18</v>
      </c>
      <c r="C27" s="31">
        <v>1079220.1499999999</v>
      </c>
      <c r="D27" s="21">
        <f t="shared" si="54"/>
        <v>56.110453653386259</v>
      </c>
      <c r="E27" s="31">
        <v>1851048.46</v>
      </c>
      <c r="F27" s="31">
        <v>1267366.56</v>
      </c>
      <c r="G27" s="21">
        <f t="shared" si="55"/>
        <v>68.467497604033554</v>
      </c>
      <c r="H27" s="28">
        <v>1864875.64</v>
      </c>
      <c r="I27" s="22">
        <v>1864875.6</v>
      </c>
      <c r="J27" s="21">
        <f t="shared" si="56"/>
        <v>99.999997855084871</v>
      </c>
      <c r="K27" s="31">
        <v>1848164.78</v>
      </c>
      <c r="L27" s="31">
        <v>1848164.78</v>
      </c>
      <c r="M27" s="21">
        <f t="shared" si="57"/>
        <v>100</v>
      </c>
      <c r="N27" s="31">
        <v>1902299.16</v>
      </c>
      <c r="O27" s="31">
        <v>1902299.16</v>
      </c>
      <c r="P27" s="21">
        <f t="shared" si="58"/>
        <v>100</v>
      </c>
      <c r="Q27" s="1">
        <v>1960559.13</v>
      </c>
      <c r="R27" s="1">
        <v>1960559.13</v>
      </c>
      <c r="S27" s="21">
        <f t="shared" si="59"/>
        <v>100</v>
      </c>
      <c r="T27" s="1">
        <v>1919027.85</v>
      </c>
      <c r="U27" s="1">
        <v>1519302.57</v>
      </c>
      <c r="V27" s="21">
        <f t="shared" si="60"/>
        <v>79.170428402068254</v>
      </c>
      <c r="W27" s="1">
        <v>2903787.64</v>
      </c>
      <c r="X27" s="1">
        <v>2903787.64</v>
      </c>
      <c r="Y27" s="21">
        <f t="shared" si="61"/>
        <v>100</v>
      </c>
      <c r="Z27" s="14">
        <f t="shared" si="8"/>
        <v>51.315554904531467</v>
      </c>
      <c r="AA27" s="14">
        <f t="shared" si="8"/>
        <v>91.12635608850448</v>
      </c>
    </row>
    <row r="28" spans="1:27" x14ac:dyDescent="0.3">
      <c r="A28" s="5" t="s">
        <v>44</v>
      </c>
      <c r="B28" s="31">
        <v>0</v>
      </c>
      <c r="C28" s="31">
        <v>0</v>
      </c>
      <c r="D28" s="21" t="str">
        <f t="shared" si="54"/>
        <v>-</v>
      </c>
      <c r="E28" s="31">
        <v>0</v>
      </c>
      <c r="F28" s="31">
        <v>0</v>
      </c>
      <c r="G28" s="21" t="str">
        <f t="shared" si="55"/>
        <v>-</v>
      </c>
      <c r="H28" s="28">
        <v>0</v>
      </c>
      <c r="I28" s="22">
        <v>0</v>
      </c>
      <c r="J28" s="21" t="str">
        <f t="shared" si="56"/>
        <v>-</v>
      </c>
      <c r="K28" s="31">
        <v>0</v>
      </c>
      <c r="L28" s="31">
        <v>0</v>
      </c>
      <c r="M28" s="21" t="str">
        <f t="shared" si="57"/>
        <v>-</v>
      </c>
      <c r="N28" s="31">
        <v>0</v>
      </c>
      <c r="O28" s="31">
        <v>0</v>
      </c>
      <c r="P28" s="21" t="str">
        <f t="shared" si="58"/>
        <v>-</v>
      </c>
      <c r="Q28" s="32">
        <v>0</v>
      </c>
      <c r="R28" s="32">
        <v>0</v>
      </c>
      <c r="S28" s="21" t="str">
        <f t="shared" si="59"/>
        <v>-</v>
      </c>
      <c r="T28" s="32">
        <v>0</v>
      </c>
      <c r="U28" s="32">
        <v>0</v>
      </c>
      <c r="V28" s="21" t="str">
        <f t="shared" si="60"/>
        <v>-</v>
      </c>
      <c r="W28" s="32">
        <v>0</v>
      </c>
      <c r="X28" s="32">
        <v>0</v>
      </c>
      <c r="Y28" s="21" t="str">
        <f t="shared" si="61"/>
        <v>-</v>
      </c>
      <c r="Z28" s="14" t="str">
        <f t="shared" si="8"/>
        <v>-</v>
      </c>
      <c r="AA28" s="14" t="str">
        <f t="shared" si="8"/>
        <v>-</v>
      </c>
    </row>
    <row r="29" spans="1:27" x14ac:dyDescent="0.3">
      <c r="A29" s="5" t="s">
        <v>45</v>
      </c>
      <c r="B29" s="31">
        <v>295369.81</v>
      </c>
      <c r="C29" s="31">
        <v>232614.08</v>
      </c>
      <c r="D29" s="21">
        <f t="shared" si="54"/>
        <v>78.753505647716665</v>
      </c>
      <c r="E29" s="31">
        <v>3328442.18</v>
      </c>
      <c r="F29" s="31">
        <v>3078509.59</v>
      </c>
      <c r="G29" s="21">
        <f t="shared" si="55"/>
        <v>92.491004004762374</v>
      </c>
      <c r="H29" s="28">
        <v>475037</v>
      </c>
      <c r="I29" s="22">
        <v>271642.13</v>
      </c>
      <c r="J29" s="21">
        <f t="shared" si="56"/>
        <v>57.183362559126969</v>
      </c>
      <c r="K29" s="31">
        <v>742042.62</v>
      </c>
      <c r="L29" s="31">
        <v>550816.01</v>
      </c>
      <c r="M29" s="21">
        <f t="shared" si="57"/>
        <v>74.229699905916462</v>
      </c>
      <c r="N29" s="31">
        <v>1576507.94</v>
      </c>
      <c r="O29" s="31">
        <v>368461.18</v>
      </c>
      <c r="P29" s="21">
        <f t="shared" si="58"/>
        <v>23.371983778273901</v>
      </c>
      <c r="Q29" s="1">
        <v>5756942.2599999998</v>
      </c>
      <c r="R29" s="1">
        <v>4844282.95</v>
      </c>
      <c r="S29" s="21">
        <f t="shared" si="59"/>
        <v>84.146804522580027</v>
      </c>
      <c r="T29" s="1">
        <v>771095.51</v>
      </c>
      <c r="U29" s="1">
        <v>230544.23</v>
      </c>
      <c r="V29" s="21">
        <f t="shared" si="60"/>
        <v>29.898271616184097</v>
      </c>
      <c r="W29" s="1">
        <v>1718329.66</v>
      </c>
      <c r="X29" s="1">
        <v>389499</v>
      </c>
      <c r="Y29" s="21">
        <f t="shared" si="61"/>
        <v>22.667303548726501</v>
      </c>
      <c r="Z29" s="14">
        <f t="shared" si="8"/>
        <v>122.84264889572495</v>
      </c>
      <c r="AA29" s="14">
        <f t="shared" si="8"/>
        <v>68.947624497043336</v>
      </c>
    </row>
    <row r="30" spans="1:27" x14ac:dyDescent="0.3">
      <c r="A30" s="5" t="s">
        <v>46</v>
      </c>
      <c r="B30" s="31">
        <v>2770663.88</v>
      </c>
      <c r="C30" s="31">
        <v>1431278.55</v>
      </c>
      <c r="D30" s="21">
        <f t="shared" si="54"/>
        <v>51.658324935466368</v>
      </c>
      <c r="E30" s="31">
        <v>4181475.05</v>
      </c>
      <c r="F30" s="31">
        <v>3753761.19</v>
      </c>
      <c r="G30" s="21">
        <f t="shared" si="55"/>
        <v>89.771220564857856</v>
      </c>
      <c r="H30" s="28">
        <v>1632881.65</v>
      </c>
      <c r="I30" s="22">
        <v>1470942.01</v>
      </c>
      <c r="J30" s="21">
        <f t="shared" si="56"/>
        <v>90.082585593389467</v>
      </c>
      <c r="K30" s="31">
        <v>1341262.32</v>
      </c>
      <c r="L30" s="31">
        <v>1341262.32</v>
      </c>
      <c r="M30" s="21">
        <f t="shared" si="57"/>
        <v>100</v>
      </c>
      <c r="N30" s="31">
        <v>2766966.36</v>
      </c>
      <c r="O30" s="31">
        <v>2526912.13</v>
      </c>
      <c r="P30" s="21">
        <f t="shared" si="58"/>
        <v>91.324280863320652</v>
      </c>
      <c r="Q30" s="1">
        <v>1018037.43</v>
      </c>
      <c r="R30" s="1">
        <v>1002451.18</v>
      </c>
      <c r="S30" s="21">
        <f t="shared" si="59"/>
        <v>98.468990477098657</v>
      </c>
      <c r="T30" s="1">
        <v>1318084.73</v>
      </c>
      <c r="U30" s="1">
        <v>1148456.6399999999</v>
      </c>
      <c r="V30" s="21">
        <f t="shared" si="60"/>
        <v>87.130714275098228</v>
      </c>
      <c r="W30" s="1">
        <v>2869999.94</v>
      </c>
      <c r="X30" s="1">
        <v>2850395.95</v>
      </c>
      <c r="Y30" s="21">
        <f t="shared" si="61"/>
        <v>99.316934132061348</v>
      </c>
      <c r="Z30" s="14">
        <f t="shared" si="8"/>
        <v>117.74017061862176</v>
      </c>
      <c r="AA30" s="14">
        <f t="shared" si="8"/>
        <v>148.19360616000273</v>
      </c>
    </row>
    <row r="31" spans="1:27" x14ac:dyDescent="0.3">
      <c r="A31" s="5" t="s">
        <v>47</v>
      </c>
      <c r="B31" s="32">
        <v>0</v>
      </c>
      <c r="C31" s="32">
        <v>0</v>
      </c>
      <c r="D31" s="21" t="str">
        <f t="shared" si="54"/>
        <v>-</v>
      </c>
      <c r="E31" s="32">
        <v>0</v>
      </c>
      <c r="F31" s="32">
        <v>0</v>
      </c>
      <c r="G31" s="21" t="str">
        <f t="shared" si="55"/>
        <v>-</v>
      </c>
      <c r="H31" s="27">
        <v>0</v>
      </c>
      <c r="I31" s="20">
        <v>0</v>
      </c>
      <c r="J31" s="21" t="str">
        <f t="shared" si="56"/>
        <v>-</v>
      </c>
      <c r="K31" s="32">
        <v>0</v>
      </c>
      <c r="L31" s="32">
        <v>0</v>
      </c>
      <c r="M31" s="21" t="str">
        <f t="shared" si="57"/>
        <v>-</v>
      </c>
      <c r="N31" s="32">
        <v>0</v>
      </c>
      <c r="O31" s="32">
        <v>0</v>
      </c>
      <c r="P31" s="21" t="str">
        <f t="shared" si="58"/>
        <v>-</v>
      </c>
      <c r="Q31" s="32">
        <v>0</v>
      </c>
      <c r="R31" s="32">
        <v>0</v>
      </c>
      <c r="S31" s="21" t="str">
        <f t="shared" si="59"/>
        <v>-</v>
      </c>
      <c r="T31" s="32">
        <v>0</v>
      </c>
      <c r="U31" s="32">
        <v>0</v>
      </c>
      <c r="V31" s="21" t="str">
        <f t="shared" si="60"/>
        <v>-</v>
      </c>
      <c r="W31" s="32">
        <v>0</v>
      </c>
      <c r="X31" s="32">
        <v>0</v>
      </c>
      <c r="Y31" s="21" t="str">
        <f t="shared" si="61"/>
        <v>-</v>
      </c>
      <c r="Z31" s="14" t="str">
        <f t="shared" si="8"/>
        <v>-</v>
      </c>
      <c r="AA31" s="14" t="str">
        <f t="shared" si="8"/>
        <v>-</v>
      </c>
    </row>
    <row r="32" spans="1:27" x14ac:dyDescent="0.3">
      <c r="A32" s="5" t="s">
        <v>48</v>
      </c>
      <c r="B32" s="31">
        <v>30229027.66</v>
      </c>
      <c r="C32" s="31">
        <v>12131681.15</v>
      </c>
      <c r="D32" s="21">
        <f t="shared" si="54"/>
        <v>40.132554994658406</v>
      </c>
      <c r="E32" s="31">
        <v>18632734.23</v>
      </c>
      <c r="F32" s="31">
        <v>11718425.119999999</v>
      </c>
      <c r="G32" s="21">
        <f t="shared" si="55"/>
        <v>62.891602356097145</v>
      </c>
      <c r="H32" s="28">
        <v>23982917.629999999</v>
      </c>
      <c r="I32" s="22">
        <v>10893410.75</v>
      </c>
      <c r="J32" s="21">
        <f t="shared" si="56"/>
        <v>45.421540940346382</v>
      </c>
      <c r="K32" s="31">
        <v>35373093.619999997</v>
      </c>
      <c r="L32" s="31">
        <v>22847530.010000002</v>
      </c>
      <c r="M32" s="21">
        <f t="shared" si="57"/>
        <v>64.590138073425322</v>
      </c>
      <c r="N32" s="31">
        <v>23143459.190000001</v>
      </c>
      <c r="O32" s="31">
        <v>12505291.289999999</v>
      </c>
      <c r="P32" s="21">
        <f t="shared" si="58"/>
        <v>54.033803621730748</v>
      </c>
      <c r="Q32" s="1">
        <v>22121714.620000001</v>
      </c>
      <c r="R32" s="1">
        <v>16942860.719999999</v>
      </c>
      <c r="S32" s="21">
        <f t="shared" si="59"/>
        <v>76.589274434822258</v>
      </c>
      <c r="T32" s="1">
        <v>38003512.630000003</v>
      </c>
      <c r="U32" s="1">
        <v>18451481.289999999</v>
      </c>
      <c r="V32" s="21">
        <f t="shared" si="60"/>
        <v>48.552041674785571</v>
      </c>
      <c r="W32" s="1">
        <v>30640678.969999999</v>
      </c>
      <c r="X32" s="1">
        <v>19294616.710000001</v>
      </c>
      <c r="Y32" s="21">
        <f t="shared" si="61"/>
        <v>62.970591248618149</v>
      </c>
      <c r="Z32" s="14">
        <f t="shared" si="8"/>
        <v>-19.374087157900703</v>
      </c>
      <c r="AA32" s="14">
        <f t="shared" si="8"/>
        <v>4.5694728068090171</v>
      </c>
    </row>
    <row r="33" spans="1:27" x14ac:dyDescent="0.3">
      <c r="A33" s="5" t="s">
        <v>49</v>
      </c>
      <c r="B33" s="31">
        <v>7585996.4299999997</v>
      </c>
      <c r="C33" s="31">
        <v>7159796.8700000001</v>
      </c>
      <c r="D33" s="21">
        <f t="shared" si="54"/>
        <v>94.381759022262031</v>
      </c>
      <c r="E33" s="31">
        <v>9637933</v>
      </c>
      <c r="F33" s="31">
        <v>8089033.8600000003</v>
      </c>
      <c r="G33" s="21">
        <f t="shared" si="55"/>
        <v>83.92913563520311</v>
      </c>
      <c r="H33" s="28">
        <v>4217432.6100000003</v>
      </c>
      <c r="I33" s="22">
        <v>3085765.22</v>
      </c>
      <c r="J33" s="21">
        <f t="shared" si="56"/>
        <v>73.166912322044183</v>
      </c>
      <c r="K33" s="31">
        <v>1950529.53</v>
      </c>
      <c r="L33" s="31">
        <v>615441.32999999996</v>
      </c>
      <c r="M33" s="21">
        <f t="shared" si="57"/>
        <v>31.552525636461393</v>
      </c>
      <c r="N33" s="31">
        <v>548206.52</v>
      </c>
      <c r="O33" s="31">
        <v>35914.980000000003</v>
      </c>
      <c r="P33" s="21">
        <f t="shared" si="58"/>
        <v>6.5513595131995146</v>
      </c>
      <c r="Q33" s="1">
        <v>4164455.92</v>
      </c>
      <c r="R33" s="1">
        <v>404386.71</v>
      </c>
      <c r="S33" s="21">
        <f t="shared" si="59"/>
        <v>9.7104331938756605</v>
      </c>
      <c r="T33" s="1">
        <v>3827858.64</v>
      </c>
      <c r="U33" s="1">
        <v>89442.77</v>
      </c>
      <c r="V33" s="21">
        <f t="shared" si="60"/>
        <v>2.336626777837334</v>
      </c>
      <c r="W33" s="1">
        <v>7323423.4900000002</v>
      </c>
      <c r="X33" s="1">
        <v>2438058.87</v>
      </c>
      <c r="Y33" s="21">
        <f t="shared" si="61"/>
        <v>33.291245185112189</v>
      </c>
      <c r="Z33" s="14">
        <f t="shared" si="8"/>
        <v>91.31906840739552</v>
      </c>
      <c r="AA33" s="14">
        <f t="shared" si="8"/>
        <v>2625.8311320188318</v>
      </c>
    </row>
    <row r="34" spans="1:27" x14ac:dyDescent="0.3">
      <c r="A34" s="5" t="s">
        <v>50</v>
      </c>
      <c r="B34" s="31">
        <v>0</v>
      </c>
      <c r="C34" s="31">
        <v>0</v>
      </c>
      <c r="D34" s="21" t="str">
        <f t="shared" si="54"/>
        <v>-</v>
      </c>
      <c r="E34" s="31">
        <v>0</v>
      </c>
      <c r="F34" s="31">
        <v>0</v>
      </c>
      <c r="G34" s="21" t="str">
        <f t="shared" si="55"/>
        <v>-</v>
      </c>
      <c r="H34" s="28">
        <v>0</v>
      </c>
      <c r="I34" s="22">
        <v>0</v>
      </c>
      <c r="J34" s="21" t="str">
        <f t="shared" si="56"/>
        <v>-</v>
      </c>
      <c r="K34" s="31">
        <v>0</v>
      </c>
      <c r="L34" s="31">
        <v>0</v>
      </c>
      <c r="M34" s="21" t="str">
        <f t="shared" si="57"/>
        <v>-</v>
      </c>
      <c r="N34" s="31">
        <v>5588363</v>
      </c>
      <c r="O34" s="31">
        <v>5544135</v>
      </c>
      <c r="P34" s="21">
        <f t="shared" si="58"/>
        <v>99.208569665213233</v>
      </c>
      <c r="Q34" s="32">
        <v>0</v>
      </c>
      <c r="R34" s="32">
        <v>0</v>
      </c>
      <c r="S34" s="21" t="str">
        <f t="shared" si="59"/>
        <v>-</v>
      </c>
      <c r="T34" s="32">
        <v>0</v>
      </c>
      <c r="U34" s="32">
        <v>0</v>
      </c>
      <c r="V34" s="21" t="str">
        <f t="shared" si="60"/>
        <v>-</v>
      </c>
      <c r="W34" s="32">
        <v>0</v>
      </c>
      <c r="X34" s="32">
        <v>0</v>
      </c>
      <c r="Y34" s="21" t="str">
        <f t="shared" si="61"/>
        <v>-</v>
      </c>
      <c r="Z34" s="14" t="str">
        <f t="shared" si="8"/>
        <v>-</v>
      </c>
      <c r="AA34" s="14" t="str">
        <f t="shared" si="8"/>
        <v>-</v>
      </c>
    </row>
    <row r="35" spans="1:27" x14ac:dyDescent="0.3">
      <c r="A35" s="5" t="s">
        <v>51</v>
      </c>
      <c r="B35" s="31">
        <v>1077409.95</v>
      </c>
      <c r="C35" s="31">
        <v>1077409.95</v>
      </c>
      <c r="D35" s="21">
        <f t="shared" si="54"/>
        <v>100</v>
      </c>
      <c r="E35" s="31">
        <v>4605583.88</v>
      </c>
      <c r="F35" s="31">
        <v>680340.21</v>
      </c>
      <c r="G35" s="21">
        <f t="shared" si="55"/>
        <v>14.772072938556487</v>
      </c>
      <c r="H35" s="28">
        <v>700180.28</v>
      </c>
      <c r="I35" s="22">
        <v>242526.04</v>
      </c>
      <c r="J35" s="21">
        <f t="shared" si="56"/>
        <v>34.637656461847229</v>
      </c>
      <c r="K35" s="31">
        <v>171704.64</v>
      </c>
      <c r="L35" s="31">
        <v>110955.02</v>
      </c>
      <c r="M35" s="21">
        <f t="shared" si="57"/>
        <v>64.619698104838633</v>
      </c>
      <c r="N35" s="31">
        <v>398190.05</v>
      </c>
      <c r="O35" s="31">
        <v>209866.23</v>
      </c>
      <c r="P35" s="21">
        <f t="shared" si="58"/>
        <v>52.705041223405757</v>
      </c>
      <c r="Q35" s="1">
        <v>1424561.71</v>
      </c>
      <c r="R35" s="1">
        <v>211895.51</v>
      </c>
      <c r="S35" s="21">
        <f t="shared" si="59"/>
        <v>14.874435309650433</v>
      </c>
      <c r="T35" s="1">
        <v>177638.12</v>
      </c>
      <c r="U35" s="1">
        <v>51314.25</v>
      </c>
      <c r="V35" s="21">
        <f t="shared" si="60"/>
        <v>28.88695849742161</v>
      </c>
      <c r="W35" s="1">
        <v>377494.46</v>
      </c>
      <c r="X35" s="1">
        <v>231297.22</v>
      </c>
      <c r="Y35" s="21">
        <f t="shared" si="61"/>
        <v>61.27168594739112</v>
      </c>
      <c r="Z35" s="14">
        <f t="shared" si="8"/>
        <v>112.50757438774968</v>
      </c>
      <c r="AA35" s="14">
        <f t="shared" si="8"/>
        <v>350.74656649955909</v>
      </c>
    </row>
    <row r="36" spans="1:27" x14ac:dyDescent="0.3">
      <c r="A36" s="5" t="s">
        <v>52</v>
      </c>
      <c r="B36" s="31">
        <v>0</v>
      </c>
      <c r="C36" s="31">
        <v>0</v>
      </c>
      <c r="D36" s="21" t="str">
        <f t="shared" si="54"/>
        <v>-</v>
      </c>
      <c r="E36" s="31">
        <v>0</v>
      </c>
      <c r="F36" s="31">
        <v>0</v>
      </c>
      <c r="G36" s="21" t="str">
        <f t="shared" si="55"/>
        <v>-</v>
      </c>
      <c r="H36" s="28">
        <v>6170864.1200000001</v>
      </c>
      <c r="I36" s="22">
        <v>6170864.1200000001</v>
      </c>
      <c r="J36" s="21">
        <f t="shared" si="56"/>
        <v>100</v>
      </c>
      <c r="K36" s="31">
        <v>4350000</v>
      </c>
      <c r="L36" s="31">
        <v>2500000</v>
      </c>
      <c r="M36" s="21">
        <f t="shared" si="57"/>
        <v>57.47126436781609</v>
      </c>
      <c r="N36" s="31">
        <v>3600000</v>
      </c>
      <c r="O36" s="31">
        <v>1500000</v>
      </c>
      <c r="P36" s="21">
        <f t="shared" si="58"/>
        <v>41.666666666666671</v>
      </c>
      <c r="Q36" s="1">
        <v>4003648.48</v>
      </c>
      <c r="R36" s="32">
        <v>0</v>
      </c>
      <c r="S36" s="21">
        <f t="shared" si="59"/>
        <v>0</v>
      </c>
      <c r="T36" s="1">
        <v>3200000</v>
      </c>
      <c r="U36" s="32">
        <v>0</v>
      </c>
      <c r="V36" s="21">
        <f t="shared" si="60"/>
        <v>0</v>
      </c>
      <c r="W36" s="1">
        <v>3235499.15</v>
      </c>
      <c r="X36" s="1">
        <v>3116030.35</v>
      </c>
      <c r="Y36" s="21">
        <f t="shared" si="61"/>
        <v>96.307562003222912</v>
      </c>
      <c r="Z36" s="14">
        <f t="shared" si="8"/>
        <v>1.1093484374999889</v>
      </c>
      <c r="AA36" s="14" t="str">
        <f t="shared" si="8"/>
        <v>-</v>
      </c>
    </row>
    <row r="37" spans="1:27" x14ac:dyDescent="0.3">
      <c r="A37" s="5" t="s">
        <v>263</v>
      </c>
      <c r="B37" s="31">
        <v>0</v>
      </c>
      <c r="C37" s="31">
        <v>0</v>
      </c>
      <c r="D37" s="21" t="str">
        <f t="shared" si="54"/>
        <v>-</v>
      </c>
      <c r="E37" s="31">
        <v>0</v>
      </c>
      <c r="F37" s="31">
        <v>0</v>
      </c>
      <c r="G37" s="21" t="str">
        <f t="shared" si="55"/>
        <v>-</v>
      </c>
      <c r="H37" s="28">
        <v>0</v>
      </c>
      <c r="I37" s="22">
        <v>0</v>
      </c>
      <c r="J37" s="21" t="str">
        <f t="shared" si="56"/>
        <v>-</v>
      </c>
      <c r="K37" s="31">
        <v>0</v>
      </c>
      <c r="L37" s="31">
        <v>0</v>
      </c>
      <c r="M37" s="21" t="str">
        <f t="shared" si="57"/>
        <v>-</v>
      </c>
      <c r="N37" s="31">
        <v>0</v>
      </c>
      <c r="O37" s="31">
        <v>0</v>
      </c>
      <c r="P37" s="21" t="str">
        <f t="shared" si="58"/>
        <v>-</v>
      </c>
      <c r="Q37" s="32">
        <v>0</v>
      </c>
      <c r="R37" s="32">
        <v>0</v>
      </c>
      <c r="S37" s="21" t="str">
        <f t="shared" si="59"/>
        <v>-</v>
      </c>
      <c r="T37" s="32">
        <v>0</v>
      </c>
      <c r="U37" s="32">
        <v>0</v>
      </c>
      <c r="V37" s="21" t="str">
        <f t="shared" si="60"/>
        <v>-</v>
      </c>
      <c r="W37" s="32">
        <v>0</v>
      </c>
      <c r="X37" s="32">
        <v>0</v>
      </c>
      <c r="Y37" s="21" t="str">
        <f t="shared" si="61"/>
        <v>-</v>
      </c>
      <c r="Z37" s="14" t="str">
        <f t="shared" si="8"/>
        <v>-</v>
      </c>
      <c r="AA37" s="14" t="str">
        <f t="shared" si="8"/>
        <v>-</v>
      </c>
    </row>
    <row r="38" spans="1:27" x14ac:dyDescent="0.3">
      <c r="A38" s="5" t="s">
        <v>53</v>
      </c>
      <c r="B38" s="31">
        <v>0</v>
      </c>
      <c r="C38" s="31">
        <v>0</v>
      </c>
      <c r="D38" s="21" t="str">
        <f t="shared" si="54"/>
        <v>-</v>
      </c>
      <c r="E38" s="31">
        <v>0</v>
      </c>
      <c r="F38" s="31">
        <v>0</v>
      </c>
      <c r="G38" s="21" t="str">
        <f t="shared" si="55"/>
        <v>-</v>
      </c>
      <c r="H38" s="28">
        <v>0</v>
      </c>
      <c r="I38" s="22">
        <v>0</v>
      </c>
      <c r="J38" s="21" t="str">
        <f t="shared" si="56"/>
        <v>-</v>
      </c>
      <c r="K38" s="31">
        <v>0</v>
      </c>
      <c r="L38" s="31">
        <v>0</v>
      </c>
      <c r="M38" s="21" t="str">
        <f t="shared" si="57"/>
        <v>-</v>
      </c>
      <c r="N38" s="31">
        <v>0</v>
      </c>
      <c r="O38" s="31">
        <v>0</v>
      </c>
      <c r="P38" s="21" t="str">
        <f t="shared" si="58"/>
        <v>-</v>
      </c>
      <c r="Q38" s="32">
        <v>0</v>
      </c>
      <c r="R38" s="32">
        <v>0</v>
      </c>
      <c r="S38" s="21" t="str">
        <f t="shared" si="59"/>
        <v>-</v>
      </c>
      <c r="T38" s="32">
        <v>0</v>
      </c>
      <c r="U38" s="32">
        <v>0</v>
      </c>
      <c r="V38" s="21" t="str">
        <f t="shared" si="60"/>
        <v>-</v>
      </c>
      <c r="W38" s="32">
        <v>0</v>
      </c>
      <c r="X38" s="32">
        <v>0</v>
      </c>
      <c r="Y38" s="21" t="str">
        <f t="shared" si="61"/>
        <v>-</v>
      </c>
      <c r="Z38" s="14" t="str">
        <f t="shared" si="8"/>
        <v>-</v>
      </c>
      <c r="AA38" s="14" t="str">
        <f t="shared" si="8"/>
        <v>-</v>
      </c>
    </row>
    <row r="39" spans="1:27" x14ac:dyDescent="0.3">
      <c r="A39" s="5" t="s">
        <v>54</v>
      </c>
      <c r="B39" s="31">
        <v>4890000</v>
      </c>
      <c r="C39" s="31">
        <v>4890000</v>
      </c>
      <c r="D39" s="21">
        <f t="shared" si="54"/>
        <v>100</v>
      </c>
      <c r="E39" s="31">
        <v>7328958.6100000003</v>
      </c>
      <c r="F39" s="31">
        <v>7328958.6100000003</v>
      </c>
      <c r="G39" s="21">
        <f t="shared" si="55"/>
        <v>100</v>
      </c>
      <c r="H39" s="28">
        <v>3622887.4</v>
      </c>
      <c r="I39" s="22">
        <v>3622887.4</v>
      </c>
      <c r="J39" s="21">
        <f t="shared" si="56"/>
        <v>100</v>
      </c>
      <c r="K39" s="31">
        <v>4757928.34</v>
      </c>
      <c r="L39" s="31">
        <v>0</v>
      </c>
      <c r="M39" s="21">
        <f t="shared" si="57"/>
        <v>0</v>
      </c>
      <c r="N39" s="31">
        <v>5210000</v>
      </c>
      <c r="O39" s="31">
        <v>5210000</v>
      </c>
      <c r="P39" s="21">
        <f t="shared" si="58"/>
        <v>100</v>
      </c>
      <c r="Q39" s="1">
        <v>3810000</v>
      </c>
      <c r="R39" s="1">
        <v>3810000</v>
      </c>
      <c r="S39" s="21">
        <f t="shared" si="59"/>
        <v>100</v>
      </c>
      <c r="T39" s="1">
        <v>3560000</v>
      </c>
      <c r="U39" s="1">
        <v>3560000</v>
      </c>
      <c r="V39" s="21">
        <f t="shared" si="60"/>
        <v>100</v>
      </c>
      <c r="W39" s="1">
        <v>4100000</v>
      </c>
      <c r="X39" s="1">
        <v>4100000</v>
      </c>
      <c r="Y39" s="21">
        <f t="shared" si="61"/>
        <v>100</v>
      </c>
      <c r="Z39" s="14">
        <f t="shared" si="8"/>
        <v>15.168539325842701</v>
      </c>
      <c r="AA39" s="14">
        <f t="shared" si="8"/>
        <v>15.168539325842701</v>
      </c>
    </row>
    <row r="40" spans="1:27" x14ac:dyDescent="0.3">
      <c r="A40" s="5" t="s">
        <v>55</v>
      </c>
      <c r="B40" s="31">
        <v>8361615.0499999998</v>
      </c>
      <c r="C40" s="31">
        <v>0</v>
      </c>
      <c r="D40" s="21">
        <f t="shared" si="54"/>
        <v>0</v>
      </c>
      <c r="E40" s="31">
        <v>8460251.5099999998</v>
      </c>
      <c r="F40" s="31">
        <v>0</v>
      </c>
      <c r="G40" s="21">
        <f t="shared" si="55"/>
        <v>0</v>
      </c>
      <c r="H40" s="28">
        <v>8562968.9900000002</v>
      </c>
      <c r="I40" s="22">
        <v>8562968.9900000002</v>
      </c>
      <c r="J40" s="21">
        <f t="shared" si="56"/>
        <v>100</v>
      </c>
      <c r="K40" s="31">
        <v>8669783.8200000003</v>
      </c>
      <c r="L40" s="31">
        <v>8669783.8200000003</v>
      </c>
      <c r="M40" s="21">
        <f t="shared" si="57"/>
        <v>100</v>
      </c>
      <c r="N40" s="31">
        <v>8780722.3000000007</v>
      </c>
      <c r="O40" s="31">
        <v>8780722.3000000007</v>
      </c>
      <c r="P40" s="21">
        <f t="shared" si="58"/>
        <v>100</v>
      </c>
      <c r="Q40" s="31">
        <v>8896320.0999999996</v>
      </c>
      <c r="R40" s="31">
        <v>8896320.0999999996</v>
      </c>
      <c r="S40" s="21">
        <f t="shared" si="59"/>
        <v>100</v>
      </c>
      <c r="T40" s="1">
        <v>9016302.0899999999</v>
      </c>
      <c r="U40" s="31">
        <v>0</v>
      </c>
      <c r="V40" s="21">
        <f t="shared" si="60"/>
        <v>0</v>
      </c>
      <c r="W40" s="1">
        <v>9014060.3900000006</v>
      </c>
      <c r="X40" s="1">
        <v>9014060.3900000006</v>
      </c>
      <c r="Y40" s="21">
        <f t="shared" si="61"/>
        <v>100</v>
      </c>
      <c r="Z40" s="14">
        <f t="shared" si="8"/>
        <v>-2.4862742814320882E-2</v>
      </c>
      <c r="AA40" s="14" t="str">
        <f t="shared" si="8"/>
        <v>-</v>
      </c>
    </row>
    <row r="41" spans="1:27" x14ac:dyDescent="0.3">
      <c r="A41" s="5" t="s">
        <v>56</v>
      </c>
      <c r="B41" s="31">
        <v>0</v>
      </c>
      <c r="C41" s="31">
        <v>0</v>
      </c>
      <c r="D41" s="21" t="str">
        <f t="shared" si="54"/>
        <v>-</v>
      </c>
      <c r="E41" s="31">
        <v>0</v>
      </c>
      <c r="F41" s="31">
        <v>0</v>
      </c>
      <c r="G41" s="21" t="str">
        <f t="shared" si="55"/>
        <v>-</v>
      </c>
      <c r="H41" s="28">
        <v>0</v>
      </c>
      <c r="I41" s="22">
        <v>0</v>
      </c>
      <c r="J41" s="21" t="str">
        <f t="shared" si="56"/>
        <v>-</v>
      </c>
      <c r="K41" s="31">
        <v>0</v>
      </c>
      <c r="L41" s="31">
        <v>0</v>
      </c>
      <c r="M41" s="21" t="str">
        <f t="shared" si="57"/>
        <v>-</v>
      </c>
      <c r="N41" s="31">
        <v>581176.22</v>
      </c>
      <c r="O41" s="31">
        <v>0</v>
      </c>
      <c r="P41" s="21">
        <f t="shared" si="58"/>
        <v>0</v>
      </c>
      <c r="Q41" s="31">
        <v>0</v>
      </c>
      <c r="R41" s="31">
        <v>0</v>
      </c>
      <c r="S41" s="21" t="str">
        <f t="shared" si="59"/>
        <v>-</v>
      </c>
      <c r="T41" s="31">
        <v>0</v>
      </c>
      <c r="U41" s="31">
        <v>0</v>
      </c>
      <c r="V41" s="21" t="str">
        <f t="shared" si="60"/>
        <v>-</v>
      </c>
      <c r="W41" s="1">
        <v>117581.92</v>
      </c>
      <c r="X41" s="1">
        <v>117581.92</v>
      </c>
      <c r="Y41" s="21">
        <f t="shared" si="61"/>
        <v>100</v>
      </c>
      <c r="Z41" s="14" t="str">
        <f t="shared" si="8"/>
        <v>-</v>
      </c>
      <c r="AA41" s="14" t="str">
        <f t="shared" si="8"/>
        <v>-</v>
      </c>
    </row>
    <row r="42" spans="1:27" x14ac:dyDescent="0.3">
      <c r="A42" s="5" t="s">
        <v>57</v>
      </c>
      <c r="B42" s="31">
        <v>3720570.78</v>
      </c>
      <c r="C42" s="31">
        <v>0</v>
      </c>
      <c r="D42" s="21">
        <f t="shared" si="54"/>
        <v>0</v>
      </c>
      <c r="E42" s="31">
        <v>2105334.2599999998</v>
      </c>
      <c r="F42" s="31">
        <v>0</v>
      </c>
      <c r="G42" s="21">
        <f t="shared" si="55"/>
        <v>0</v>
      </c>
      <c r="H42" s="28">
        <v>2210846.02</v>
      </c>
      <c r="I42" s="22">
        <v>2210846.02</v>
      </c>
      <c r="J42" s="21">
        <f t="shared" si="56"/>
        <v>100</v>
      </c>
      <c r="K42" s="31">
        <v>1641834.37</v>
      </c>
      <c r="L42" s="31">
        <v>1641834.37</v>
      </c>
      <c r="M42" s="21">
        <f t="shared" si="57"/>
        <v>100</v>
      </c>
      <c r="N42" s="31">
        <v>194672.57</v>
      </c>
      <c r="O42" s="31">
        <v>194672.57</v>
      </c>
      <c r="P42" s="21">
        <f t="shared" si="58"/>
        <v>100</v>
      </c>
      <c r="Q42" s="31">
        <v>1779386.34</v>
      </c>
      <c r="R42" s="31">
        <v>1779386.34</v>
      </c>
      <c r="S42" s="21">
        <f t="shared" si="59"/>
        <v>100</v>
      </c>
      <c r="T42" s="1">
        <v>2174236.9700000002</v>
      </c>
      <c r="U42" s="31">
        <v>0</v>
      </c>
      <c r="V42" s="21">
        <f t="shared" si="60"/>
        <v>0</v>
      </c>
      <c r="W42" s="1">
        <v>2418232.63</v>
      </c>
      <c r="X42" s="1">
        <v>2418232.63</v>
      </c>
      <c r="Y42" s="21">
        <f t="shared" si="61"/>
        <v>100</v>
      </c>
      <c r="Z42" s="14">
        <f t="shared" si="8"/>
        <v>11.222128193321979</v>
      </c>
      <c r="AA42" s="14" t="str">
        <f t="shared" si="8"/>
        <v>-</v>
      </c>
    </row>
    <row r="43" spans="1:27" x14ac:dyDescent="0.3">
      <c r="A43" s="5" t="s">
        <v>58</v>
      </c>
      <c r="B43" s="31">
        <v>0</v>
      </c>
      <c r="C43" s="31">
        <v>0</v>
      </c>
      <c r="D43" s="21" t="str">
        <f t="shared" si="54"/>
        <v>-</v>
      </c>
      <c r="E43" s="31">
        <v>0</v>
      </c>
      <c r="F43" s="31">
        <v>0</v>
      </c>
      <c r="G43" s="21" t="str">
        <f t="shared" si="55"/>
        <v>-</v>
      </c>
      <c r="H43" s="28">
        <v>0</v>
      </c>
      <c r="I43" s="22">
        <v>0</v>
      </c>
      <c r="J43" s="21" t="str">
        <f t="shared" si="56"/>
        <v>-</v>
      </c>
      <c r="K43" s="31">
        <v>0</v>
      </c>
      <c r="L43" s="31">
        <v>0</v>
      </c>
      <c r="M43" s="21" t="str">
        <f t="shared" si="57"/>
        <v>-</v>
      </c>
      <c r="N43" s="31">
        <v>0</v>
      </c>
      <c r="O43" s="31">
        <v>0</v>
      </c>
      <c r="P43" s="21" t="str">
        <f t="shared" si="58"/>
        <v>-</v>
      </c>
      <c r="Q43" s="31">
        <v>0</v>
      </c>
      <c r="R43" s="31">
        <v>0</v>
      </c>
      <c r="S43" s="21" t="str">
        <f t="shared" si="59"/>
        <v>-</v>
      </c>
      <c r="T43" s="31">
        <v>0</v>
      </c>
      <c r="U43" s="31">
        <v>0</v>
      </c>
      <c r="V43" s="21" t="str">
        <f t="shared" si="60"/>
        <v>-</v>
      </c>
      <c r="W43" s="31">
        <v>0</v>
      </c>
      <c r="X43" s="31">
        <v>0</v>
      </c>
      <c r="Y43" s="21" t="str">
        <f t="shared" si="61"/>
        <v>-</v>
      </c>
      <c r="Z43" s="14" t="str">
        <f t="shared" si="8"/>
        <v>-</v>
      </c>
      <c r="AA43" s="14" t="str">
        <f t="shared" si="8"/>
        <v>-</v>
      </c>
    </row>
    <row r="44" spans="1:27" x14ac:dyDescent="0.3">
      <c r="A44" s="5" t="s">
        <v>59</v>
      </c>
      <c r="B44" s="31">
        <v>0</v>
      </c>
      <c r="C44" s="31">
        <v>0</v>
      </c>
      <c r="D44" s="21" t="str">
        <f t="shared" si="54"/>
        <v>-</v>
      </c>
      <c r="E44" s="31">
        <v>0</v>
      </c>
      <c r="F44" s="31">
        <v>0</v>
      </c>
      <c r="G44" s="21" t="str">
        <f t="shared" si="55"/>
        <v>-</v>
      </c>
      <c r="H44" s="28">
        <v>0</v>
      </c>
      <c r="I44" s="22">
        <v>0</v>
      </c>
      <c r="J44" s="21" t="str">
        <f t="shared" si="56"/>
        <v>-</v>
      </c>
      <c r="K44" s="31">
        <v>0</v>
      </c>
      <c r="L44" s="31">
        <v>0</v>
      </c>
      <c r="M44" s="21" t="str">
        <f t="shared" si="57"/>
        <v>-</v>
      </c>
      <c r="N44" s="31">
        <v>0</v>
      </c>
      <c r="O44" s="31">
        <v>0</v>
      </c>
      <c r="P44" s="21" t="str">
        <f t="shared" si="58"/>
        <v>-</v>
      </c>
      <c r="Q44" s="31">
        <v>0</v>
      </c>
      <c r="R44" s="31">
        <v>0</v>
      </c>
      <c r="S44" s="21" t="str">
        <f t="shared" si="59"/>
        <v>-</v>
      </c>
      <c r="T44" s="31">
        <v>0</v>
      </c>
      <c r="U44" s="31">
        <v>0</v>
      </c>
      <c r="V44" s="21" t="str">
        <f t="shared" si="60"/>
        <v>-</v>
      </c>
      <c r="W44" s="31">
        <v>0</v>
      </c>
      <c r="X44" s="31">
        <v>0</v>
      </c>
      <c r="Y44" s="21" t="str">
        <f t="shared" si="61"/>
        <v>-</v>
      </c>
      <c r="Z44" s="14" t="str">
        <f t="shared" si="8"/>
        <v>-</v>
      </c>
      <c r="AA44" s="14" t="str">
        <f t="shared" si="8"/>
        <v>-</v>
      </c>
    </row>
    <row r="45" spans="1:27" x14ac:dyDescent="0.3">
      <c r="A45" s="5" t="s">
        <v>60</v>
      </c>
      <c r="B45" s="31">
        <v>0</v>
      </c>
      <c r="C45" s="31">
        <v>0</v>
      </c>
      <c r="D45" s="21" t="str">
        <f t="shared" si="54"/>
        <v>-</v>
      </c>
      <c r="E45" s="31">
        <v>0</v>
      </c>
      <c r="F45" s="31">
        <v>0</v>
      </c>
      <c r="G45" s="21" t="str">
        <f t="shared" si="55"/>
        <v>-</v>
      </c>
      <c r="H45" s="28">
        <v>0</v>
      </c>
      <c r="I45" s="22">
        <v>0</v>
      </c>
      <c r="J45" s="21" t="str">
        <f t="shared" si="56"/>
        <v>-</v>
      </c>
      <c r="K45" s="31">
        <v>0</v>
      </c>
      <c r="L45" s="31">
        <v>0</v>
      </c>
      <c r="M45" s="21" t="str">
        <f t="shared" si="57"/>
        <v>-</v>
      </c>
      <c r="N45" s="31">
        <v>0</v>
      </c>
      <c r="O45" s="31">
        <v>0</v>
      </c>
      <c r="P45" s="21" t="str">
        <f t="shared" si="58"/>
        <v>-</v>
      </c>
      <c r="Q45" s="31">
        <v>0</v>
      </c>
      <c r="R45" s="31">
        <v>0</v>
      </c>
      <c r="S45" s="21" t="str">
        <f t="shared" si="59"/>
        <v>-</v>
      </c>
      <c r="T45" s="31">
        <v>0</v>
      </c>
      <c r="U45" s="31">
        <v>0</v>
      </c>
      <c r="V45" s="21" t="str">
        <f t="shared" si="60"/>
        <v>-</v>
      </c>
      <c r="W45" s="31">
        <v>0</v>
      </c>
      <c r="X45" s="31">
        <v>0</v>
      </c>
      <c r="Y45" s="21" t="str">
        <f t="shared" si="61"/>
        <v>-</v>
      </c>
      <c r="Z45" s="14" t="str">
        <f t="shared" si="8"/>
        <v>-</v>
      </c>
      <c r="AA45" s="14" t="str">
        <f t="shared" si="8"/>
        <v>-</v>
      </c>
    </row>
    <row r="46" spans="1:27" x14ac:dyDescent="0.3">
      <c r="A46" s="5" t="s">
        <v>61</v>
      </c>
      <c r="B46" s="31">
        <v>21017916.579999998</v>
      </c>
      <c r="C46" s="31">
        <v>0</v>
      </c>
      <c r="D46" s="21">
        <f t="shared" si="54"/>
        <v>0</v>
      </c>
      <c r="E46" s="31">
        <v>21262046.289999999</v>
      </c>
      <c r="F46" s="31">
        <v>0</v>
      </c>
      <c r="G46" s="21">
        <f t="shared" si="55"/>
        <v>0</v>
      </c>
      <c r="H46" s="28">
        <v>22104160.969999999</v>
      </c>
      <c r="I46" s="22">
        <v>0</v>
      </c>
      <c r="J46" s="21">
        <f t="shared" si="56"/>
        <v>0</v>
      </c>
      <c r="K46" s="31">
        <v>21587637.550000001</v>
      </c>
      <c r="L46" s="31">
        <v>0</v>
      </c>
      <c r="M46" s="21">
        <f t="shared" si="57"/>
        <v>0</v>
      </c>
      <c r="N46" s="31">
        <v>20983025.359999999</v>
      </c>
      <c r="O46" s="31">
        <v>0</v>
      </c>
      <c r="P46" s="21">
        <f t="shared" si="58"/>
        <v>0</v>
      </c>
      <c r="Q46" s="31">
        <v>22313823.899999999</v>
      </c>
      <c r="R46" s="31">
        <v>0</v>
      </c>
      <c r="S46" s="21">
        <f t="shared" si="59"/>
        <v>0</v>
      </c>
      <c r="T46" s="1">
        <v>23597670.879999999</v>
      </c>
      <c r="U46" s="31">
        <v>0</v>
      </c>
      <c r="V46" s="21">
        <f t="shared" si="60"/>
        <v>0</v>
      </c>
      <c r="W46" s="1">
        <v>21382628.879999999</v>
      </c>
      <c r="X46" s="31">
        <v>0</v>
      </c>
      <c r="Y46" s="21">
        <f t="shared" si="61"/>
        <v>0</v>
      </c>
      <c r="Z46" s="14">
        <f t="shared" si="8"/>
        <v>-9.3866975739429392</v>
      </c>
      <c r="AA46" s="14" t="str">
        <f t="shared" si="8"/>
        <v>-</v>
      </c>
    </row>
    <row r="47" spans="1:27" x14ac:dyDescent="0.3">
      <c r="A47" s="5" t="s">
        <v>62</v>
      </c>
      <c r="B47" s="31">
        <v>2411208.4700000002</v>
      </c>
      <c r="C47" s="31">
        <v>0</v>
      </c>
      <c r="D47" s="21">
        <f t="shared" si="54"/>
        <v>0</v>
      </c>
      <c r="E47" s="31">
        <v>2776862.65</v>
      </c>
      <c r="F47" s="31">
        <v>0</v>
      </c>
      <c r="G47" s="21">
        <f t="shared" si="55"/>
        <v>0</v>
      </c>
      <c r="H47" s="28">
        <v>2272648.77</v>
      </c>
      <c r="I47" s="22">
        <v>0</v>
      </c>
      <c r="J47" s="21">
        <f t="shared" si="56"/>
        <v>0</v>
      </c>
      <c r="K47" s="31">
        <v>2374391.0299999998</v>
      </c>
      <c r="L47" s="31">
        <v>0</v>
      </c>
      <c r="M47" s="21">
        <f t="shared" si="57"/>
        <v>0</v>
      </c>
      <c r="N47" s="31">
        <v>645756.31999999995</v>
      </c>
      <c r="O47" s="31">
        <v>0</v>
      </c>
      <c r="P47" s="21">
        <f t="shared" si="58"/>
        <v>0</v>
      </c>
      <c r="Q47" s="31">
        <v>153671.78</v>
      </c>
      <c r="R47" s="31">
        <v>0</v>
      </c>
      <c r="S47" s="21">
        <f t="shared" si="59"/>
        <v>0</v>
      </c>
      <c r="T47" s="1">
        <v>325014.64</v>
      </c>
      <c r="U47" s="31">
        <v>0</v>
      </c>
      <c r="V47" s="21">
        <f t="shared" si="60"/>
        <v>0</v>
      </c>
      <c r="W47" s="1">
        <v>425686.06</v>
      </c>
      <c r="X47" s="31">
        <v>0</v>
      </c>
      <c r="Y47" s="21">
        <f t="shared" si="61"/>
        <v>0</v>
      </c>
      <c r="Z47" s="14">
        <f t="shared" si="8"/>
        <v>30.974426259690944</v>
      </c>
      <c r="AA47" s="14" t="str">
        <f t="shared" si="8"/>
        <v>-</v>
      </c>
    </row>
    <row r="48" spans="1:27" x14ac:dyDescent="0.3">
      <c r="A48" s="5" t="s">
        <v>63</v>
      </c>
      <c r="B48" s="31">
        <f t="shared" ref="B48:C48" si="62">SUM(B23:B30)</f>
        <v>209850489.28000003</v>
      </c>
      <c r="C48" s="31">
        <f t="shared" si="62"/>
        <v>172140347.51000005</v>
      </c>
      <c r="D48" s="21">
        <f t="shared" si="54"/>
        <v>82.029995784434902</v>
      </c>
      <c r="E48" s="31">
        <f t="shared" ref="E48:F48" si="63">SUM(E23:E30)</f>
        <v>215287314.38000003</v>
      </c>
      <c r="F48" s="31">
        <f t="shared" si="63"/>
        <v>179617807.03</v>
      </c>
      <c r="G48" s="21">
        <f t="shared" si="55"/>
        <v>83.431672482550283</v>
      </c>
      <c r="H48" s="28">
        <f t="shared" ref="H48:I48" si="64">SUM(H23:H30)</f>
        <v>216622271.30999997</v>
      </c>
      <c r="I48" s="22">
        <f t="shared" si="64"/>
        <v>182110803.06999996</v>
      </c>
      <c r="J48" s="21">
        <f t="shared" si="56"/>
        <v>84.068365624967555</v>
      </c>
      <c r="K48" s="31">
        <f t="shared" ref="K48:L48" si="65">SUM(K23:K30)</f>
        <v>216287368.86000001</v>
      </c>
      <c r="L48" s="31">
        <f t="shared" si="65"/>
        <v>181124790.11999997</v>
      </c>
      <c r="M48" s="21">
        <f t="shared" si="57"/>
        <v>83.74265731497232</v>
      </c>
      <c r="N48" s="31">
        <f t="shared" ref="N48:O48" si="66">SUM(N23:N30)</f>
        <v>211762147.90000001</v>
      </c>
      <c r="O48" s="31">
        <f t="shared" si="66"/>
        <v>162763769.71000001</v>
      </c>
      <c r="P48" s="21">
        <f t="shared" si="58"/>
        <v>76.861597468713626</v>
      </c>
      <c r="Q48" s="31">
        <f t="shared" ref="Q48:R48" si="67">SUM(Q23:Q30)</f>
        <v>230078932.56999999</v>
      </c>
      <c r="R48" s="31">
        <f t="shared" si="67"/>
        <v>183388111.41999999</v>
      </c>
      <c r="S48" s="21">
        <f t="shared" si="59"/>
        <v>79.706607367975934</v>
      </c>
      <c r="T48" s="31">
        <f t="shared" ref="T48:U48" si="68">SUM(T23:T30)</f>
        <v>244138246.32999995</v>
      </c>
      <c r="U48" s="31">
        <f t="shared" si="68"/>
        <v>190307349.50999996</v>
      </c>
      <c r="V48" s="21">
        <f t="shared" si="60"/>
        <v>77.95064983499671</v>
      </c>
      <c r="W48" s="31">
        <f t="shared" ref="W48:X48" si="69">SUM(W23:W30)</f>
        <v>215462679.90999997</v>
      </c>
      <c r="X48" s="31">
        <f t="shared" si="69"/>
        <v>170869442.32999995</v>
      </c>
      <c r="Y48" s="21">
        <f t="shared" si="61"/>
        <v>79.303498128480129</v>
      </c>
      <c r="Z48" s="14">
        <f t="shared" si="8"/>
        <v>-11.745626443650053</v>
      </c>
      <c r="AA48" s="14">
        <f t="shared" si="8"/>
        <v>-10.213955073226757</v>
      </c>
    </row>
    <row r="49" spans="1:27" x14ac:dyDescent="0.3">
      <c r="A49" s="5" t="s">
        <v>64</v>
      </c>
      <c r="B49" s="31">
        <f t="shared" ref="B49:C49" si="70">SUM(B31:B35)</f>
        <v>38892434.040000007</v>
      </c>
      <c r="C49" s="31">
        <f t="shared" si="70"/>
        <v>20368887.969999999</v>
      </c>
      <c r="D49" s="21">
        <f t="shared" si="54"/>
        <v>52.372366175516426</v>
      </c>
      <c r="E49" s="31">
        <f t="shared" ref="E49:F49" si="71">SUM(E31:E35)</f>
        <v>32876251.109999999</v>
      </c>
      <c r="F49" s="31">
        <f t="shared" si="71"/>
        <v>20487799.190000001</v>
      </c>
      <c r="G49" s="21">
        <f t="shared" si="55"/>
        <v>62.31793011146641</v>
      </c>
      <c r="H49" s="28">
        <f t="shared" ref="H49:I49" si="72">SUM(H31:H35)</f>
        <v>28900530.52</v>
      </c>
      <c r="I49" s="22">
        <f t="shared" si="72"/>
        <v>14221702.01</v>
      </c>
      <c r="J49" s="21">
        <f t="shared" si="56"/>
        <v>49.209138220345721</v>
      </c>
      <c r="K49" s="31">
        <f t="shared" ref="K49:L49" si="73">SUM(K31:K35)</f>
        <v>37495327.789999999</v>
      </c>
      <c r="L49" s="31">
        <f t="shared" si="73"/>
        <v>23573926.359999999</v>
      </c>
      <c r="M49" s="21">
        <f t="shared" si="57"/>
        <v>62.871636946422861</v>
      </c>
      <c r="N49" s="31">
        <f t="shared" ref="N49:O49" si="74">SUM(N31:N35)</f>
        <v>29678218.760000002</v>
      </c>
      <c r="O49" s="31">
        <f t="shared" si="74"/>
        <v>18295207.5</v>
      </c>
      <c r="P49" s="21">
        <f t="shared" si="58"/>
        <v>61.645234331442069</v>
      </c>
      <c r="Q49" s="31">
        <f t="shared" ref="Q49:R49" si="75">SUM(Q31:Q35)</f>
        <v>27710732.25</v>
      </c>
      <c r="R49" s="31">
        <f t="shared" si="75"/>
        <v>17559142.940000001</v>
      </c>
      <c r="S49" s="21">
        <f t="shared" si="59"/>
        <v>63.365856887451976</v>
      </c>
      <c r="T49" s="31">
        <f t="shared" ref="T49:U49" si="76">SUM(T31:T35)</f>
        <v>42009009.390000001</v>
      </c>
      <c r="U49" s="31">
        <f t="shared" si="76"/>
        <v>18592238.309999999</v>
      </c>
      <c r="V49" s="21">
        <f t="shared" si="60"/>
        <v>44.257740375153368</v>
      </c>
      <c r="W49" s="31">
        <f t="shared" ref="W49:X49" si="77">SUM(W31:W35)</f>
        <v>38341596.920000002</v>
      </c>
      <c r="X49" s="31">
        <f t="shared" si="77"/>
        <v>21963972.800000001</v>
      </c>
      <c r="Y49" s="21">
        <f t="shared" si="61"/>
        <v>57.28497132195087</v>
      </c>
      <c r="Z49" s="14">
        <f t="shared" si="8"/>
        <v>-8.7300617730657706</v>
      </c>
      <c r="AA49" s="14">
        <f t="shared" si="8"/>
        <v>18.13517250468162</v>
      </c>
    </row>
    <row r="50" spans="1:27" x14ac:dyDescent="0.3">
      <c r="A50" s="5" t="s">
        <v>65</v>
      </c>
      <c r="B50" s="31">
        <f t="shared" ref="B50:C50" si="78">SUM(B36:B39)</f>
        <v>4890000</v>
      </c>
      <c r="C50" s="31">
        <f t="shared" si="78"/>
        <v>4890000</v>
      </c>
      <c r="D50" s="21">
        <f t="shared" si="54"/>
        <v>100</v>
      </c>
      <c r="E50" s="31">
        <f t="shared" ref="E50:F50" si="79">SUM(E36:E39)</f>
        <v>7328958.6100000003</v>
      </c>
      <c r="F50" s="31">
        <f t="shared" si="79"/>
        <v>7328958.6100000003</v>
      </c>
      <c r="G50" s="21">
        <f t="shared" si="55"/>
        <v>100</v>
      </c>
      <c r="H50" s="28">
        <f t="shared" ref="H50:I50" si="80">SUM(H36:H39)</f>
        <v>9793751.5199999996</v>
      </c>
      <c r="I50" s="22">
        <f t="shared" si="80"/>
        <v>9793751.5199999996</v>
      </c>
      <c r="J50" s="21">
        <f t="shared" si="56"/>
        <v>100</v>
      </c>
      <c r="K50" s="31">
        <f t="shared" ref="K50:L50" si="81">SUM(K36:K39)</f>
        <v>9107928.3399999999</v>
      </c>
      <c r="L50" s="31">
        <f t="shared" si="81"/>
        <v>2500000</v>
      </c>
      <c r="M50" s="21">
        <f t="shared" si="57"/>
        <v>27.448612974045421</v>
      </c>
      <c r="N50" s="31">
        <f t="shared" ref="N50:O50" si="82">SUM(N36:N39)</f>
        <v>8810000</v>
      </c>
      <c r="O50" s="31">
        <f t="shared" si="82"/>
        <v>6710000</v>
      </c>
      <c r="P50" s="21">
        <f t="shared" si="58"/>
        <v>76.163450624290576</v>
      </c>
      <c r="Q50" s="31">
        <f t="shared" ref="Q50:R50" si="83">SUM(Q36:Q39)</f>
        <v>7813648.4800000004</v>
      </c>
      <c r="R50" s="31">
        <f t="shared" si="83"/>
        <v>3810000</v>
      </c>
      <c r="S50" s="21">
        <f t="shared" si="59"/>
        <v>48.760831892452885</v>
      </c>
      <c r="T50" s="31">
        <f t="shared" ref="T50:U50" si="84">SUM(T36:T39)</f>
        <v>6760000</v>
      </c>
      <c r="U50" s="31">
        <f t="shared" si="84"/>
        <v>3560000</v>
      </c>
      <c r="V50" s="21">
        <f t="shared" si="60"/>
        <v>52.662721893491124</v>
      </c>
      <c r="W50" s="31">
        <f t="shared" ref="W50:X50" si="85">SUM(W36:W39)</f>
        <v>7335499.1500000004</v>
      </c>
      <c r="X50" s="31">
        <f t="shared" si="85"/>
        <v>7216030.3499999996</v>
      </c>
      <c r="Y50" s="21">
        <f t="shared" si="61"/>
        <v>98.371361000021381</v>
      </c>
      <c r="Z50" s="14">
        <f t="shared" si="8"/>
        <v>8.5133010355029626</v>
      </c>
      <c r="AA50" s="14">
        <f t="shared" si="8"/>
        <v>102.69748174157303</v>
      </c>
    </row>
    <row r="51" spans="1:27" x14ac:dyDescent="0.3">
      <c r="A51" s="5" t="s">
        <v>66</v>
      </c>
      <c r="B51" s="31">
        <f t="shared" ref="B51" si="86">SUM(B40:B44)</f>
        <v>12082185.83</v>
      </c>
      <c r="C51" s="33">
        <v>7809708.25</v>
      </c>
      <c r="D51" s="21">
        <f t="shared" si="54"/>
        <v>64.638206694425591</v>
      </c>
      <c r="E51" s="31">
        <f t="shared" ref="E51" si="87">SUM(E40:E44)</f>
        <v>10565585.77</v>
      </c>
      <c r="F51" s="33">
        <v>6858952.8799999999</v>
      </c>
      <c r="G51" s="21">
        <f t="shared" si="55"/>
        <v>64.917866640914127</v>
      </c>
      <c r="H51" s="28">
        <f t="shared" ref="H51:I51" si="88">SUM(H40:H44)</f>
        <v>10773815.01</v>
      </c>
      <c r="I51" s="22">
        <f t="shared" si="88"/>
        <v>10773815.01</v>
      </c>
      <c r="J51" s="21">
        <f t="shared" si="56"/>
        <v>100</v>
      </c>
      <c r="K51" s="31">
        <f t="shared" ref="K51:L51" si="89">SUM(K40:K44)</f>
        <v>10311618.190000001</v>
      </c>
      <c r="L51" s="31">
        <f t="shared" si="89"/>
        <v>10311618.190000001</v>
      </c>
      <c r="M51" s="21">
        <f t="shared" si="57"/>
        <v>100</v>
      </c>
      <c r="N51" s="31">
        <f t="shared" ref="N51:O51" si="90">SUM(N40:N44)</f>
        <v>9556571.0900000017</v>
      </c>
      <c r="O51" s="31">
        <f t="shared" si="90"/>
        <v>8975394.870000001</v>
      </c>
      <c r="P51" s="21">
        <f t="shared" si="58"/>
        <v>93.91856959440041</v>
      </c>
      <c r="Q51" s="31">
        <f t="shared" ref="Q51:R51" si="91">SUM(Q40:Q44)</f>
        <v>10675706.439999999</v>
      </c>
      <c r="R51" s="31">
        <f t="shared" si="91"/>
        <v>10675706.439999999</v>
      </c>
      <c r="S51" s="21">
        <f t="shared" si="59"/>
        <v>100</v>
      </c>
      <c r="T51" s="31">
        <f t="shared" ref="T51" si="92">SUM(T40:T44)</f>
        <v>11190539.060000001</v>
      </c>
      <c r="U51" s="33">
        <v>7203196.1200000001</v>
      </c>
      <c r="V51" s="21">
        <f t="shared" si="60"/>
        <v>64.368624973102953</v>
      </c>
      <c r="W51" s="31">
        <f t="shared" ref="W51:X51" si="93">SUM(W40:W44)</f>
        <v>11549874.940000001</v>
      </c>
      <c r="X51" s="31">
        <f t="shared" si="93"/>
        <v>11549874.940000001</v>
      </c>
      <c r="Y51" s="21">
        <f t="shared" si="61"/>
        <v>100</v>
      </c>
      <c r="Z51" s="14">
        <f t="shared" si="8"/>
        <v>3.2110685470410232</v>
      </c>
      <c r="AA51" s="14">
        <f t="shared" si="8"/>
        <v>60.34375223980436</v>
      </c>
    </row>
    <row r="52" spans="1:27" x14ac:dyDescent="0.3">
      <c r="A52" s="5" t="s">
        <v>67</v>
      </c>
      <c r="B52" s="31">
        <f t="shared" ref="B52:C52" si="94">B45</f>
        <v>0</v>
      </c>
      <c r="C52" s="41">
        <f t="shared" si="94"/>
        <v>0</v>
      </c>
      <c r="D52" s="21" t="str">
        <f t="shared" si="54"/>
        <v>-</v>
      </c>
      <c r="E52" s="31">
        <f t="shared" ref="E52:F52" si="95">E45</f>
        <v>0</v>
      </c>
      <c r="F52" s="41">
        <f t="shared" si="95"/>
        <v>0</v>
      </c>
      <c r="G52" s="21" t="str">
        <f t="shared" si="55"/>
        <v>-</v>
      </c>
      <c r="H52" s="28">
        <f t="shared" ref="H52:I52" si="96">H45</f>
        <v>0</v>
      </c>
      <c r="I52" s="22">
        <f t="shared" si="96"/>
        <v>0</v>
      </c>
      <c r="J52" s="21" t="str">
        <f t="shared" si="56"/>
        <v>-</v>
      </c>
      <c r="K52" s="31">
        <f t="shared" ref="K52:L52" si="97">K45</f>
        <v>0</v>
      </c>
      <c r="L52" s="41">
        <f t="shared" si="97"/>
        <v>0</v>
      </c>
      <c r="M52" s="21" t="str">
        <f t="shared" si="57"/>
        <v>-</v>
      </c>
      <c r="N52" s="31">
        <f t="shared" ref="N52:O52" si="98">N45</f>
        <v>0</v>
      </c>
      <c r="O52" s="41">
        <f t="shared" si="98"/>
        <v>0</v>
      </c>
      <c r="P52" s="21" t="str">
        <f t="shared" si="58"/>
        <v>-</v>
      </c>
      <c r="Q52" s="31">
        <f t="shared" ref="Q52:R52" si="99">Q45</f>
        <v>0</v>
      </c>
      <c r="R52" s="41">
        <f t="shared" si="99"/>
        <v>0</v>
      </c>
      <c r="S52" s="21" t="str">
        <f t="shared" si="59"/>
        <v>-</v>
      </c>
      <c r="T52" s="31">
        <f t="shared" ref="T52:U52" si="100">T45</f>
        <v>0</v>
      </c>
      <c r="U52" s="41">
        <f t="shared" si="100"/>
        <v>0</v>
      </c>
      <c r="V52" s="21" t="str">
        <f t="shared" si="60"/>
        <v>-</v>
      </c>
      <c r="W52" s="31">
        <f t="shared" ref="W52:X52" si="101">W45</f>
        <v>0</v>
      </c>
      <c r="X52" s="41">
        <f t="shared" si="101"/>
        <v>0</v>
      </c>
      <c r="Y52" s="21" t="str">
        <f t="shared" si="61"/>
        <v>-</v>
      </c>
      <c r="Z52" s="14" t="str">
        <f t="shared" si="8"/>
        <v>-</v>
      </c>
      <c r="AA52" s="14" t="str">
        <f t="shared" si="8"/>
        <v>-</v>
      </c>
    </row>
    <row r="53" spans="1:27" x14ac:dyDescent="0.3">
      <c r="A53" s="5" t="s">
        <v>68</v>
      </c>
      <c r="B53" s="31">
        <f>SUM(B46:B47)</f>
        <v>23429125.049999997</v>
      </c>
      <c r="C53" s="33">
        <v>19654723.870000001</v>
      </c>
      <c r="D53" s="21">
        <f t="shared" si="54"/>
        <v>83.890131740109524</v>
      </c>
      <c r="E53" s="31">
        <f>SUM(E46:E47)</f>
        <v>24038908.939999998</v>
      </c>
      <c r="F53" s="33">
        <v>21709616.760000002</v>
      </c>
      <c r="G53" s="21">
        <f t="shared" si="55"/>
        <v>90.310324874503252</v>
      </c>
      <c r="H53" s="28">
        <f>SUM(H46:H47)</f>
        <v>24376809.739999998</v>
      </c>
      <c r="I53" s="23">
        <v>21531804.379999999</v>
      </c>
      <c r="J53" s="21">
        <f t="shared" si="56"/>
        <v>88.32904965684817</v>
      </c>
      <c r="K53" s="31">
        <f>SUM(K46:K47)</f>
        <v>23962028.580000002</v>
      </c>
      <c r="L53" s="33">
        <v>21145060.199999999</v>
      </c>
      <c r="M53" s="21">
        <f t="shared" si="57"/>
        <v>88.244032133609934</v>
      </c>
      <c r="N53" s="31">
        <f>SUM(N46:N47)</f>
        <v>21628781.68</v>
      </c>
      <c r="O53" s="33">
        <v>18597081.210000001</v>
      </c>
      <c r="P53" s="21">
        <f t="shared" si="58"/>
        <v>85.983027084676749</v>
      </c>
      <c r="Q53" s="31">
        <f>SUM(Q46:Q47)</f>
        <v>22467495.68</v>
      </c>
      <c r="R53" s="33">
        <v>19935163.300000001</v>
      </c>
      <c r="S53" s="21">
        <f t="shared" si="59"/>
        <v>88.728906790202615</v>
      </c>
      <c r="T53" s="31">
        <f>SUM(T46:T47)</f>
        <v>23922685.52</v>
      </c>
      <c r="U53" s="33">
        <v>20736049.940000001</v>
      </c>
      <c r="V53" s="21">
        <f t="shared" si="60"/>
        <v>86.679440410919227</v>
      </c>
      <c r="W53" s="31">
        <f>SUM(W46:W47)</f>
        <v>21808314.939999998</v>
      </c>
      <c r="X53" s="33">
        <v>19397198.09</v>
      </c>
      <c r="Y53" s="21">
        <f t="shared" si="61"/>
        <v>88.944047916432012</v>
      </c>
      <c r="Z53" s="14">
        <f t="shared" si="8"/>
        <v>-8.8383496001413988</v>
      </c>
      <c r="AA53" s="14">
        <f t="shared" si="8"/>
        <v>-6.4566388192253754</v>
      </c>
    </row>
    <row r="54" spans="1:27" x14ac:dyDescent="0.3">
      <c r="A54" s="5" t="s">
        <v>69</v>
      </c>
      <c r="B54" s="20">
        <f t="shared" ref="B54:C54" si="102">SUM(B48:B53)</f>
        <v>289144234.20000005</v>
      </c>
      <c r="C54" s="20">
        <f t="shared" si="102"/>
        <v>224863667.60000005</v>
      </c>
      <c r="D54" s="21">
        <f t="shared" si="54"/>
        <v>77.768684622797167</v>
      </c>
      <c r="E54" s="27">
        <f t="shared" ref="E54:F54" si="103">SUM(E48:E53)</f>
        <v>290097018.81000006</v>
      </c>
      <c r="F54" s="20">
        <f t="shared" si="103"/>
        <v>236003134.47</v>
      </c>
      <c r="G54" s="21">
        <f t="shared" si="55"/>
        <v>81.353174685525104</v>
      </c>
      <c r="H54" s="27">
        <f t="shared" ref="H54:I54" si="104">SUM(H48:H53)</f>
        <v>290467178.09999996</v>
      </c>
      <c r="I54" s="20">
        <f t="shared" si="104"/>
        <v>238431875.98999995</v>
      </c>
      <c r="J54" s="21">
        <f t="shared" si="56"/>
        <v>82.085651655938335</v>
      </c>
      <c r="K54" s="27">
        <f t="shared" ref="K54:L54" si="105">SUM(K48:K53)</f>
        <v>297164271.75999999</v>
      </c>
      <c r="L54" s="20">
        <f t="shared" si="105"/>
        <v>238655394.86999995</v>
      </c>
      <c r="M54" s="21">
        <f t="shared" si="57"/>
        <v>80.310931545211531</v>
      </c>
      <c r="N54" s="27">
        <f t="shared" ref="N54:O54" si="106">SUM(N48:N53)</f>
        <v>281435719.43000001</v>
      </c>
      <c r="O54" s="20">
        <f t="shared" si="106"/>
        <v>215341453.29000002</v>
      </c>
      <c r="P54" s="21">
        <f t="shared" si="58"/>
        <v>76.515324254553533</v>
      </c>
      <c r="Q54" s="27">
        <f t="shared" ref="Q54:R54" si="107">SUM(Q48:Q53)</f>
        <v>298746515.42000002</v>
      </c>
      <c r="R54" s="20">
        <f t="shared" si="107"/>
        <v>235368124.09999999</v>
      </c>
      <c r="S54" s="21">
        <f t="shared" si="59"/>
        <v>78.785228262529529</v>
      </c>
      <c r="T54" s="27">
        <f t="shared" ref="T54:U54" si="108">SUM(T48:T53)</f>
        <v>328020480.29999995</v>
      </c>
      <c r="U54" s="20">
        <f t="shared" si="108"/>
        <v>240398833.87999997</v>
      </c>
      <c r="V54" s="21">
        <f t="shared" si="60"/>
        <v>73.287751319715383</v>
      </c>
      <c r="W54" s="32">
        <f t="shared" ref="W54:X54" si="109">SUM(W48:W53)</f>
        <v>294497965.86000001</v>
      </c>
      <c r="X54" s="32">
        <f t="shared" si="109"/>
        <v>230996518.50999996</v>
      </c>
      <c r="Y54" s="21">
        <f t="shared" si="61"/>
        <v>78.437390165136932</v>
      </c>
      <c r="Z54" s="14">
        <f t="shared" si="8"/>
        <v>-10.219640678942071</v>
      </c>
      <c r="AA54" s="14">
        <f t="shared" si="8"/>
        <v>-3.9111318546134726</v>
      </c>
    </row>
    <row r="55" spans="1:27" x14ac:dyDescent="0.3">
      <c r="A55" s="15" t="s">
        <v>70</v>
      </c>
      <c r="B55" s="16">
        <f t="shared" ref="B55:F55" si="110">B54-B53</f>
        <v>265715109.15000004</v>
      </c>
      <c r="C55" s="16">
        <f t="shared" si="110"/>
        <v>205208943.73000005</v>
      </c>
      <c r="D55" s="24">
        <f t="shared" si="54"/>
        <v>77.228933042778763</v>
      </c>
      <c r="E55" s="29">
        <f t="shared" si="110"/>
        <v>266058109.87000006</v>
      </c>
      <c r="F55" s="16">
        <f t="shared" si="110"/>
        <v>214293517.71000001</v>
      </c>
      <c r="G55" s="24">
        <f t="shared" si="55"/>
        <v>80.543877356231306</v>
      </c>
      <c r="H55" s="29">
        <f t="shared" ref="H55:I55" si="111">H54-H53</f>
        <v>266090368.35999995</v>
      </c>
      <c r="I55" s="16">
        <f t="shared" si="111"/>
        <v>216900071.60999995</v>
      </c>
      <c r="J55" s="24">
        <f t="shared" si="56"/>
        <v>81.513687604261847</v>
      </c>
      <c r="K55" s="29">
        <f t="shared" ref="K55:L55" si="112">K54-K53</f>
        <v>273202243.18000001</v>
      </c>
      <c r="L55" s="16">
        <f t="shared" si="112"/>
        <v>217510334.66999996</v>
      </c>
      <c r="M55" s="24">
        <f t="shared" si="57"/>
        <v>79.615134977750785</v>
      </c>
      <c r="N55" s="29">
        <f t="shared" ref="N55:O55" si="113">N54-N53</f>
        <v>259806937.75</v>
      </c>
      <c r="O55" s="16">
        <f t="shared" si="113"/>
        <v>196744372.08000001</v>
      </c>
      <c r="P55" s="24">
        <f t="shared" si="58"/>
        <v>75.727143310282912</v>
      </c>
      <c r="Q55" s="29">
        <f t="shared" ref="Q55:R55" si="114">Q54-Q53</f>
        <v>276279019.74000001</v>
      </c>
      <c r="R55" s="16">
        <f t="shared" si="114"/>
        <v>215432960.79999998</v>
      </c>
      <c r="S55" s="24">
        <f t="shared" si="59"/>
        <v>77.976590840208971</v>
      </c>
      <c r="T55" s="29">
        <f t="shared" ref="T55:U55" si="115">T54-T53</f>
        <v>304097794.77999997</v>
      </c>
      <c r="U55" s="16">
        <f t="shared" si="115"/>
        <v>219662783.93999997</v>
      </c>
      <c r="V55" s="24">
        <f t="shared" si="60"/>
        <v>72.234257436465583</v>
      </c>
      <c r="W55" s="32">
        <f t="shared" ref="W55:X55" si="116">W54-W53</f>
        <v>272689650.92000002</v>
      </c>
      <c r="X55" s="32">
        <f t="shared" si="116"/>
        <v>211599320.41999996</v>
      </c>
      <c r="Y55" s="24">
        <f t="shared" si="61"/>
        <v>77.597121748517566</v>
      </c>
      <c r="Z55" s="17">
        <f t="shared" si="8"/>
        <v>-10.328303723057985</v>
      </c>
      <c r="AA55" s="17">
        <f t="shared" si="8"/>
        <v>-3.6708373514024686</v>
      </c>
    </row>
    <row r="56" spans="1:27" x14ac:dyDescent="0.3">
      <c r="A56" s="5" t="s">
        <v>71</v>
      </c>
      <c r="B56" s="32">
        <f t="shared" ref="B56:C57" si="117">B14-B48</f>
        <v>29803705.199999988</v>
      </c>
      <c r="C56" s="32">
        <f t="shared" si="117"/>
        <v>22618006.849999964</v>
      </c>
      <c r="D56" s="25"/>
      <c r="E56" s="32">
        <f t="shared" ref="E56:F57" si="118">E14-E48</f>
        <v>19678027.419999987</v>
      </c>
      <c r="F56" s="32">
        <f t="shared" si="118"/>
        <v>561394.52000001073</v>
      </c>
      <c r="G56" s="25"/>
      <c r="H56" s="32">
        <f t="shared" ref="H56:I57" si="119">H14-H48</f>
        <v>23208105.060000002</v>
      </c>
      <c r="I56" s="32">
        <f t="shared" si="119"/>
        <v>6548682.8200000525</v>
      </c>
      <c r="J56" s="25"/>
      <c r="K56" s="32">
        <f t="shared" ref="K56:L56" si="120">K14-K48</f>
        <v>28515961.149999976</v>
      </c>
      <c r="L56" s="32">
        <f t="shared" si="120"/>
        <v>13159608.130000055</v>
      </c>
      <c r="M56" s="25"/>
      <c r="N56" s="32">
        <f t="shared" ref="N56:O56" si="121">N14-N48</f>
        <v>46516321.689999998</v>
      </c>
      <c r="O56" s="32">
        <f t="shared" si="121"/>
        <v>40716646.969999999</v>
      </c>
      <c r="P56" s="25"/>
      <c r="Q56" s="32">
        <f t="shared" ref="Q56:R56" si="122">Q14-Q48</f>
        <v>38384498.100000024</v>
      </c>
      <c r="R56" s="32">
        <f t="shared" si="122"/>
        <v>23797523.080000013</v>
      </c>
      <c r="S56" s="25"/>
      <c r="T56" s="32">
        <f t="shared" ref="T56:U56" si="123">T14-T48</f>
        <v>27723869.350000054</v>
      </c>
      <c r="U56" s="32">
        <f t="shared" si="123"/>
        <v>22464082.370000035</v>
      </c>
      <c r="V56" s="25"/>
      <c r="W56" s="32">
        <f t="shared" ref="W56:X57" si="124">W14-W48</f>
        <v>19768021.730000019</v>
      </c>
      <c r="X56" s="32">
        <f t="shared" si="124"/>
        <v>15772233.070000052</v>
      </c>
      <c r="Y56" s="25"/>
      <c r="Z56" s="14">
        <f t="shared" ref="Z56:AA59" si="125">IF(T56&gt;0,W56/T56*100-100,"-")</f>
        <v>-28.696743299289935</v>
      </c>
      <c r="AA56" s="14">
        <f t="shared" si="125"/>
        <v>-29.789105959372293</v>
      </c>
    </row>
    <row r="57" spans="1:27" x14ac:dyDescent="0.3">
      <c r="A57" s="5" t="s">
        <v>72</v>
      </c>
      <c r="B57" s="32">
        <f t="shared" si="117"/>
        <v>-9307616.22000001</v>
      </c>
      <c r="C57" s="32">
        <f t="shared" si="117"/>
        <v>-6421421.1699999999</v>
      </c>
      <c r="D57" s="25"/>
      <c r="E57" s="32">
        <f t="shared" si="118"/>
        <v>-5024504.8399999961</v>
      </c>
      <c r="F57" s="32">
        <f t="shared" si="118"/>
        <v>-3080357.370000001</v>
      </c>
      <c r="G57" s="25"/>
      <c r="H57" s="32">
        <f t="shared" si="119"/>
        <v>-3256272.0500000007</v>
      </c>
      <c r="I57" s="32">
        <f t="shared" si="119"/>
        <v>3240795.58</v>
      </c>
      <c r="J57" s="25"/>
      <c r="K57" s="32">
        <f t="shared" ref="K57:L57" si="126">K15-K49</f>
        <v>-8130087.5700000003</v>
      </c>
      <c r="L57" s="32">
        <f t="shared" si="126"/>
        <v>-2892625.9600000009</v>
      </c>
      <c r="M57" s="25"/>
      <c r="N57" s="32">
        <f t="shared" ref="N57:O57" si="127">N15-N49</f>
        <v>-2592069.6300000064</v>
      </c>
      <c r="O57" s="32">
        <f t="shared" si="127"/>
        <v>476074.21000000089</v>
      </c>
      <c r="P57" s="25"/>
      <c r="Q57" s="32">
        <f t="shared" ref="Q57:R57" si="128">Q15-Q49</f>
        <v>1439483.5</v>
      </c>
      <c r="R57" s="32">
        <f t="shared" si="128"/>
        <v>2753443.879999999</v>
      </c>
      <c r="S57" s="25"/>
      <c r="T57" s="32">
        <f t="shared" ref="T57:U57" si="129">T15-T49</f>
        <v>1770493.2300000042</v>
      </c>
      <c r="U57" s="32">
        <f t="shared" si="129"/>
        <v>6891411.570000004</v>
      </c>
      <c r="V57" s="25"/>
      <c r="W57" s="32">
        <f t="shared" si="124"/>
        <v>-10880600.840000004</v>
      </c>
      <c r="X57" s="32">
        <f t="shared" si="124"/>
        <v>-6632374.8800000008</v>
      </c>
      <c r="Y57" s="25"/>
      <c r="Z57" s="14">
        <f t="shared" si="125"/>
        <v>-714.55195962539642</v>
      </c>
      <c r="AA57" s="14">
        <f t="shared" si="125"/>
        <v>-196.24116645234696</v>
      </c>
    </row>
    <row r="58" spans="1:27" x14ac:dyDescent="0.3">
      <c r="A58" s="5" t="s">
        <v>357</v>
      </c>
      <c r="B58" s="32">
        <f t="shared" ref="B58:C58" si="130">SUM(B14:B16)-SUM(B48:B50)</f>
        <v>20656588.709999979</v>
      </c>
      <c r="C58" s="32">
        <f t="shared" si="130"/>
        <v>11467085.409999967</v>
      </c>
      <c r="D58" s="25"/>
      <c r="E58" s="32">
        <f t="shared" ref="E58:F58" si="131">SUM(E14:E16)-SUM(E48:E50)</f>
        <v>20149106.139999986</v>
      </c>
      <c r="F58" s="32">
        <f t="shared" si="131"/>
        <v>-4352337.900000006</v>
      </c>
      <c r="G58" s="25"/>
      <c r="H58" s="32">
        <f t="shared" ref="H58:I58" si="132">SUM(H14:H16)-SUM(H48:H50)</f>
        <v>13781068.889999956</v>
      </c>
      <c r="I58" s="32">
        <f t="shared" si="132"/>
        <v>71691.360000044107</v>
      </c>
      <c r="J58" s="25"/>
      <c r="K58" s="32">
        <f t="shared" ref="K58:L58" si="133">SUM(K14:K16)-SUM(K48:K50)</f>
        <v>16043491.730000019</v>
      </c>
      <c r="L58" s="32">
        <f t="shared" si="133"/>
        <v>8852528.6600000858</v>
      </c>
      <c r="M58" s="25"/>
      <c r="N58" s="32">
        <f t="shared" ref="N58:O58" si="134">SUM(N14:N16)-SUM(N48:N50)</f>
        <v>40411004.060000032</v>
      </c>
      <c r="O58" s="32">
        <f t="shared" si="134"/>
        <v>34569473.180000007</v>
      </c>
      <c r="P58" s="25"/>
      <c r="Q58" s="32">
        <f t="shared" ref="Q58:R58" si="135">SUM(Q14:Q16)-SUM(Q48:Q50)</f>
        <v>35820333.120000035</v>
      </c>
      <c r="R58" s="32">
        <f t="shared" si="135"/>
        <v>22740966.960000008</v>
      </c>
      <c r="S58" s="25"/>
      <c r="T58" s="32">
        <f t="shared" ref="T58:U58" si="136">SUM(T14:T16)-SUM(T48:T50)</f>
        <v>26294362.580000043</v>
      </c>
      <c r="U58" s="32">
        <f t="shared" si="136"/>
        <v>25795493.940000027</v>
      </c>
      <c r="V58" s="25"/>
      <c r="W58" s="32">
        <f t="shared" ref="W58:X58" si="137">SUM(W14:W16)-SUM(W48:W50)</f>
        <v>6396505.7399999797</v>
      </c>
      <c r="X58" s="32">
        <f t="shared" si="137"/>
        <v>3152563.3300000429</v>
      </c>
      <c r="Y58" s="25"/>
      <c r="Z58" s="14">
        <f t="shared" si="125"/>
        <v>-75.673470993872755</v>
      </c>
      <c r="AA58" s="14">
        <f t="shared" si="125"/>
        <v>-87.778627781530901</v>
      </c>
    </row>
    <row r="59" spans="1:27" x14ac:dyDescent="0.3">
      <c r="A59" s="5" t="s">
        <v>358</v>
      </c>
      <c r="B59" s="32">
        <f t="shared" ref="B59:C59" si="138">B21-B55</f>
        <v>13464402.879999995</v>
      </c>
      <c r="C59" s="32">
        <f t="shared" si="138"/>
        <v>8547377.1599999666</v>
      </c>
      <c r="D59" s="101"/>
      <c r="E59" s="32">
        <f t="shared" ref="E59:F59" si="139">E21-E55</f>
        <v>16912478.979999959</v>
      </c>
      <c r="F59" s="32">
        <f t="shared" si="139"/>
        <v>-3882332.1699999869</v>
      </c>
      <c r="G59" s="101"/>
      <c r="H59" s="32">
        <f t="shared" ref="H59:I59" si="140">H21-H55</f>
        <v>6630141.2799999714</v>
      </c>
      <c r="I59" s="32">
        <f t="shared" si="140"/>
        <v>-7079236.2499999404</v>
      </c>
      <c r="J59" s="101"/>
      <c r="K59" s="32">
        <f t="shared" ref="K59:L59" si="141">K21-K55</f>
        <v>11461873.540000021</v>
      </c>
      <c r="L59" s="32">
        <f t="shared" si="141"/>
        <v>-1459089.5299999118</v>
      </c>
      <c r="M59" s="101"/>
      <c r="N59" s="32">
        <f t="shared" ref="N59:O59" si="142">N21-N55</f>
        <v>38658683.140000045</v>
      </c>
      <c r="O59" s="32">
        <f t="shared" si="142"/>
        <v>31991575.01000002</v>
      </c>
      <c r="P59" s="101"/>
      <c r="Q59" s="32">
        <f t="shared" ref="Q59:R59" si="143">Q21-Q55</f>
        <v>30185558.319999993</v>
      </c>
      <c r="R59" s="32">
        <f t="shared" si="143"/>
        <v>17074134.200000018</v>
      </c>
      <c r="S59" s="101"/>
      <c r="T59" s="32">
        <f t="shared" ref="T59:U59" si="144">T21-T55</f>
        <v>21699239.870000064</v>
      </c>
      <c r="U59" s="32">
        <f t="shared" si="144"/>
        <v>22996623.280000031</v>
      </c>
      <c r="V59" s="101"/>
      <c r="W59" s="32">
        <f t="shared" ref="W59:X59" si="145">W21-W55</f>
        <v>6772327.5999999642</v>
      </c>
      <c r="X59" s="32">
        <f t="shared" si="145"/>
        <v>1618657.5500000417</v>
      </c>
      <c r="Y59" s="101"/>
      <c r="Z59" s="14">
        <f t="shared" si="125"/>
        <v>-68.790023795428255</v>
      </c>
      <c r="AA59" s="14">
        <f t="shared" si="125"/>
        <v>-92.961325102856406</v>
      </c>
    </row>
    <row r="60" spans="1:27" x14ac:dyDescent="0.3">
      <c r="A60" s="5" t="s">
        <v>359</v>
      </c>
      <c r="C60" s="6">
        <f>SUM(C14:C16)/SUM(B14:B16)*100</f>
        <v>76.148125148567686</v>
      </c>
      <c r="D60" s="101"/>
      <c r="F60" s="6">
        <f>SUM(F14:F16)/SUM(E14:E16)*100</f>
        <v>73.676181189748874</v>
      </c>
      <c r="G60" s="101"/>
      <c r="I60" s="6">
        <f>SUM(I14:I16)/SUM(H14:H16)*100</f>
        <v>76.625704175155576</v>
      </c>
      <c r="J60" s="101"/>
      <c r="L60" s="6">
        <f>SUM(L14:L16)/SUM(K14:K16)*100</f>
        <v>77.456012796339593</v>
      </c>
      <c r="M60" s="101"/>
      <c r="O60" s="6">
        <f>SUM(O14:O16)/SUM(N14:N16)*100</f>
        <v>76.49397986366175</v>
      </c>
      <c r="P60" s="101"/>
      <c r="R60" s="6">
        <f>SUM(R14:R16)/SUM(Q14:Q16)*100</f>
        <v>75.474576736758991</v>
      </c>
      <c r="S60" s="101"/>
      <c r="U60" s="6">
        <f>SUM(U14:U16)/SUM(T14:T16)*100</f>
        <v>74.640937921585717</v>
      </c>
      <c r="V60" s="101"/>
      <c r="X60" s="6">
        <f>SUM(X14:X16)/SUM(W14:W16)*100</f>
        <v>75.953066067752488</v>
      </c>
      <c r="Y60" s="101"/>
    </row>
    <row r="61" spans="1:27" x14ac:dyDescent="0.3">
      <c r="A61" s="5" t="s">
        <v>360</v>
      </c>
      <c r="C61" s="6">
        <f>SUM(C48:C50)/SUM(B48:B50)*100</f>
        <v>77.828711231998909</v>
      </c>
      <c r="D61" s="101"/>
      <c r="F61" s="6">
        <f>SUM(F48:F50)/SUM(E48:E50)*100</f>
        <v>81.190072218633659</v>
      </c>
      <c r="G61" s="101"/>
      <c r="I61" s="6">
        <f>SUM(I48:I50)/SUM(H48:H50)*100</f>
        <v>80.733604576524399</v>
      </c>
      <c r="J61" s="101"/>
      <c r="L61" s="6">
        <f>SUM(L48:L50)/SUM(K48:K50)*100</f>
        <v>78.815559317827137</v>
      </c>
      <c r="M61" s="101"/>
      <c r="O61" s="6">
        <f>SUM(O48:O50)/SUM(N48:N50)*100</f>
        <v>75.03244839001988</v>
      </c>
      <c r="P61" s="101"/>
      <c r="R61" s="6">
        <f>SUM(R48:R50)/SUM(Q48:Q50)*100</f>
        <v>77.091378046450004</v>
      </c>
      <c r="S61" s="101"/>
      <c r="U61" s="6">
        <f>SUM(U48:U50)/SUM(T48:T50)*100</f>
        <v>72.5347643907795</v>
      </c>
      <c r="V61" s="101"/>
      <c r="X61" s="6">
        <f>SUM(X48:X50)/SUM(W48:W50)*100</f>
        <v>76.606271384456278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M9" sqref="M9:N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9" t="s">
        <v>314</v>
      </c>
      <c r="B1" s="79" t="s">
        <v>315</v>
      </c>
      <c r="C1" s="79" t="s">
        <v>325</v>
      </c>
      <c r="D1" s="47" t="s">
        <v>211</v>
      </c>
      <c r="E1" s="47">
        <v>2016</v>
      </c>
      <c r="F1" s="47">
        <v>2017</v>
      </c>
      <c r="G1" s="47">
        <v>2018</v>
      </c>
      <c r="H1" s="47">
        <v>2019</v>
      </c>
      <c r="I1" s="47">
        <v>2020</v>
      </c>
      <c r="J1" s="47">
        <v>2021</v>
      </c>
      <c r="K1" s="47">
        <v>2022</v>
      </c>
      <c r="L1" s="47">
        <v>2023</v>
      </c>
    </row>
    <row r="2" spans="1:12" ht="29.25" customHeight="1" x14ac:dyDescent="0.3">
      <c r="A2" s="80" t="s">
        <v>316</v>
      </c>
      <c r="B2" s="80" t="s">
        <v>78</v>
      </c>
      <c r="C2" s="82" t="s">
        <v>324</v>
      </c>
      <c r="D2" s="92" t="s">
        <v>331</v>
      </c>
      <c r="E2" s="87">
        <f>Piano_indicatori!D3</f>
        <v>25.895569999999999</v>
      </c>
      <c r="F2" s="87">
        <f>Piano_indicatori!E3</f>
        <v>25.681850000000001</v>
      </c>
      <c r="G2" s="87">
        <f>Piano_indicatori!F3</f>
        <v>25.972819999999999</v>
      </c>
      <c r="H2" s="87">
        <f>Piano_indicatori!G3</f>
        <v>24.51</v>
      </c>
      <c r="I2" s="87">
        <f>Piano_indicatori!H3</f>
        <v>22.19</v>
      </c>
      <c r="J2" s="87">
        <f>Piano_indicatori!I3</f>
        <v>22.36</v>
      </c>
      <c r="K2" s="87">
        <f>Piano_indicatori!J3</f>
        <v>23.13</v>
      </c>
      <c r="L2" s="87">
        <f>Piano_indicatori!K3</f>
        <v>26.77</v>
      </c>
    </row>
    <row r="3" spans="1:12" ht="29.25" customHeight="1" x14ac:dyDescent="0.3">
      <c r="A3" s="81" t="s">
        <v>317</v>
      </c>
      <c r="B3" s="81" t="s">
        <v>95</v>
      </c>
      <c r="C3" s="83" t="s">
        <v>96</v>
      </c>
      <c r="D3" s="93" t="s">
        <v>332</v>
      </c>
      <c r="E3" s="88">
        <f>Piano_indicatori!D12</f>
        <v>69.770949999999999</v>
      </c>
      <c r="F3" s="88">
        <f>Piano_indicatori!E12</f>
        <v>68.795180000000002</v>
      </c>
      <c r="G3" s="88">
        <f>Piano_indicatori!F12</f>
        <v>57.645490000000002</v>
      </c>
      <c r="H3" s="88">
        <f>Piano_indicatori!G12</f>
        <v>55.51</v>
      </c>
      <c r="I3" s="88">
        <f>Piano_indicatori!H12</f>
        <v>44.03</v>
      </c>
      <c r="J3" s="88">
        <f>Piano_indicatori!I12</f>
        <v>43.33</v>
      </c>
      <c r="K3" s="88">
        <f>Piano_indicatori!J12</f>
        <v>56.52</v>
      </c>
      <c r="L3" s="88">
        <f>Piano_indicatori!K12</f>
        <v>44.82</v>
      </c>
    </row>
    <row r="4" spans="1:12" ht="29.25" customHeight="1" x14ac:dyDescent="0.3">
      <c r="A4" s="80" t="s">
        <v>318</v>
      </c>
      <c r="B4" s="80" t="s">
        <v>100</v>
      </c>
      <c r="C4" s="84" t="s">
        <v>327</v>
      </c>
      <c r="D4" s="92" t="s">
        <v>333</v>
      </c>
      <c r="E4" s="89">
        <f>Piano_indicatori!D15</f>
        <v>0</v>
      </c>
      <c r="F4" s="89">
        <f>Piano_indicatori!E15</f>
        <v>0</v>
      </c>
      <c r="G4" s="89">
        <f>Piano_indicatori!F15</f>
        <v>0</v>
      </c>
      <c r="H4" s="89">
        <f>Piano_indicatori!G15</f>
        <v>0</v>
      </c>
      <c r="I4" s="89">
        <f>Piano_indicatori!H15</f>
        <v>0</v>
      </c>
      <c r="J4" s="89">
        <f>Piano_indicatori!I15</f>
        <v>0</v>
      </c>
      <c r="K4" s="89">
        <f>Piano_indicatori!J15</f>
        <v>0</v>
      </c>
      <c r="L4" s="89">
        <f>Piano_indicatori!K15</f>
        <v>0</v>
      </c>
    </row>
    <row r="5" spans="1:12" ht="29.25" customHeight="1" x14ac:dyDescent="0.3">
      <c r="A5" s="81" t="s">
        <v>319</v>
      </c>
      <c r="B5" s="81" t="s">
        <v>165</v>
      </c>
      <c r="C5" s="85" t="s">
        <v>328</v>
      </c>
      <c r="D5" s="94" t="s">
        <v>334</v>
      </c>
      <c r="E5" s="90">
        <f>Piano_indicatori!D51</f>
        <v>5.8440799999999999</v>
      </c>
      <c r="F5" s="90">
        <f>Piano_indicatori!E51</f>
        <v>5.2844499999999996</v>
      </c>
      <c r="G5" s="90">
        <f>Piano_indicatori!F51</f>
        <v>5.2698499999999999</v>
      </c>
      <c r="H5" s="90">
        <f>Piano_indicatori!G51</f>
        <v>4.97</v>
      </c>
      <c r="I5" s="90">
        <f>Piano_indicatori!H51</f>
        <v>4.4400000000000004</v>
      </c>
      <c r="J5" s="90">
        <f>Piano_indicatori!I51</f>
        <v>4.71</v>
      </c>
      <c r="K5" s="90">
        <f>Piano_indicatori!J51</f>
        <v>4.7699999999999996</v>
      </c>
      <c r="L5" s="90">
        <f>Piano_indicatori!K51</f>
        <v>6.09</v>
      </c>
    </row>
    <row r="6" spans="1:12" ht="29.25" customHeight="1" x14ac:dyDescent="0.3">
      <c r="A6" s="80" t="s">
        <v>320</v>
      </c>
      <c r="B6" s="80" t="s">
        <v>185</v>
      </c>
      <c r="C6" s="96" t="s">
        <v>186</v>
      </c>
      <c r="D6" s="95" t="s">
        <v>335</v>
      </c>
      <c r="E6" s="107">
        <f>Piano_indicatori!D62</f>
        <v>0</v>
      </c>
      <c r="F6" s="107">
        <f>Piano_indicatori!E62</f>
        <v>0</v>
      </c>
      <c r="G6" s="107">
        <f>Piano_indicatori!F62</f>
        <v>0</v>
      </c>
      <c r="H6" s="107">
        <f>Piano_indicatori!G62</f>
        <v>0</v>
      </c>
      <c r="I6" s="107">
        <f>Piano_indicatori!H62</f>
        <v>0</v>
      </c>
      <c r="J6" s="107">
        <f>Piano_indicatori!I62</f>
        <v>0</v>
      </c>
      <c r="K6" s="107">
        <f>Piano_indicatori!J62</f>
        <v>0</v>
      </c>
      <c r="L6" s="107">
        <f>Piano_indicatori!K62</f>
        <v>0</v>
      </c>
    </row>
    <row r="7" spans="1:12" ht="29.25" customHeight="1" x14ac:dyDescent="0.3">
      <c r="A7" s="81" t="s">
        <v>321</v>
      </c>
      <c r="B7" s="81" t="s">
        <v>188</v>
      </c>
      <c r="C7" s="85" t="s">
        <v>189</v>
      </c>
      <c r="D7" s="93" t="s">
        <v>336</v>
      </c>
      <c r="E7" s="108">
        <f>Piano_indicatori!D64</f>
        <v>0.65966999999999998</v>
      </c>
      <c r="F7" s="108">
        <f>Piano_indicatori!E64</f>
        <v>1.72333</v>
      </c>
      <c r="G7" s="108">
        <f>Piano_indicatori!F64</f>
        <v>1.1644300000000001</v>
      </c>
      <c r="H7" s="108">
        <f>Piano_indicatori!G64</f>
        <v>0.21</v>
      </c>
      <c r="I7" s="108">
        <f>Piano_indicatori!H64</f>
        <v>0.55000000000000004</v>
      </c>
      <c r="J7" s="108">
        <f>Piano_indicatori!I64</f>
        <v>0.09</v>
      </c>
      <c r="K7" s="108">
        <f>Piano_indicatori!J64</f>
        <v>0.01</v>
      </c>
      <c r="L7" s="108">
        <f>Piano_indicatori!K64</f>
        <v>0.68</v>
      </c>
    </row>
    <row r="8" spans="1:12" ht="29.25" customHeight="1" x14ac:dyDescent="0.3">
      <c r="A8" s="80" t="s">
        <v>322</v>
      </c>
      <c r="B8" s="80" t="s">
        <v>326</v>
      </c>
      <c r="C8" s="84" t="s">
        <v>329</v>
      </c>
      <c r="D8" s="92" t="s">
        <v>337</v>
      </c>
      <c r="E8" s="109">
        <f>Piano_indicatori!D65+Piano_indicatori!D66</f>
        <v>0.66930000000000001</v>
      </c>
      <c r="F8" s="109">
        <f>Piano_indicatori!E65+Piano_indicatori!E66</f>
        <v>1.90852</v>
      </c>
      <c r="G8" s="109">
        <f>Piano_indicatori!F65+Piano_indicatori!F66</f>
        <v>1.2830700000000002</v>
      </c>
      <c r="H8" s="109">
        <f>Piano_indicatori!G65+Piano_indicatori!G66</f>
        <v>1.54</v>
      </c>
      <c r="I8" s="109">
        <f>Piano_indicatori!H65+Piano_indicatori!H66</f>
        <v>0</v>
      </c>
      <c r="J8" s="109">
        <f>Piano_indicatori!I65+Piano_indicatori!I66</f>
        <v>0</v>
      </c>
      <c r="K8" s="109">
        <f>Piano_indicatori!J65+Piano_indicatori!J66</f>
        <v>0</v>
      </c>
      <c r="L8" s="109">
        <f>Piano_indicatori!K65+Piano_indicatori!K66</f>
        <v>2.74</v>
      </c>
    </row>
    <row r="9" spans="1:12" ht="29.25" customHeight="1" x14ac:dyDescent="0.3">
      <c r="A9" s="81" t="s">
        <v>323</v>
      </c>
      <c r="B9" s="81"/>
      <c r="C9" s="86" t="s">
        <v>330</v>
      </c>
      <c r="D9" s="94" t="s">
        <v>338</v>
      </c>
      <c r="E9" s="91">
        <f>Piano_indicatori!D76</f>
        <v>72.297913746469121</v>
      </c>
      <c r="F9" s="91">
        <f>Piano_indicatori!E76</f>
        <v>69.224688766426794</v>
      </c>
      <c r="G9" s="91">
        <f>Piano_indicatori!F76</f>
        <v>69.021143602906164</v>
      </c>
      <c r="H9" s="91">
        <f>Piano_indicatori!G76</f>
        <v>68.193792612944904</v>
      </c>
      <c r="I9" s="91">
        <f>Piano_indicatori!H76</f>
        <v>66.503989360510843</v>
      </c>
      <c r="J9" s="91">
        <f>Piano_indicatori!I76</f>
        <v>67.00679738930036</v>
      </c>
      <c r="K9" s="91">
        <f>Piano_indicatori!J76</f>
        <v>67.352189641249694</v>
      </c>
      <c r="L9" s="91">
        <f>Piano_indicatori!K76</f>
        <v>67.743326603159531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109375" customWidth="1"/>
    <col min="6" max="6" width="10" customWidth="1"/>
  </cols>
  <sheetData>
    <row r="1" spans="1:18" ht="43.2" x14ac:dyDescent="0.3">
      <c r="A1" s="98" t="s">
        <v>339</v>
      </c>
      <c r="B1" s="98" t="s">
        <v>340</v>
      </c>
      <c r="C1" s="98" t="s">
        <v>351</v>
      </c>
      <c r="D1" s="98" t="s">
        <v>352</v>
      </c>
      <c r="E1" s="98" t="s">
        <v>353</v>
      </c>
      <c r="F1" s="98" t="s">
        <v>364</v>
      </c>
      <c r="G1" s="98" t="s">
        <v>354</v>
      </c>
    </row>
    <row r="2" spans="1:18" x14ac:dyDescent="0.3">
      <c r="A2">
        <v>2024</v>
      </c>
      <c r="B2" s="1">
        <v>198496</v>
      </c>
      <c r="C2" s="1">
        <v>454537</v>
      </c>
      <c r="D2" s="98"/>
    </row>
    <row r="3" spans="1:18" x14ac:dyDescent="0.3">
      <c r="A3">
        <v>2023</v>
      </c>
      <c r="B3" s="1">
        <v>197018</v>
      </c>
      <c r="C3" s="1">
        <v>451688</v>
      </c>
      <c r="D3" s="98">
        <v>-485</v>
      </c>
      <c r="E3" s="1">
        <v>1963</v>
      </c>
      <c r="G3" s="1">
        <f t="shared" ref="G3:G4" si="0">B2-B3-D3-E3-F3</f>
        <v>0</v>
      </c>
    </row>
    <row r="4" spans="1:18" x14ac:dyDescent="0.3">
      <c r="A4">
        <v>2022</v>
      </c>
      <c r="B4" s="1">
        <v>195436</v>
      </c>
      <c r="C4" s="1">
        <v>448916</v>
      </c>
      <c r="D4" s="1">
        <v>-698</v>
      </c>
      <c r="E4" s="1">
        <v>2040</v>
      </c>
      <c r="F4" s="1">
        <v>240</v>
      </c>
      <c r="G4" s="1">
        <f t="shared" si="0"/>
        <v>0</v>
      </c>
    </row>
    <row r="5" spans="1:18" x14ac:dyDescent="0.3">
      <c r="A5">
        <v>2021</v>
      </c>
      <c r="B5" s="1">
        <v>195998</v>
      </c>
      <c r="C5" s="1">
        <v>449628</v>
      </c>
      <c r="D5" s="1">
        <v>-653</v>
      </c>
      <c r="E5" s="1">
        <v>1149</v>
      </c>
      <c r="F5" s="1">
        <v>-1058</v>
      </c>
      <c r="G5" s="1">
        <f>B4-B5-D5-E5-F5</f>
        <v>0</v>
      </c>
    </row>
    <row r="6" spans="1:18" x14ac:dyDescent="0.3">
      <c r="A6">
        <v>2020</v>
      </c>
      <c r="B6" s="1">
        <v>200455</v>
      </c>
      <c r="C6" s="1">
        <v>454873</v>
      </c>
      <c r="D6" s="1">
        <v>-1108</v>
      </c>
      <c r="E6" s="1">
        <v>960</v>
      </c>
      <c r="F6" s="1">
        <v>-4309</v>
      </c>
      <c r="G6" s="1">
        <f t="shared" ref="G6:G11" si="1">B5-B6-D6-E6-F6</f>
        <v>0</v>
      </c>
      <c r="I6" s="105"/>
      <c r="J6" s="106"/>
      <c r="K6" s="106"/>
      <c r="L6" s="106"/>
      <c r="M6" s="106"/>
      <c r="N6" s="106"/>
      <c r="O6" s="106"/>
      <c r="P6" s="105"/>
      <c r="Q6" s="106"/>
      <c r="R6" s="106"/>
    </row>
    <row r="7" spans="1:18" x14ac:dyDescent="0.3">
      <c r="A7">
        <v>2019</v>
      </c>
      <c r="B7" s="1">
        <v>198606</v>
      </c>
      <c r="C7" s="1">
        <v>452505</v>
      </c>
      <c r="D7" s="1">
        <v>-471</v>
      </c>
      <c r="E7" s="1">
        <v>2349</v>
      </c>
      <c r="F7" s="1">
        <v>-29</v>
      </c>
      <c r="G7" s="1">
        <f t="shared" si="1"/>
        <v>0</v>
      </c>
      <c r="I7" s="105"/>
      <c r="J7" s="106"/>
      <c r="K7" s="106"/>
      <c r="L7" s="106"/>
      <c r="M7" s="106"/>
      <c r="N7" s="106"/>
      <c r="O7" s="106"/>
      <c r="P7" s="105"/>
      <c r="Q7" s="106"/>
      <c r="R7" s="106"/>
    </row>
    <row r="8" spans="1:18" x14ac:dyDescent="0.3">
      <c r="A8">
        <v>2018</v>
      </c>
      <c r="B8" s="1">
        <v>197301</v>
      </c>
      <c r="C8" s="1">
        <v>450486</v>
      </c>
      <c r="D8" s="1">
        <v>-350</v>
      </c>
      <c r="E8" s="1">
        <v>1655</v>
      </c>
      <c r="F8" s="1"/>
      <c r="G8" s="1">
        <f t="shared" si="1"/>
        <v>0</v>
      </c>
      <c r="I8" s="105"/>
      <c r="J8" s="106"/>
      <c r="K8" s="106"/>
      <c r="L8" s="106"/>
      <c r="M8" s="106"/>
      <c r="N8" s="106"/>
      <c r="O8" s="106"/>
      <c r="P8" s="105"/>
      <c r="Q8" s="106"/>
      <c r="R8" s="106"/>
    </row>
    <row r="9" spans="1:18" x14ac:dyDescent="0.3">
      <c r="A9">
        <v>2017</v>
      </c>
      <c r="B9" s="1">
        <v>195267</v>
      </c>
      <c r="C9" s="1">
        <v>448455</v>
      </c>
      <c r="D9" s="1">
        <v>-514</v>
      </c>
      <c r="E9" s="1">
        <v>2548</v>
      </c>
      <c r="F9" s="1"/>
      <c r="G9" s="1">
        <f t="shared" si="1"/>
        <v>0</v>
      </c>
      <c r="I9" s="105"/>
      <c r="J9" s="106"/>
      <c r="K9" s="106"/>
      <c r="L9" s="106"/>
      <c r="M9" s="106"/>
      <c r="N9" s="106"/>
      <c r="O9" s="106"/>
      <c r="P9" s="105"/>
      <c r="Q9" s="106"/>
      <c r="R9" s="106"/>
    </row>
    <row r="10" spans="1:18" x14ac:dyDescent="0.3">
      <c r="A10">
        <v>2016</v>
      </c>
      <c r="B10" s="1">
        <v>192940</v>
      </c>
      <c r="C10" s="1">
        <v>446764</v>
      </c>
      <c r="D10" s="1">
        <v>-302</v>
      </c>
      <c r="E10" s="1">
        <v>2629</v>
      </c>
      <c r="F10" s="1"/>
      <c r="G10" s="1">
        <f t="shared" si="1"/>
        <v>0</v>
      </c>
    </row>
    <row r="11" spans="1:18" x14ac:dyDescent="0.3">
      <c r="A11">
        <v>2015</v>
      </c>
      <c r="B11" s="1">
        <v>189696</v>
      </c>
      <c r="C11" s="1">
        <v>443892</v>
      </c>
      <c r="D11" s="1">
        <v>-362</v>
      </c>
      <c r="E11" s="1">
        <v>3606</v>
      </c>
      <c r="F11" s="1"/>
      <c r="G11" s="1">
        <f t="shared" si="1"/>
        <v>0</v>
      </c>
    </row>
    <row r="32" spans="6:6" x14ac:dyDescent="0.3">
      <c r="F32" s="105"/>
    </row>
    <row r="33" spans="6:6" x14ac:dyDescent="0.3">
      <c r="F33" s="105"/>
    </row>
    <row r="34" spans="6:6" x14ac:dyDescent="0.3">
      <c r="F34" s="105"/>
    </row>
    <row r="35" spans="6:6" x14ac:dyDescent="0.3">
      <c r="F35" s="105"/>
    </row>
    <row r="36" spans="6:6" x14ac:dyDescent="0.3">
      <c r="F36" s="105"/>
    </row>
    <row r="37" spans="6:6" x14ac:dyDescent="0.3">
      <c r="F37" s="105"/>
    </row>
    <row r="38" spans="6:6" x14ac:dyDescent="0.3">
      <c r="F38" s="105"/>
    </row>
    <row r="39" spans="6:6" x14ac:dyDescent="0.3">
      <c r="F39" s="105"/>
    </row>
    <row r="40" spans="6:6" x14ac:dyDescent="0.3">
      <c r="F40" s="105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9" width="12.5546875" bestFit="1" customWidth="1"/>
    <col min="10" max="10" width="8.44140625" customWidth="1"/>
    <col min="11" max="11" width="6.5546875" bestFit="1" customWidth="1"/>
    <col min="12" max="12" width="12.6640625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59" t="s">
        <v>366</v>
      </c>
      <c r="M1" s="47" t="s">
        <v>269</v>
      </c>
    </row>
    <row r="2" spans="1:13" x14ac:dyDescent="0.3">
      <c r="A2" s="60" t="s">
        <v>20</v>
      </c>
      <c r="B2" s="61">
        <f>Entrate_Uscite!B3</f>
        <v>149396137.97</v>
      </c>
      <c r="C2" s="61">
        <f>Entrate_Uscite!E3</f>
        <v>150658996.16</v>
      </c>
      <c r="D2" s="61">
        <f>Entrate_Uscite!H3</f>
        <v>151653179.34999999</v>
      </c>
      <c r="E2" s="61">
        <f>Entrate_Uscite!K3</f>
        <v>157979029.63</v>
      </c>
      <c r="F2" s="61">
        <f>Entrate_Uscite!N3</f>
        <v>151650503.33000001</v>
      </c>
      <c r="G2" s="61">
        <f>Entrate_Uscite!Q3</f>
        <v>159997113.63999999</v>
      </c>
      <c r="H2" s="61">
        <f>Entrate_Uscite!T3</f>
        <v>164037614.55000001</v>
      </c>
      <c r="I2" s="61">
        <f>Entrate_Uscite!W3</f>
        <v>125083100.91</v>
      </c>
      <c r="J2" s="61">
        <f>I2/I$21*100</f>
        <v>44.758539810111699</v>
      </c>
      <c r="K2" s="62">
        <f>IF(H2&gt;0,I2/H2*100-100,"-")</f>
        <v>-23.747305608450162</v>
      </c>
      <c r="L2" s="61">
        <f>Entrate_Uscite!X3</f>
        <v>106374426.97</v>
      </c>
      <c r="M2" s="63">
        <f>IF(I2&gt;0,L2/I2*100,"-")</f>
        <v>85.043004367583364</v>
      </c>
    </row>
    <row r="3" spans="1:13" x14ac:dyDescent="0.3">
      <c r="A3" s="60" t="s">
        <v>21</v>
      </c>
      <c r="B3" s="61">
        <f>Entrate_Uscite!B4</f>
        <v>37043477.840000004</v>
      </c>
      <c r="C3" s="61">
        <f>Entrate_Uscite!E4</f>
        <v>37518261.890000001</v>
      </c>
      <c r="D3" s="61">
        <f>Entrate_Uscite!H4</f>
        <v>41174914.420000002</v>
      </c>
      <c r="E3" s="61">
        <f>Entrate_Uscite!K4</f>
        <v>42248728.32</v>
      </c>
      <c r="F3" s="61">
        <f>Entrate_Uscite!N4</f>
        <v>71179384.349999994</v>
      </c>
      <c r="G3" s="61">
        <f>Entrate_Uscite!Q4</f>
        <v>64798457.770000003</v>
      </c>
      <c r="H3" s="61">
        <f>Entrate_Uscite!T4</f>
        <v>56755607.390000001</v>
      </c>
      <c r="I3" s="61">
        <f>Entrate_Uscite!W4</f>
        <v>53164781.149999999</v>
      </c>
      <c r="J3" s="61">
        <f t="shared" ref="J3:J21" si="0">I3/I$21*100</f>
        <v>19.023976510706341</v>
      </c>
      <c r="K3" s="62">
        <f t="shared" ref="K3:K21" si="1">IF(H3&gt;0,I3/H3*100-100,"-")</f>
        <v>-6.3268219743036127</v>
      </c>
      <c r="L3" s="61">
        <f>Entrate_Uscite!X4</f>
        <v>40785416.490000002</v>
      </c>
      <c r="M3" s="63">
        <f t="shared" ref="M3:M21" si="2">IF(I3&gt;0,L3/I3*100,"-")</f>
        <v>76.7151027574577</v>
      </c>
    </row>
    <row r="4" spans="1:13" x14ac:dyDescent="0.3">
      <c r="A4" s="60" t="s">
        <v>22</v>
      </c>
      <c r="B4" s="61">
        <f>Entrate_Uscite!B5</f>
        <v>53214578.670000002</v>
      </c>
      <c r="C4" s="61">
        <f>Entrate_Uscite!E5</f>
        <v>46788083.75</v>
      </c>
      <c r="D4" s="61">
        <f>Entrate_Uscite!H5</f>
        <v>47002282.600000001</v>
      </c>
      <c r="E4" s="61">
        <f>Entrate_Uscite!K5</f>
        <v>44575572.060000002</v>
      </c>
      <c r="F4" s="61">
        <f>Entrate_Uscite!N5</f>
        <v>35448581.909999996</v>
      </c>
      <c r="G4" s="61">
        <f>Entrate_Uscite!Q5</f>
        <v>43667859.259999998</v>
      </c>
      <c r="H4" s="61">
        <f>Entrate_Uscite!T5</f>
        <v>51068893.740000002</v>
      </c>
      <c r="I4" s="61">
        <f>Entrate_Uscite!W5</f>
        <v>56982819.579999998</v>
      </c>
      <c r="J4" s="61">
        <f t="shared" si="0"/>
        <v>20.390186844655851</v>
      </c>
      <c r="K4" s="62">
        <f t="shared" si="1"/>
        <v>11.58028969671588</v>
      </c>
      <c r="L4" s="61">
        <f>Entrate_Uscite!X5</f>
        <v>39481831.939999998</v>
      </c>
      <c r="M4" s="63">
        <f t="shared" si="2"/>
        <v>69.287255757097441</v>
      </c>
    </row>
    <row r="5" spans="1:13" x14ac:dyDescent="0.3">
      <c r="A5" s="4" t="s">
        <v>31</v>
      </c>
      <c r="B5" s="48">
        <f t="shared" ref="B5:I5" si="3">SUM(B2:B4)</f>
        <v>239654194.48000002</v>
      </c>
      <c r="C5" s="48">
        <f t="shared" si="3"/>
        <v>234965341.80000001</v>
      </c>
      <c r="D5" s="48">
        <f t="shared" si="3"/>
        <v>239830376.36999997</v>
      </c>
      <c r="E5" s="48">
        <f t="shared" si="3"/>
        <v>244803330.00999999</v>
      </c>
      <c r="F5" s="48">
        <f t="shared" si="3"/>
        <v>258278469.59</v>
      </c>
      <c r="G5" s="48">
        <f t="shared" ref="G5:H5" si="4">SUM(G2:G4)</f>
        <v>268463430.67000002</v>
      </c>
      <c r="H5" s="48">
        <f t="shared" si="4"/>
        <v>271862115.68000001</v>
      </c>
      <c r="I5" s="48">
        <f t="shared" si="3"/>
        <v>235230701.63999999</v>
      </c>
      <c r="J5" s="48">
        <f t="shared" si="0"/>
        <v>84.172703165473891</v>
      </c>
      <c r="K5" s="49">
        <f t="shared" si="1"/>
        <v>-13.474262108339389</v>
      </c>
      <c r="L5" s="48">
        <f>SUM(L2:L4)</f>
        <v>186641675.40000001</v>
      </c>
      <c r="M5" s="50">
        <f>IF(I5&gt;0,L5/I5*100,"-")</f>
        <v>79.344096709637313</v>
      </c>
    </row>
    <row r="6" spans="1:13" x14ac:dyDescent="0.3">
      <c r="A6" s="60" t="s">
        <v>23</v>
      </c>
      <c r="B6" s="61">
        <f>Entrate_Uscite!B6</f>
        <v>3843.75</v>
      </c>
      <c r="C6" s="61">
        <f>Entrate_Uscite!E6</f>
        <v>0</v>
      </c>
      <c r="D6" s="61">
        <f>Entrate_Uscite!H6</f>
        <v>282.51</v>
      </c>
      <c r="E6" s="61">
        <f>Entrate_Uscite!K6</f>
        <v>0</v>
      </c>
      <c r="F6" s="61">
        <f>Entrate_Uscite!N6</f>
        <v>0</v>
      </c>
      <c r="G6" s="61">
        <f>Entrate_Uscite!Q6</f>
        <v>0</v>
      </c>
      <c r="H6" s="61">
        <f>Entrate_Uscite!T6</f>
        <v>0</v>
      </c>
      <c r="I6" s="61">
        <f>Entrate_Uscite!W6</f>
        <v>0</v>
      </c>
      <c r="J6" s="61">
        <f t="shared" si="0"/>
        <v>0</v>
      </c>
      <c r="K6" s="62" t="str">
        <f t="shared" si="1"/>
        <v>-</v>
      </c>
      <c r="L6" s="61">
        <f>Entrate_Uscite!X6</f>
        <v>0</v>
      </c>
      <c r="M6" s="63" t="str">
        <f t="shared" si="2"/>
        <v>-</v>
      </c>
    </row>
    <row r="7" spans="1:13" x14ac:dyDescent="0.3">
      <c r="A7" s="60" t="s">
        <v>24</v>
      </c>
      <c r="B7" s="61">
        <f>Entrate_Uscite!B7</f>
        <v>20737699.579999998</v>
      </c>
      <c r="C7" s="61">
        <f>Entrate_Uscite!E7</f>
        <v>6799314.0800000001</v>
      </c>
      <c r="D7" s="61">
        <f>Entrate_Uscite!H7</f>
        <v>5173361.1100000003</v>
      </c>
      <c r="E7" s="61">
        <f>Entrate_Uscite!K7</f>
        <v>5375340.7300000004</v>
      </c>
      <c r="F7" s="61">
        <f>Entrate_Uscite!N7</f>
        <v>17184277.489999998</v>
      </c>
      <c r="G7" s="61">
        <f>Entrate_Uscite!Q7</f>
        <v>14115503.4</v>
      </c>
      <c r="H7" s="61">
        <f>Entrate_Uscite!T7</f>
        <v>17465991.550000001</v>
      </c>
      <c r="I7" s="61">
        <f>Entrate_Uscite!W7</f>
        <v>16311351.9</v>
      </c>
      <c r="J7" s="61">
        <f t="shared" si="0"/>
        <v>5.8366980676166156</v>
      </c>
      <c r="K7" s="62">
        <f t="shared" si="1"/>
        <v>-6.6107878656336538</v>
      </c>
      <c r="L7" s="61">
        <f>Entrate_Uscite!X7</f>
        <v>4185476.34</v>
      </c>
      <c r="M7" s="63">
        <f t="shared" si="2"/>
        <v>25.659898490694687</v>
      </c>
    </row>
    <row r="8" spans="1:13" x14ac:dyDescent="0.3">
      <c r="A8" s="60" t="s">
        <v>25</v>
      </c>
      <c r="B8" s="61">
        <f>Entrate_Uscite!B8</f>
        <v>0</v>
      </c>
      <c r="C8" s="61">
        <f>Entrate_Uscite!E8</f>
        <v>0</v>
      </c>
      <c r="D8" s="61">
        <f>Entrate_Uscite!H8</f>
        <v>0</v>
      </c>
      <c r="E8" s="61">
        <f>Entrate_Uscite!K8</f>
        <v>0</v>
      </c>
      <c r="F8" s="61">
        <f>Entrate_Uscite!N8</f>
        <v>0</v>
      </c>
      <c r="G8" s="61">
        <f>Entrate_Uscite!Q8</f>
        <v>0</v>
      </c>
      <c r="H8" s="61">
        <f>Entrate_Uscite!T8</f>
        <v>0</v>
      </c>
      <c r="I8" s="61">
        <f>Entrate_Uscite!W8</f>
        <v>0</v>
      </c>
      <c r="J8" s="61">
        <f t="shared" si="0"/>
        <v>0</v>
      </c>
      <c r="K8" s="62" t="str">
        <f t="shared" si="1"/>
        <v>-</v>
      </c>
      <c r="L8" s="61">
        <f>Entrate_Uscite!X8</f>
        <v>0</v>
      </c>
      <c r="M8" s="63" t="str">
        <f t="shared" si="2"/>
        <v>-</v>
      </c>
    </row>
    <row r="9" spans="1:13" x14ac:dyDescent="0.3">
      <c r="A9" s="60" t="s">
        <v>26</v>
      </c>
      <c r="B9" s="61">
        <f>Entrate_Uscite!B9</f>
        <v>2336955.7000000002</v>
      </c>
      <c r="C9" s="61">
        <f>Entrate_Uscite!E9</f>
        <v>5019211.7</v>
      </c>
      <c r="D9" s="61">
        <f>Entrate_Uscite!H9</f>
        <v>1054271.69</v>
      </c>
      <c r="E9" s="61">
        <f>Entrate_Uscite!K9</f>
        <v>544656.1</v>
      </c>
      <c r="F9" s="61">
        <f>Entrate_Uscite!N9</f>
        <v>34219.4</v>
      </c>
      <c r="G9" s="61">
        <f>Entrate_Uscite!Q9</f>
        <v>82640.92</v>
      </c>
      <c r="H9" s="61">
        <f>Entrate_Uscite!T9</f>
        <v>310188.77</v>
      </c>
      <c r="I9" s="61">
        <f>Entrate_Uscite!W9</f>
        <v>121233.43</v>
      </c>
      <c r="J9" s="61">
        <f t="shared" si="0"/>
        <v>4.3381010412235306E-2</v>
      </c>
      <c r="K9" s="62">
        <f t="shared" si="1"/>
        <v>-60.916241422924507</v>
      </c>
      <c r="L9" s="61">
        <f>Entrate_Uscite!X9</f>
        <v>119735.83</v>
      </c>
      <c r="M9" s="63">
        <f t="shared" si="2"/>
        <v>98.764697163150473</v>
      </c>
    </row>
    <row r="10" spans="1:13" x14ac:dyDescent="0.3">
      <c r="A10" s="60" t="s">
        <v>27</v>
      </c>
      <c r="B10" s="61">
        <f>Entrate_Uscite!B10</f>
        <v>6506318.79</v>
      </c>
      <c r="C10" s="61">
        <f>Entrate_Uscite!E10</f>
        <v>16033220.49</v>
      </c>
      <c r="D10" s="61">
        <f>Entrate_Uscite!H10</f>
        <v>19416343.16</v>
      </c>
      <c r="E10" s="61">
        <f>Entrate_Uscite!K10</f>
        <v>23445243.390000001</v>
      </c>
      <c r="F10" s="61">
        <f>Entrate_Uscite!N10</f>
        <v>9867652.2400000002</v>
      </c>
      <c r="G10" s="61">
        <f>Entrate_Uscite!Q10</f>
        <v>14952071.43</v>
      </c>
      <c r="H10" s="61">
        <f>Entrate_Uscite!T10</f>
        <v>26003322.300000001</v>
      </c>
      <c r="I10" s="61">
        <f>Entrate_Uscite!W10</f>
        <v>11028410.75</v>
      </c>
      <c r="J10" s="61">
        <f t="shared" si="0"/>
        <v>3.946300963159731</v>
      </c>
      <c r="K10" s="62">
        <f t="shared" si="1"/>
        <v>-57.588454956772964</v>
      </c>
      <c r="L10" s="61">
        <f>Entrate_Uscite!X10</f>
        <v>11026385.75</v>
      </c>
      <c r="M10" s="63">
        <f t="shared" si="2"/>
        <v>99.981638333519626</v>
      </c>
    </row>
    <row r="11" spans="1:13" x14ac:dyDescent="0.3">
      <c r="A11" s="4" t="s">
        <v>32</v>
      </c>
      <c r="B11" s="51">
        <f t="shared" ref="B11:I11" si="5">SUM(B6:B10)</f>
        <v>29584817.819999997</v>
      </c>
      <c r="C11" s="51">
        <f t="shared" si="5"/>
        <v>27851746.270000003</v>
      </c>
      <c r="D11" s="51">
        <f t="shared" si="5"/>
        <v>25644258.469999999</v>
      </c>
      <c r="E11" s="51">
        <f t="shared" si="5"/>
        <v>29365240.219999999</v>
      </c>
      <c r="F11" s="51">
        <f t="shared" si="5"/>
        <v>27086149.129999995</v>
      </c>
      <c r="G11" s="51">
        <f t="shared" ref="G11" si="6">SUM(G6:G10)</f>
        <v>29150215.75</v>
      </c>
      <c r="H11" s="51">
        <f t="shared" ref="H11" si="7">SUM(H6:H10)</f>
        <v>43779502.620000005</v>
      </c>
      <c r="I11" s="51">
        <f t="shared" si="5"/>
        <v>27460996.079999998</v>
      </c>
      <c r="J11" s="51">
        <f t="shared" si="0"/>
        <v>9.8263800411885818</v>
      </c>
      <c r="K11" s="49">
        <f t="shared" si="1"/>
        <v>-37.274307754572668</v>
      </c>
      <c r="L11" s="51">
        <f>SUM(L6:L10)</f>
        <v>15331597.92</v>
      </c>
      <c r="M11" s="50">
        <f>IF(I11&gt;0,L11/I11*100,"-")</f>
        <v>55.830450852313007</v>
      </c>
    </row>
    <row r="12" spans="1:13" x14ac:dyDescent="0.3">
      <c r="A12" s="60" t="s">
        <v>28</v>
      </c>
      <c r="B12" s="61">
        <f>Entrate_Uscite!B11</f>
        <v>160499.73000000001</v>
      </c>
      <c r="C12" s="61">
        <f>Entrate_Uscite!E11</f>
        <v>5495583.5599999996</v>
      </c>
      <c r="D12" s="61">
        <f>Entrate_Uscite!H11</f>
        <v>100</v>
      </c>
      <c r="E12" s="61">
        <f>Entrate_Uscite!K11</f>
        <v>7618.15</v>
      </c>
      <c r="F12" s="61">
        <f>Entrate_Uscite!N11</f>
        <v>86752</v>
      </c>
      <c r="G12" s="61">
        <f>Entrate_Uscite!Q11</f>
        <v>0</v>
      </c>
      <c r="H12" s="61">
        <f>Entrate_Uscite!T11</f>
        <v>0</v>
      </c>
      <c r="I12" s="61">
        <f>Entrate_Uscite!W11</f>
        <v>1096584</v>
      </c>
      <c r="J12" s="61">
        <f t="shared" si="0"/>
        <v>0.39239112447689262</v>
      </c>
      <c r="K12" s="62" t="str">
        <f t="shared" si="1"/>
        <v>-</v>
      </c>
      <c r="L12" s="61">
        <f>Entrate_Uscite!X11</f>
        <v>1096584</v>
      </c>
      <c r="M12" s="63">
        <f t="shared" si="2"/>
        <v>100</v>
      </c>
    </row>
    <row r="13" spans="1:13" x14ac:dyDescent="0.3">
      <c r="A13" s="60" t="s">
        <v>29</v>
      </c>
      <c r="B13" s="61">
        <f>Entrate_Uscite!B12</f>
        <v>0</v>
      </c>
      <c r="C13" s="61">
        <f>Entrate_Uscite!E12</f>
        <v>0</v>
      </c>
      <c r="D13" s="61">
        <f>Entrate_Uscite!H12</f>
        <v>0</v>
      </c>
      <c r="E13" s="61">
        <f>Entrate_Uscite!K12</f>
        <v>0</v>
      </c>
      <c r="F13" s="61">
        <f>Entrate_Uscite!N12</f>
        <v>0</v>
      </c>
      <c r="G13" s="61">
        <f>Entrate_Uscite!Q12</f>
        <v>0</v>
      </c>
      <c r="H13" s="61">
        <f>Entrate_Uscite!T12</f>
        <v>0</v>
      </c>
      <c r="I13" s="61">
        <f>Entrate_Uscite!W12</f>
        <v>0</v>
      </c>
      <c r="J13" s="61">
        <f t="shared" si="0"/>
        <v>0</v>
      </c>
      <c r="K13" s="62" t="str">
        <f t="shared" si="1"/>
        <v>-</v>
      </c>
      <c r="L13" s="61">
        <f>Entrate_Uscite!X12</f>
        <v>0</v>
      </c>
      <c r="M13" s="63" t="str">
        <f t="shared" si="2"/>
        <v>-</v>
      </c>
    </row>
    <row r="14" spans="1:13" x14ac:dyDescent="0.3">
      <c r="A14" s="60" t="s">
        <v>30</v>
      </c>
      <c r="B14" s="61">
        <f>Entrate_Uscite!B13</f>
        <v>4890000</v>
      </c>
      <c r="C14" s="61">
        <f>Entrate_Uscite!E13</f>
        <v>7328958.6100000003</v>
      </c>
      <c r="D14" s="61">
        <f>Entrate_Uscite!H13</f>
        <v>3622887.4</v>
      </c>
      <c r="E14" s="61">
        <f>Entrate_Uscite!K13</f>
        <v>4757928.34</v>
      </c>
      <c r="F14" s="61">
        <f>Entrate_Uscite!N13</f>
        <v>5210000</v>
      </c>
      <c r="G14" s="61">
        <f>Entrate_Uscite!Q13</f>
        <v>3810000</v>
      </c>
      <c r="H14" s="61">
        <f>Entrate_Uscite!T13</f>
        <v>3560000</v>
      </c>
      <c r="I14" s="61">
        <f>Entrate_Uscite!W13</f>
        <v>3748000</v>
      </c>
      <c r="J14" s="61">
        <f t="shared" si="0"/>
        <v>1.3411484524116652</v>
      </c>
      <c r="K14" s="62">
        <f t="shared" si="1"/>
        <v>5.2808988764045068</v>
      </c>
      <c r="L14" s="61">
        <f>Entrate_Uscite!X13</f>
        <v>132151.49</v>
      </c>
      <c r="M14" s="63">
        <f t="shared" si="2"/>
        <v>3.5259202241195302</v>
      </c>
    </row>
    <row r="15" spans="1:13" x14ac:dyDescent="0.3">
      <c r="A15" s="4" t="s">
        <v>33</v>
      </c>
      <c r="B15" s="48">
        <f t="shared" ref="B15:I15" si="8">SUM(B12:B14)</f>
        <v>5050499.7300000004</v>
      </c>
      <c r="C15" s="48">
        <f t="shared" si="8"/>
        <v>12824542.17</v>
      </c>
      <c r="D15" s="48">
        <f t="shared" si="8"/>
        <v>3622987.4</v>
      </c>
      <c r="E15" s="48">
        <f t="shared" si="8"/>
        <v>4765546.49</v>
      </c>
      <c r="F15" s="48">
        <f t="shared" si="8"/>
        <v>5296752</v>
      </c>
      <c r="G15" s="48">
        <f t="shared" ref="G15" si="9">SUM(G12:G14)</f>
        <v>3810000</v>
      </c>
      <c r="H15" s="48">
        <f t="shared" ref="H15" si="10">SUM(H12:H14)</f>
        <v>3560000</v>
      </c>
      <c r="I15" s="48">
        <f t="shared" si="8"/>
        <v>4844584</v>
      </c>
      <c r="J15" s="48">
        <f t="shared" si="0"/>
        <v>1.7335395768885578</v>
      </c>
      <c r="K15" s="49">
        <f t="shared" si="1"/>
        <v>36.083820224719091</v>
      </c>
      <c r="L15" s="48">
        <f>SUM(L12:L14)</f>
        <v>1228735.49</v>
      </c>
      <c r="M15" s="50">
        <f t="shared" si="2"/>
        <v>25.363075343517629</v>
      </c>
    </row>
    <row r="16" spans="1:13" x14ac:dyDescent="0.3">
      <c r="A16" s="52" t="s">
        <v>349</v>
      </c>
      <c r="B16" s="53">
        <f>B5+B11+B15</f>
        <v>274289512.03000003</v>
      </c>
      <c r="C16" s="53">
        <f t="shared" ref="C16:I16" si="11">C5+C11+C15</f>
        <v>275641630.24000001</v>
      </c>
      <c r="D16" s="53">
        <f t="shared" si="11"/>
        <v>269097622.23999995</v>
      </c>
      <c r="E16" s="53">
        <f t="shared" si="11"/>
        <v>278934116.72000003</v>
      </c>
      <c r="F16" s="53">
        <f t="shared" ref="F16:H16" si="12">F5+F11+F15</f>
        <v>290661370.72000003</v>
      </c>
      <c r="G16" s="53">
        <f t="shared" si="12"/>
        <v>301423646.42000002</v>
      </c>
      <c r="H16" s="53">
        <f t="shared" si="12"/>
        <v>319201618.30000001</v>
      </c>
      <c r="I16" s="53">
        <f t="shared" si="11"/>
        <v>267536281.71999997</v>
      </c>
      <c r="J16" s="53">
        <f t="shared" si="0"/>
        <v>95.732622783551022</v>
      </c>
      <c r="K16" s="54">
        <f t="shared" si="1"/>
        <v>-16.185800327441527</v>
      </c>
      <c r="L16" s="53">
        <f t="shared" ref="L16" si="13">L5+L11+L15</f>
        <v>203202008.81</v>
      </c>
      <c r="M16" s="55">
        <f t="shared" si="2"/>
        <v>75.953066067752488</v>
      </c>
    </row>
    <row r="17" spans="1:13" x14ac:dyDescent="0.3">
      <c r="A17" s="4" t="s">
        <v>34</v>
      </c>
      <c r="B17" s="48">
        <f>Entrate_Uscite!B17</f>
        <v>4890000</v>
      </c>
      <c r="C17" s="48">
        <f>Entrate_Uscite!E17</f>
        <v>7328958.6100000003</v>
      </c>
      <c r="D17" s="48">
        <f>Entrate_Uscite!H17</f>
        <v>3622887.4</v>
      </c>
      <c r="E17" s="48">
        <f>Entrate_Uscite!K17</f>
        <v>5730000</v>
      </c>
      <c r="F17" s="48">
        <f>Entrate_Uscite!N17</f>
        <v>7804250.1699999999</v>
      </c>
      <c r="G17" s="48">
        <f>Entrate_Uscite!Q17</f>
        <v>5040931.6399999997</v>
      </c>
      <c r="H17" s="48">
        <f>Entrate_Uscite!T17</f>
        <v>6595416.3499999996</v>
      </c>
      <c r="I17" s="48">
        <f>Entrate_Uscite!W17</f>
        <v>11925696.800000001</v>
      </c>
      <c r="J17" s="48">
        <f t="shared" si="0"/>
        <v>4.2673772164489723</v>
      </c>
      <c r="K17" s="49">
        <f t="shared" si="1"/>
        <v>80.817952455723287</v>
      </c>
      <c r="L17" s="48">
        <f>Entrate_Uscite!X17</f>
        <v>10015969.16</v>
      </c>
      <c r="M17" s="50">
        <f t="shared" si="2"/>
        <v>83.986448154543041</v>
      </c>
    </row>
    <row r="18" spans="1:13" x14ac:dyDescent="0.3">
      <c r="A18" s="4" t="s">
        <v>35</v>
      </c>
      <c r="B18" s="48">
        <f>Entrate_Uscite!B18</f>
        <v>0</v>
      </c>
      <c r="C18" s="48">
        <f>Entrate_Uscite!E18</f>
        <v>0</v>
      </c>
      <c r="D18" s="48">
        <f>Entrate_Uscite!H18</f>
        <v>0</v>
      </c>
      <c r="E18" s="48">
        <f>Entrate_Uscite!K18</f>
        <v>0</v>
      </c>
      <c r="F18" s="48">
        <f>Entrate_Uscite!N18</f>
        <v>0</v>
      </c>
      <c r="G18" s="48">
        <f>Entrate_Uscite!Q18</f>
        <v>0</v>
      </c>
      <c r="H18" s="48">
        <f>Entrate_Uscite!T18</f>
        <v>0</v>
      </c>
      <c r="I18" s="48">
        <f>Entrate_Uscite!W18</f>
        <v>0</v>
      </c>
      <c r="J18" s="48">
        <f t="shared" si="0"/>
        <v>0</v>
      </c>
      <c r="K18" s="49" t="str">
        <f t="shared" si="1"/>
        <v>-</v>
      </c>
      <c r="L18" s="48">
        <f>Entrate_Uscite!X18</f>
        <v>0</v>
      </c>
      <c r="M18" s="50" t="str">
        <f t="shared" si="2"/>
        <v>-</v>
      </c>
    </row>
    <row r="19" spans="1:13" x14ac:dyDescent="0.3">
      <c r="A19" s="4" t="s">
        <v>36</v>
      </c>
      <c r="B19" s="48">
        <f>Entrate_Uscite!B19</f>
        <v>23429125.050000001</v>
      </c>
      <c r="C19" s="48">
        <f>Entrate_Uscite!E19</f>
        <v>24038908.940000001</v>
      </c>
      <c r="D19" s="48">
        <f>Entrate_Uscite!H19</f>
        <v>24376809.739999998</v>
      </c>
      <c r="E19" s="48">
        <f>Entrate_Uscite!K19</f>
        <v>23962028.579999998</v>
      </c>
      <c r="F19" s="48">
        <f>Entrate_Uscite!N19</f>
        <v>21628781.68</v>
      </c>
      <c r="G19" s="48">
        <f>Entrate_Uscite!Q19</f>
        <v>22467495.68</v>
      </c>
      <c r="H19" s="48">
        <f>Entrate_Uscite!T19</f>
        <v>23922685.52</v>
      </c>
      <c r="I19" s="48">
        <f>Entrate_Uscite!W19</f>
        <v>21808314.940000001</v>
      </c>
      <c r="J19" s="48"/>
      <c r="K19" s="49">
        <f t="shared" si="1"/>
        <v>-8.8383496001413704</v>
      </c>
      <c r="L19" s="48">
        <f>Entrate_Uscite!X19</f>
        <v>21762366.949999999</v>
      </c>
      <c r="M19" s="50">
        <f t="shared" si="2"/>
        <v>99.789309764984523</v>
      </c>
    </row>
    <row r="20" spans="1:13" x14ac:dyDescent="0.3">
      <c r="A20" s="52" t="s">
        <v>37</v>
      </c>
      <c r="B20" s="53">
        <f t="shared" ref="B20:I20" si="14">B5+B11+B15+B17+B18+B19</f>
        <v>302608637.08000004</v>
      </c>
      <c r="C20" s="53">
        <f t="shared" si="14"/>
        <v>307009497.79000002</v>
      </c>
      <c r="D20" s="53">
        <f t="shared" si="14"/>
        <v>297097319.37999994</v>
      </c>
      <c r="E20" s="53">
        <f t="shared" si="14"/>
        <v>308626145.30000001</v>
      </c>
      <c r="F20" s="53">
        <f t="shared" si="14"/>
        <v>320094402.57000005</v>
      </c>
      <c r="G20" s="53">
        <f t="shared" ref="G20:H20" si="15">G5+G11+G15+G17+G18+G19</f>
        <v>328932073.74000001</v>
      </c>
      <c r="H20" s="53">
        <f t="shared" si="15"/>
        <v>349719720.17000002</v>
      </c>
      <c r="I20" s="53">
        <f t="shared" si="14"/>
        <v>301270293.45999998</v>
      </c>
      <c r="J20" s="53"/>
      <c r="K20" s="54">
        <f t="shared" si="1"/>
        <v>-13.853787451976856</v>
      </c>
      <c r="L20" s="53">
        <f>L5+L11+L15+L17+L18+L19</f>
        <v>234980344.91999999</v>
      </c>
      <c r="M20" s="55">
        <f t="shared" si="2"/>
        <v>77.996520075484511</v>
      </c>
    </row>
    <row r="21" spans="1:13" x14ac:dyDescent="0.3">
      <c r="A21" s="43" t="s">
        <v>38</v>
      </c>
      <c r="B21" s="56">
        <f t="shared" ref="B21:I21" si="16">B20-B19</f>
        <v>279179512.03000003</v>
      </c>
      <c r="C21" s="56">
        <f t="shared" si="16"/>
        <v>282970588.85000002</v>
      </c>
      <c r="D21" s="56">
        <f t="shared" si="16"/>
        <v>272720509.63999993</v>
      </c>
      <c r="E21" s="56">
        <f t="shared" si="16"/>
        <v>284664116.72000003</v>
      </c>
      <c r="F21" s="56">
        <f t="shared" si="16"/>
        <v>298465620.89000005</v>
      </c>
      <c r="G21" s="56">
        <f t="shared" ref="G21:H21" si="17">G20-G19</f>
        <v>306464578.06</v>
      </c>
      <c r="H21" s="56">
        <f t="shared" si="17"/>
        <v>325797034.65000004</v>
      </c>
      <c r="I21" s="56">
        <f t="shared" si="16"/>
        <v>279461978.51999998</v>
      </c>
      <c r="J21" s="56">
        <f t="shared" si="0"/>
        <v>100</v>
      </c>
      <c r="K21" s="57">
        <f t="shared" si="1"/>
        <v>-14.22206195945806</v>
      </c>
      <c r="L21" s="56">
        <f>L20-L19</f>
        <v>213217977.97</v>
      </c>
      <c r="M21" s="58">
        <f t="shared" si="2"/>
        <v>76.295880784634477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6.5546875" bestFit="1" customWidth="1"/>
    <col min="12" max="12" width="13.5546875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59" t="s">
        <v>367</v>
      </c>
      <c r="M1" s="47" t="s">
        <v>342</v>
      </c>
    </row>
    <row r="2" spans="1:13" x14ac:dyDescent="0.3">
      <c r="A2" s="64" t="s">
        <v>270</v>
      </c>
      <c r="B2" s="61">
        <f>Entrate_Uscite!B23</f>
        <v>45462487.990000002</v>
      </c>
      <c r="C2" s="61">
        <f>Entrate_Uscite!E23</f>
        <v>45476282.359999999</v>
      </c>
      <c r="D2" s="61">
        <f>Entrate_Uscite!H23</f>
        <v>46715699.509999998</v>
      </c>
      <c r="E2" s="61">
        <f>Entrate_Uscite!K23</f>
        <v>45674011.840000004</v>
      </c>
      <c r="F2" s="61">
        <f>Entrate_Uscite!N23</f>
        <v>43460610.420000002</v>
      </c>
      <c r="G2" s="61">
        <f>Entrate_Uscite!Q23</f>
        <v>44408452.159999996</v>
      </c>
      <c r="H2" s="61">
        <f>Entrate_Uscite!T23</f>
        <v>47345639.75</v>
      </c>
      <c r="I2" s="61">
        <f>Entrate_Uscite!W23</f>
        <v>46761898.359999999</v>
      </c>
      <c r="J2" s="61">
        <f>I2/I$31*100</f>
        <v>17.148394961904408</v>
      </c>
      <c r="K2" s="62">
        <f>IF(H2&gt;0,I2/H2*100-100,"-")</f>
        <v>-1.2329359009242324</v>
      </c>
      <c r="L2" s="61">
        <f>Entrate_Uscite!X23</f>
        <v>44905804.049999997</v>
      </c>
      <c r="M2" s="63">
        <f>IF(I2&gt;0,L2/I2*100,"-")</f>
        <v>96.03075500547321</v>
      </c>
    </row>
    <row r="3" spans="1:13" x14ac:dyDescent="0.3">
      <c r="A3" s="64" t="s">
        <v>271</v>
      </c>
      <c r="B3" s="61">
        <f>Entrate_Uscite!B24</f>
        <v>3305156.66</v>
      </c>
      <c r="C3" s="61">
        <f>Entrate_Uscite!E24</f>
        <v>3646468.27</v>
      </c>
      <c r="D3" s="61">
        <f>Entrate_Uscite!H24</f>
        <v>3425306.9</v>
      </c>
      <c r="E3" s="61">
        <f>Entrate_Uscite!K24</f>
        <v>2842316.45</v>
      </c>
      <c r="F3" s="61">
        <f>Entrate_Uscite!N24</f>
        <v>2526370.59</v>
      </c>
      <c r="G3" s="61">
        <f>Entrate_Uscite!Q24</f>
        <v>2735853.64</v>
      </c>
      <c r="H3" s="61">
        <f>Entrate_Uscite!T24</f>
        <v>2939910.92</v>
      </c>
      <c r="I3" s="61">
        <f>Entrate_Uscite!W24</f>
        <v>2967747.05</v>
      </c>
      <c r="J3" s="61">
        <f t="shared" ref="J3:J31" si="0">I3/I$31*100</f>
        <v>1.0883240489646082</v>
      </c>
      <c r="K3" s="62">
        <f t="shared" ref="K3:K31" si="1">IF(H3&gt;0,I3/H3*100-100,"-")</f>
        <v>0.94683583133871707</v>
      </c>
      <c r="L3" s="61">
        <f>Entrate_Uscite!X24</f>
        <v>2592211.4</v>
      </c>
      <c r="M3" s="63">
        <f>IF(I3&gt;0,L3/I3*100,"-")</f>
        <v>87.346103166036343</v>
      </c>
    </row>
    <row r="4" spans="1:13" x14ac:dyDescent="0.3">
      <c r="A4" s="64" t="s">
        <v>272</v>
      </c>
      <c r="B4" s="61">
        <f>Entrate_Uscite!B25</f>
        <v>127456364.87</v>
      </c>
      <c r="C4" s="61">
        <f>Entrate_Uscite!E25</f>
        <v>110053522.90000001</v>
      </c>
      <c r="D4" s="61">
        <f>Entrate_Uscite!H25</f>
        <v>113590536.78</v>
      </c>
      <c r="E4" s="61">
        <f>Entrate_Uscite!K25</f>
        <v>116771443.75</v>
      </c>
      <c r="F4" s="61">
        <f>Entrate_Uscite!N25</f>
        <v>109713151.7</v>
      </c>
      <c r="G4" s="61">
        <f>Entrate_Uscite!Q25</f>
        <v>123130393.26000001</v>
      </c>
      <c r="H4" s="61">
        <f>Entrate_Uscite!T25</f>
        <v>133871570.22</v>
      </c>
      <c r="I4" s="61">
        <f>Entrate_Uscite!W25</f>
        <v>97424242.75</v>
      </c>
      <c r="J4" s="61">
        <f t="shared" si="0"/>
        <v>35.727150781597402</v>
      </c>
      <c r="K4" s="62">
        <f t="shared" si="1"/>
        <v>-27.225591968558888</v>
      </c>
      <c r="L4" s="61">
        <f>Entrate_Uscite!X25</f>
        <v>71585749.060000002</v>
      </c>
      <c r="M4" s="63">
        <f t="shared" ref="M4:M9" si="2">IF(I4&gt;0,L4/I4*100,"-")</f>
        <v>73.478373595056766</v>
      </c>
    </row>
    <row r="5" spans="1:13" x14ac:dyDescent="0.3">
      <c r="A5" s="64" t="s">
        <v>273</v>
      </c>
      <c r="B5" s="61">
        <f>Entrate_Uscite!B26</f>
        <v>28637060.890000001</v>
      </c>
      <c r="C5" s="61">
        <f>Entrate_Uscite!E26</f>
        <v>46750075.159999996</v>
      </c>
      <c r="D5" s="61">
        <f>Entrate_Uscite!H26</f>
        <v>48917933.829999998</v>
      </c>
      <c r="E5" s="61">
        <f>Entrate_Uscite!K26</f>
        <v>47068127.100000001</v>
      </c>
      <c r="F5" s="61">
        <f>Entrate_Uscite!N26</f>
        <v>49816241.729999997</v>
      </c>
      <c r="G5" s="61">
        <f>Entrate_Uscite!Q26</f>
        <v>51068694.689999998</v>
      </c>
      <c r="H5" s="61">
        <f>Entrate_Uscite!T26</f>
        <v>55972917.350000001</v>
      </c>
      <c r="I5" s="61">
        <f>Entrate_Uscite!W26</f>
        <v>60816674.509999998</v>
      </c>
      <c r="J5" s="61">
        <f t="shared" si="0"/>
        <v>22.302523878268492</v>
      </c>
      <c r="K5" s="62">
        <f t="shared" si="1"/>
        <v>8.6537514736133403</v>
      </c>
      <c r="L5" s="61">
        <f>Entrate_Uscite!X26</f>
        <v>45641995.229999997</v>
      </c>
      <c r="M5" s="63">
        <f t="shared" si="2"/>
        <v>75.048488918109371</v>
      </c>
    </row>
    <row r="6" spans="1:13" x14ac:dyDescent="0.3">
      <c r="A6" s="64" t="s">
        <v>274</v>
      </c>
      <c r="B6" s="61">
        <f>Entrate_Uscite!B27</f>
        <v>1923385.18</v>
      </c>
      <c r="C6" s="61">
        <f>Entrate_Uscite!E27</f>
        <v>1851048.46</v>
      </c>
      <c r="D6" s="61">
        <f>Entrate_Uscite!H27</f>
        <v>1864875.64</v>
      </c>
      <c r="E6" s="61">
        <f>Entrate_Uscite!K27</f>
        <v>1848164.78</v>
      </c>
      <c r="F6" s="61">
        <f>Entrate_Uscite!N27</f>
        <v>1902299.16</v>
      </c>
      <c r="G6" s="61">
        <f>Entrate_Uscite!Q27</f>
        <v>1960559.13</v>
      </c>
      <c r="H6" s="61">
        <f>Entrate_Uscite!T27</f>
        <v>1919027.85</v>
      </c>
      <c r="I6" s="61">
        <f>Entrate_Uscite!W27</f>
        <v>2903787.64</v>
      </c>
      <c r="J6" s="61">
        <f t="shared" si="0"/>
        <v>1.0648690297571635</v>
      </c>
      <c r="K6" s="62">
        <f t="shared" si="1"/>
        <v>51.315554904531467</v>
      </c>
      <c r="L6" s="61">
        <f>Entrate_Uscite!X27</f>
        <v>2903787.64</v>
      </c>
      <c r="M6" s="63">
        <f t="shared" si="2"/>
        <v>100</v>
      </c>
    </row>
    <row r="7" spans="1:13" x14ac:dyDescent="0.3">
      <c r="A7" s="64" t="s">
        <v>275</v>
      </c>
      <c r="B7" s="61">
        <f>Entrate_Uscite!B28</f>
        <v>0</v>
      </c>
      <c r="C7" s="61">
        <f>Entrate_Uscite!E28</f>
        <v>0</v>
      </c>
      <c r="D7" s="61">
        <f>Entrate_Uscite!H28</f>
        <v>0</v>
      </c>
      <c r="E7" s="61">
        <f>Entrate_Uscite!K28</f>
        <v>0</v>
      </c>
      <c r="F7" s="61">
        <f>Entrate_Uscite!N28</f>
        <v>0</v>
      </c>
      <c r="G7" s="61">
        <f>Entrate_Uscite!Q28</f>
        <v>0</v>
      </c>
      <c r="H7" s="61">
        <f>Entrate_Uscite!T28</f>
        <v>0</v>
      </c>
      <c r="I7" s="61">
        <f>Entrate_Uscite!W28</f>
        <v>0</v>
      </c>
      <c r="J7" s="61">
        <f t="shared" si="0"/>
        <v>0</v>
      </c>
      <c r="K7" s="62" t="str">
        <f t="shared" si="1"/>
        <v>-</v>
      </c>
      <c r="L7" s="61">
        <f>Entrate_Uscite!X28</f>
        <v>0</v>
      </c>
      <c r="M7" s="63" t="str">
        <f t="shared" si="2"/>
        <v>-</v>
      </c>
    </row>
    <row r="8" spans="1:13" x14ac:dyDescent="0.3">
      <c r="A8" s="64" t="s">
        <v>276</v>
      </c>
      <c r="B8" s="61">
        <f>Entrate_Uscite!B29</f>
        <v>295369.81</v>
      </c>
      <c r="C8" s="61">
        <f>Entrate_Uscite!E29</f>
        <v>3328442.18</v>
      </c>
      <c r="D8" s="61">
        <f>Entrate_Uscite!H29</f>
        <v>475037</v>
      </c>
      <c r="E8" s="61">
        <f>Entrate_Uscite!K29</f>
        <v>742042.62</v>
      </c>
      <c r="F8" s="61">
        <f>Entrate_Uscite!N29</f>
        <v>1576507.94</v>
      </c>
      <c r="G8" s="61">
        <f>Entrate_Uscite!Q29</f>
        <v>5756942.2599999998</v>
      </c>
      <c r="H8" s="61">
        <f>Entrate_Uscite!T29</f>
        <v>771095.51</v>
      </c>
      <c r="I8" s="61">
        <f>Entrate_Uscite!W29</f>
        <v>1718329.66</v>
      </c>
      <c r="J8" s="61">
        <f t="shared" si="0"/>
        <v>0.63014113451049625</v>
      </c>
      <c r="K8" s="62">
        <f t="shared" si="1"/>
        <v>122.84264889572495</v>
      </c>
      <c r="L8" s="61">
        <f>Entrate_Uscite!X29</f>
        <v>389499</v>
      </c>
      <c r="M8" s="63">
        <f t="shared" si="2"/>
        <v>22.667303548726501</v>
      </c>
    </row>
    <row r="9" spans="1:13" x14ac:dyDescent="0.3">
      <c r="A9" s="64" t="s">
        <v>277</v>
      </c>
      <c r="B9" s="61">
        <f>Entrate_Uscite!B30</f>
        <v>2770663.88</v>
      </c>
      <c r="C9" s="61">
        <f>Entrate_Uscite!E30</f>
        <v>4181475.05</v>
      </c>
      <c r="D9" s="61">
        <f>Entrate_Uscite!H30</f>
        <v>1632881.65</v>
      </c>
      <c r="E9" s="61">
        <f>Entrate_Uscite!K30</f>
        <v>1341262.32</v>
      </c>
      <c r="F9" s="61">
        <f>Entrate_Uscite!N30</f>
        <v>2766966.36</v>
      </c>
      <c r="G9" s="61">
        <f>Entrate_Uscite!Q30</f>
        <v>1018037.43</v>
      </c>
      <c r="H9" s="61">
        <f>Entrate_Uscite!T30</f>
        <v>1318084.73</v>
      </c>
      <c r="I9" s="61">
        <f>Entrate_Uscite!W30</f>
        <v>2869999.94</v>
      </c>
      <c r="J9" s="61">
        <f t="shared" si="0"/>
        <v>1.0524784971916601</v>
      </c>
      <c r="K9" s="62">
        <f t="shared" si="1"/>
        <v>117.74017061862176</v>
      </c>
      <c r="L9" s="61">
        <f>Entrate_Uscite!X30</f>
        <v>2850395.95</v>
      </c>
      <c r="M9" s="63">
        <f t="shared" si="2"/>
        <v>99.316934132061348</v>
      </c>
    </row>
    <row r="10" spans="1:13" x14ac:dyDescent="0.3">
      <c r="A10" s="4" t="s">
        <v>282</v>
      </c>
      <c r="B10" s="48">
        <f t="shared" ref="B10:I10" si="3">SUM(B2:B9)</f>
        <v>209850489.28000003</v>
      </c>
      <c r="C10" s="48">
        <f t="shared" si="3"/>
        <v>215287314.38000003</v>
      </c>
      <c r="D10" s="48">
        <f t="shared" si="3"/>
        <v>216622271.30999997</v>
      </c>
      <c r="E10" s="48">
        <f t="shared" si="3"/>
        <v>216287368.86000001</v>
      </c>
      <c r="F10" s="48">
        <f t="shared" si="3"/>
        <v>211762147.90000001</v>
      </c>
      <c r="G10" s="48">
        <f t="shared" ref="G10:H10" si="4">SUM(G2:G9)</f>
        <v>230078932.56999999</v>
      </c>
      <c r="H10" s="48">
        <f t="shared" si="4"/>
        <v>244138246.32999995</v>
      </c>
      <c r="I10" s="48">
        <f t="shared" si="3"/>
        <v>215462679.90999997</v>
      </c>
      <c r="J10" s="48">
        <f t="shared" si="0"/>
        <v>79.013882332194214</v>
      </c>
      <c r="K10" s="49">
        <f t="shared" si="1"/>
        <v>-11.745626443650053</v>
      </c>
      <c r="L10" s="48">
        <f>SUM(L2:L9)</f>
        <v>170869442.32999995</v>
      </c>
      <c r="M10" s="50">
        <f t="shared" ref="M10:M17" si="5">IF(I10&gt;0,L10/I10*100,"-")</f>
        <v>79.303498128480129</v>
      </c>
    </row>
    <row r="11" spans="1:13" x14ac:dyDescent="0.3">
      <c r="A11" s="64" t="s">
        <v>278</v>
      </c>
      <c r="B11" s="61">
        <f>Entrate_Uscite!B32</f>
        <v>30229027.66</v>
      </c>
      <c r="C11" s="61">
        <f>Entrate_Uscite!E32</f>
        <v>18632734.23</v>
      </c>
      <c r="D11" s="61">
        <f>Entrate_Uscite!H32</f>
        <v>23982917.629999999</v>
      </c>
      <c r="E11" s="61">
        <f>Entrate_Uscite!K32</f>
        <v>35373093.619999997</v>
      </c>
      <c r="F11" s="61">
        <f>Entrate_Uscite!N32</f>
        <v>23143459.190000001</v>
      </c>
      <c r="G11" s="61">
        <f>Entrate_Uscite!Q32</f>
        <v>22121714.620000001</v>
      </c>
      <c r="H11" s="61">
        <f>Entrate_Uscite!T32</f>
        <v>38003512.630000003</v>
      </c>
      <c r="I11" s="61">
        <f>Entrate_Uscite!W32</f>
        <v>30640678.969999999</v>
      </c>
      <c r="J11" s="61">
        <f t="shared" si="0"/>
        <v>11.236465654866077</v>
      </c>
      <c r="K11" s="62">
        <f t="shared" si="1"/>
        <v>-19.374087157900703</v>
      </c>
      <c r="L11" s="61">
        <f>Entrate_Uscite!X32</f>
        <v>19294616.710000001</v>
      </c>
      <c r="M11" s="63">
        <f t="shared" si="5"/>
        <v>62.970591248618149</v>
      </c>
    </row>
    <row r="12" spans="1:13" x14ac:dyDescent="0.3">
      <c r="A12" s="64" t="s">
        <v>279</v>
      </c>
      <c r="B12" s="61">
        <f>Entrate_Uscite!B33</f>
        <v>7585996.4299999997</v>
      </c>
      <c r="C12" s="61">
        <f>Entrate_Uscite!E33</f>
        <v>9637933</v>
      </c>
      <c r="D12" s="61">
        <f>Entrate_Uscite!H33</f>
        <v>4217432.6100000003</v>
      </c>
      <c r="E12" s="61">
        <f>Entrate_Uscite!K33</f>
        <v>1950529.53</v>
      </c>
      <c r="F12" s="61">
        <f>Entrate_Uscite!N33</f>
        <v>548206.52</v>
      </c>
      <c r="G12" s="61">
        <f>Entrate_Uscite!Q33</f>
        <v>4164455.92</v>
      </c>
      <c r="H12" s="61">
        <f>Entrate_Uscite!T33</f>
        <v>3827858.64</v>
      </c>
      <c r="I12" s="61">
        <f>Entrate_Uscite!W33</f>
        <v>7323423.4900000002</v>
      </c>
      <c r="J12" s="61">
        <f t="shared" si="0"/>
        <v>2.685625752679738</v>
      </c>
      <c r="K12" s="62">
        <f t="shared" si="1"/>
        <v>91.31906840739552</v>
      </c>
      <c r="L12" s="61">
        <f>Entrate_Uscite!X33</f>
        <v>2438058.87</v>
      </c>
      <c r="M12" s="63">
        <f t="shared" si="5"/>
        <v>33.291245185112189</v>
      </c>
    </row>
    <row r="13" spans="1:13" x14ac:dyDescent="0.3">
      <c r="A13" s="64" t="s">
        <v>280</v>
      </c>
      <c r="B13" s="61">
        <f>Entrate_Uscite!B34</f>
        <v>0</v>
      </c>
      <c r="C13" s="61">
        <f>Entrate_Uscite!E34</f>
        <v>0</v>
      </c>
      <c r="D13" s="61">
        <f>Entrate_Uscite!H34</f>
        <v>0</v>
      </c>
      <c r="E13" s="61">
        <f>Entrate_Uscite!K34</f>
        <v>0</v>
      </c>
      <c r="F13" s="61">
        <f>Entrate_Uscite!N34</f>
        <v>5588363</v>
      </c>
      <c r="G13" s="61">
        <f>Entrate_Uscite!Q34</f>
        <v>0</v>
      </c>
      <c r="H13" s="61">
        <f>Entrate_Uscite!T34</f>
        <v>0</v>
      </c>
      <c r="I13" s="61">
        <f>Entrate_Uscite!W34</f>
        <v>0</v>
      </c>
      <c r="J13" s="61">
        <f t="shared" si="0"/>
        <v>0</v>
      </c>
      <c r="K13" s="62" t="str">
        <f t="shared" si="1"/>
        <v>-</v>
      </c>
      <c r="L13" s="61">
        <f>Entrate_Uscite!X34</f>
        <v>0</v>
      </c>
      <c r="M13" s="63" t="str">
        <f t="shared" si="5"/>
        <v>-</v>
      </c>
    </row>
    <row r="14" spans="1:13" x14ac:dyDescent="0.3">
      <c r="A14" s="64" t="s">
        <v>281</v>
      </c>
      <c r="B14" s="61">
        <f>Entrate_Uscite!B35</f>
        <v>1077409.95</v>
      </c>
      <c r="C14" s="61">
        <f>Entrate_Uscite!E35</f>
        <v>4605583.88</v>
      </c>
      <c r="D14" s="61">
        <f>Entrate_Uscite!H35</f>
        <v>700180.28</v>
      </c>
      <c r="E14" s="61">
        <f>Entrate_Uscite!K35</f>
        <v>171704.64</v>
      </c>
      <c r="F14" s="61">
        <f>Entrate_Uscite!N35</f>
        <v>398190.05</v>
      </c>
      <c r="G14" s="61">
        <f>Entrate_Uscite!Q35</f>
        <v>1424561.71</v>
      </c>
      <c r="H14" s="61">
        <f>Entrate_Uscite!T35</f>
        <v>177638.12</v>
      </c>
      <c r="I14" s="61">
        <f>Entrate_Uscite!W35</f>
        <v>377494.46</v>
      </c>
      <c r="J14" s="61">
        <f t="shared" si="0"/>
        <v>0.13843373179965199</v>
      </c>
      <c r="K14" s="62">
        <f t="shared" si="1"/>
        <v>112.50757438774968</v>
      </c>
      <c r="L14" s="61">
        <f>Entrate_Uscite!X35</f>
        <v>231297.22</v>
      </c>
      <c r="M14" s="63">
        <f t="shared" si="5"/>
        <v>61.27168594739112</v>
      </c>
    </row>
    <row r="15" spans="1:13" x14ac:dyDescent="0.3">
      <c r="A15" s="4" t="s">
        <v>283</v>
      </c>
      <c r="B15" s="51">
        <f t="shared" ref="B15:I15" si="6">SUM(B11:B14)</f>
        <v>38892434.040000007</v>
      </c>
      <c r="C15" s="51">
        <f t="shared" si="6"/>
        <v>32876251.109999999</v>
      </c>
      <c r="D15" s="51">
        <f t="shared" si="6"/>
        <v>28900530.52</v>
      </c>
      <c r="E15" s="51">
        <f t="shared" si="6"/>
        <v>37495327.789999999</v>
      </c>
      <c r="F15" s="51">
        <f t="shared" si="6"/>
        <v>29678218.760000002</v>
      </c>
      <c r="G15" s="51">
        <f t="shared" ref="G15:H15" si="7">SUM(G11:G14)</f>
        <v>27710732.25</v>
      </c>
      <c r="H15" s="51">
        <f t="shared" si="7"/>
        <v>42009009.390000001</v>
      </c>
      <c r="I15" s="51">
        <f t="shared" si="6"/>
        <v>38341596.920000002</v>
      </c>
      <c r="J15" s="51">
        <f t="shared" si="0"/>
        <v>14.060525139345467</v>
      </c>
      <c r="K15" s="49">
        <f t="shared" si="1"/>
        <v>-8.7300617730657706</v>
      </c>
      <c r="L15" s="51">
        <f>SUM(L11:L14)</f>
        <v>21963972.800000001</v>
      </c>
      <c r="M15" s="50">
        <f t="shared" si="5"/>
        <v>57.28497132195087</v>
      </c>
    </row>
    <row r="16" spans="1:13" x14ac:dyDescent="0.3">
      <c r="A16" s="64" t="s">
        <v>284</v>
      </c>
      <c r="B16" s="61">
        <f>Entrate_Uscite!B36</f>
        <v>0</v>
      </c>
      <c r="C16" s="61">
        <f>Entrate_Uscite!E36</f>
        <v>0</v>
      </c>
      <c r="D16" s="61">
        <f>Entrate_Uscite!H36</f>
        <v>6170864.1200000001</v>
      </c>
      <c r="E16" s="61">
        <f>Entrate_Uscite!K36</f>
        <v>4350000</v>
      </c>
      <c r="F16" s="61">
        <f>Entrate_Uscite!N36</f>
        <v>3600000</v>
      </c>
      <c r="G16" s="61">
        <f>Entrate_Uscite!Q36</f>
        <v>4003648.48</v>
      </c>
      <c r="H16" s="61">
        <f>Entrate_Uscite!T36</f>
        <v>3200000</v>
      </c>
      <c r="I16" s="61">
        <f>Entrate_Uscite!W36</f>
        <v>3235499.15</v>
      </c>
      <c r="J16" s="61">
        <f t="shared" si="0"/>
        <v>1.186513363849371</v>
      </c>
      <c r="K16" s="62">
        <f t="shared" si="1"/>
        <v>1.1093484374999889</v>
      </c>
      <c r="L16" s="61">
        <f>Entrate_Uscite!X36</f>
        <v>3116030.35</v>
      </c>
      <c r="M16" s="63">
        <f t="shared" si="5"/>
        <v>96.307562003222912</v>
      </c>
    </row>
    <row r="17" spans="1:13" x14ac:dyDescent="0.3">
      <c r="A17" s="64" t="s">
        <v>285</v>
      </c>
      <c r="B17" s="61">
        <f>Entrate_Uscite!B37</f>
        <v>0</v>
      </c>
      <c r="C17" s="61">
        <f>Entrate_Uscite!E37</f>
        <v>0</v>
      </c>
      <c r="D17" s="61">
        <f>Entrate_Uscite!H37</f>
        <v>0</v>
      </c>
      <c r="E17" s="61">
        <f>Entrate_Uscite!K37</f>
        <v>0</v>
      </c>
      <c r="F17" s="61">
        <f>Entrate_Uscite!N37</f>
        <v>0</v>
      </c>
      <c r="G17" s="61">
        <f>Entrate_Uscite!Q37</f>
        <v>0</v>
      </c>
      <c r="H17" s="61">
        <f>Entrate_Uscite!T37</f>
        <v>0</v>
      </c>
      <c r="I17" s="61">
        <f>Entrate_Uscite!W37</f>
        <v>0</v>
      </c>
      <c r="J17" s="61">
        <f t="shared" si="0"/>
        <v>0</v>
      </c>
      <c r="K17" s="62" t="str">
        <f t="shared" si="1"/>
        <v>-</v>
      </c>
      <c r="L17" s="61">
        <f>Entrate_Uscite!X37</f>
        <v>0</v>
      </c>
      <c r="M17" s="63" t="str">
        <f t="shared" si="5"/>
        <v>-</v>
      </c>
    </row>
    <row r="18" spans="1:13" x14ac:dyDescent="0.3">
      <c r="A18" s="64" t="s">
        <v>286</v>
      </c>
      <c r="B18" s="61">
        <f>Entrate_Uscite!B38</f>
        <v>0</v>
      </c>
      <c r="C18" s="61">
        <f>Entrate_Uscite!E38</f>
        <v>0</v>
      </c>
      <c r="D18" s="61">
        <f>Entrate_Uscite!H38</f>
        <v>0</v>
      </c>
      <c r="E18" s="61">
        <f>Entrate_Uscite!K38</f>
        <v>0</v>
      </c>
      <c r="F18" s="61">
        <f>Entrate_Uscite!N38</f>
        <v>0</v>
      </c>
      <c r="G18" s="61">
        <f>Entrate_Uscite!Q38</f>
        <v>0</v>
      </c>
      <c r="H18" s="61">
        <f>Entrate_Uscite!T38</f>
        <v>0</v>
      </c>
      <c r="I18" s="61">
        <f>Entrate_Uscite!W38</f>
        <v>0</v>
      </c>
      <c r="J18" s="61">
        <f t="shared" si="0"/>
        <v>0</v>
      </c>
      <c r="K18" s="62" t="str">
        <f t="shared" si="1"/>
        <v>-</v>
      </c>
      <c r="L18" s="61">
        <f>Entrate_Uscite!X38</f>
        <v>0</v>
      </c>
      <c r="M18" s="63" t="str">
        <f t="shared" ref="M18:M26" si="8">IF(I18&gt;0,L18/I18*100,"-")</f>
        <v>-</v>
      </c>
    </row>
    <row r="19" spans="1:13" x14ac:dyDescent="0.3">
      <c r="A19" s="64" t="s">
        <v>287</v>
      </c>
      <c r="B19" s="61">
        <f>Entrate_Uscite!B39</f>
        <v>4890000</v>
      </c>
      <c r="C19" s="61">
        <f>Entrate_Uscite!E39</f>
        <v>7328958.6100000003</v>
      </c>
      <c r="D19" s="61">
        <f>Entrate_Uscite!H39</f>
        <v>3622887.4</v>
      </c>
      <c r="E19" s="61">
        <f>Entrate_Uscite!K39</f>
        <v>4757928.34</v>
      </c>
      <c r="F19" s="61">
        <f>Entrate_Uscite!N39</f>
        <v>5210000</v>
      </c>
      <c r="G19" s="61">
        <f>Entrate_Uscite!Q39</f>
        <v>3810000</v>
      </c>
      <c r="H19" s="61">
        <f>Entrate_Uscite!T39</f>
        <v>3560000</v>
      </c>
      <c r="I19" s="61">
        <f>Entrate_Uscite!W39</f>
        <v>4100000</v>
      </c>
      <c r="J19" s="61">
        <f t="shared" si="0"/>
        <v>1.5035407417067077</v>
      </c>
      <c r="K19" s="62">
        <f t="shared" si="1"/>
        <v>15.168539325842701</v>
      </c>
      <c r="L19" s="61">
        <f>Entrate_Uscite!X39</f>
        <v>4100000</v>
      </c>
      <c r="M19" s="63">
        <f t="shared" si="8"/>
        <v>100</v>
      </c>
    </row>
    <row r="20" spans="1:13" x14ac:dyDescent="0.3">
      <c r="A20" s="4" t="s">
        <v>288</v>
      </c>
      <c r="B20" s="48">
        <f t="shared" ref="B20:I20" si="9">SUM(B16:B19)</f>
        <v>4890000</v>
      </c>
      <c r="C20" s="48">
        <f t="shared" si="9"/>
        <v>7328958.6100000003</v>
      </c>
      <c r="D20" s="48">
        <f t="shared" si="9"/>
        <v>9793751.5199999996</v>
      </c>
      <c r="E20" s="48">
        <f t="shared" si="9"/>
        <v>9107928.3399999999</v>
      </c>
      <c r="F20" s="48">
        <f t="shared" si="9"/>
        <v>8810000</v>
      </c>
      <c r="G20" s="48">
        <f t="shared" ref="G20:H20" si="10">SUM(G16:G19)</f>
        <v>7813648.4800000004</v>
      </c>
      <c r="H20" s="48">
        <f t="shared" si="10"/>
        <v>6760000</v>
      </c>
      <c r="I20" s="48">
        <f t="shared" si="9"/>
        <v>7335499.1500000004</v>
      </c>
      <c r="J20" s="48">
        <f t="shared" si="0"/>
        <v>2.6900541055560789</v>
      </c>
      <c r="K20" s="49">
        <f t="shared" si="1"/>
        <v>8.5133010355029626</v>
      </c>
      <c r="L20" s="48">
        <f>SUM(L16:L19)</f>
        <v>7216030.3499999996</v>
      </c>
      <c r="M20" s="45">
        <f t="shared" si="8"/>
        <v>98.371361000021381</v>
      </c>
    </row>
    <row r="21" spans="1:13" x14ac:dyDescent="0.3">
      <c r="A21" s="52" t="s">
        <v>350</v>
      </c>
      <c r="B21" s="53">
        <f t="shared" ref="B21:I21" si="11">B10+B15+B20</f>
        <v>253632923.32000005</v>
      </c>
      <c r="C21" s="53">
        <f t="shared" si="11"/>
        <v>255492524.10000002</v>
      </c>
      <c r="D21" s="53">
        <f t="shared" si="11"/>
        <v>255316553.34999999</v>
      </c>
      <c r="E21" s="53">
        <f t="shared" si="11"/>
        <v>262890624.99000001</v>
      </c>
      <c r="F21" s="53">
        <f t="shared" si="11"/>
        <v>250250366.66</v>
      </c>
      <c r="G21" s="53">
        <f t="shared" ref="G21:H21" si="12">G10+G15+G20</f>
        <v>265603313.29999998</v>
      </c>
      <c r="H21" s="53">
        <f t="shared" si="12"/>
        <v>292907255.71999997</v>
      </c>
      <c r="I21" s="53">
        <f t="shared" si="11"/>
        <v>261139775.97999999</v>
      </c>
      <c r="J21" s="53">
        <f>I21/I$31*100</f>
        <v>95.764461577095773</v>
      </c>
      <c r="K21" s="54">
        <f t="shared" si="1"/>
        <v>-10.845576242866301</v>
      </c>
      <c r="L21" s="53">
        <f>L10+L15+L20</f>
        <v>200049445.47999996</v>
      </c>
      <c r="M21" s="55">
        <f>IF(I21&gt;0,L21/I21*100,"-")</f>
        <v>76.606271384456278</v>
      </c>
    </row>
    <row r="22" spans="1:13" x14ac:dyDescent="0.3">
      <c r="A22" s="64" t="s">
        <v>289</v>
      </c>
      <c r="B22" s="65">
        <f>Entrate_Uscite!B40</f>
        <v>8361615.0499999998</v>
      </c>
      <c r="C22" s="65">
        <f>Entrate_Uscite!E40</f>
        <v>8460251.5099999998</v>
      </c>
      <c r="D22" s="65">
        <f>Entrate_Uscite!H40</f>
        <v>8562968.9900000002</v>
      </c>
      <c r="E22" s="65">
        <f>Entrate_Uscite!K40</f>
        <v>8669783.8200000003</v>
      </c>
      <c r="F22" s="65">
        <f>Entrate_Uscite!N40</f>
        <v>8780722.3000000007</v>
      </c>
      <c r="G22" s="65">
        <f>Entrate_Uscite!Q40</f>
        <v>8896320.0999999996</v>
      </c>
      <c r="H22" s="65">
        <f>Entrate_Uscite!T40</f>
        <v>9016302.0899999999</v>
      </c>
      <c r="I22" s="65">
        <f>Entrate_Uscite!W40</f>
        <v>9014060.3900000006</v>
      </c>
      <c r="J22" s="65">
        <f t="shared" si="0"/>
        <v>3.305611474285282</v>
      </c>
      <c r="K22" s="66">
        <f t="shared" si="1"/>
        <v>-2.4862742814320882E-2</v>
      </c>
      <c r="L22" s="65">
        <f>Entrate_Uscite!X40</f>
        <v>9014060.3900000006</v>
      </c>
      <c r="M22" s="63">
        <f t="shared" si="8"/>
        <v>100</v>
      </c>
    </row>
    <row r="23" spans="1:13" x14ac:dyDescent="0.3">
      <c r="A23" s="64" t="s">
        <v>290</v>
      </c>
      <c r="B23" s="65">
        <f>Entrate_Uscite!B41</f>
        <v>0</v>
      </c>
      <c r="C23" s="65">
        <f>Entrate_Uscite!E41</f>
        <v>0</v>
      </c>
      <c r="D23" s="65">
        <f>Entrate_Uscite!H41</f>
        <v>0</v>
      </c>
      <c r="E23" s="65">
        <f>Entrate_Uscite!K41</f>
        <v>0</v>
      </c>
      <c r="F23" s="65">
        <f>Entrate_Uscite!N41</f>
        <v>581176.22</v>
      </c>
      <c r="G23" s="65">
        <f>Entrate_Uscite!Q41</f>
        <v>0</v>
      </c>
      <c r="H23" s="65">
        <f>Entrate_Uscite!T41</f>
        <v>0</v>
      </c>
      <c r="I23" s="65">
        <f>Entrate_Uscite!W41</f>
        <v>117581.92</v>
      </c>
      <c r="J23" s="65">
        <f t="shared" si="0"/>
        <v>4.3119318831243598E-2</v>
      </c>
      <c r="K23" s="66" t="str">
        <f t="shared" si="1"/>
        <v>-</v>
      </c>
      <c r="L23" s="65">
        <f>Entrate_Uscite!X41</f>
        <v>117581.92</v>
      </c>
      <c r="M23" s="63">
        <f t="shared" si="8"/>
        <v>100</v>
      </c>
    </row>
    <row r="24" spans="1:13" x14ac:dyDescent="0.3">
      <c r="A24" s="64" t="s">
        <v>291</v>
      </c>
      <c r="B24" s="65">
        <f>Entrate_Uscite!B42</f>
        <v>3720570.78</v>
      </c>
      <c r="C24" s="65">
        <f>Entrate_Uscite!E42</f>
        <v>2105334.2599999998</v>
      </c>
      <c r="D24" s="65">
        <f>Entrate_Uscite!H42</f>
        <v>2210846.02</v>
      </c>
      <c r="E24" s="65">
        <f>Entrate_Uscite!K42</f>
        <v>1641834.37</v>
      </c>
      <c r="F24" s="65">
        <f>Entrate_Uscite!N42</f>
        <v>194672.57</v>
      </c>
      <c r="G24" s="65">
        <f>Entrate_Uscite!Q42</f>
        <v>1779386.34</v>
      </c>
      <c r="H24" s="65">
        <f>Entrate_Uscite!T42</f>
        <v>2174236.9700000002</v>
      </c>
      <c r="I24" s="65">
        <f>Entrate_Uscite!W42</f>
        <v>2418232.63</v>
      </c>
      <c r="J24" s="65">
        <f t="shared" si="0"/>
        <v>0.88680762978769812</v>
      </c>
      <c r="K24" s="66">
        <f t="shared" si="1"/>
        <v>11.222128193321979</v>
      </c>
      <c r="L24" s="65">
        <f>Entrate_Uscite!X42</f>
        <v>2418232.63</v>
      </c>
      <c r="M24" s="63">
        <f t="shared" si="8"/>
        <v>100</v>
      </c>
    </row>
    <row r="25" spans="1:13" x14ac:dyDescent="0.3">
      <c r="A25" s="64" t="s">
        <v>292</v>
      </c>
      <c r="B25" s="65">
        <f>Entrate_Uscite!B43</f>
        <v>0</v>
      </c>
      <c r="C25" s="65">
        <f>Entrate_Uscite!E43</f>
        <v>0</v>
      </c>
      <c r="D25" s="65">
        <f>Entrate_Uscite!H43</f>
        <v>0</v>
      </c>
      <c r="E25" s="65">
        <f>Entrate_Uscite!K43</f>
        <v>0</v>
      </c>
      <c r="F25" s="65">
        <f>Entrate_Uscite!N43</f>
        <v>0</v>
      </c>
      <c r="G25" s="65">
        <f>Entrate_Uscite!Q43</f>
        <v>0</v>
      </c>
      <c r="H25" s="65">
        <f>Entrate_Uscite!T43</f>
        <v>0</v>
      </c>
      <c r="I25" s="65">
        <f>Entrate_Uscite!W43</f>
        <v>0</v>
      </c>
      <c r="J25" s="65">
        <f t="shared" si="0"/>
        <v>0</v>
      </c>
      <c r="K25" s="66" t="str">
        <f t="shared" si="1"/>
        <v>-</v>
      </c>
      <c r="L25" s="65">
        <f>Entrate_Uscite!X43</f>
        <v>0</v>
      </c>
      <c r="M25" s="63" t="str">
        <f t="shared" si="8"/>
        <v>-</v>
      </c>
    </row>
    <row r="26" spans="1:13" x14ac:dyDescent="0.3">
      <c r="A26" s="64" t="s">
        <v>293</v>
      </c>
      <c r="B26" s="65">
        <f>Entrate_Uscite!B44</f>
        <v>0</v>
      </c>
      <c r="C26" s="65">
        <f>Entrate_Uscite!E44</f>
        <v>0</v>
      </c>
      <c r="D26" s="65">
        <f>Entrate_Uscite!H44</f>
        <v>0</v>
      </c>
      <c r="E26" s="65">
        <f>Entrate_Uscite!K44</f>
        <v>0</v>
      </c>
      <c r="F26" s="65">
        <f>Entrate_Uscite!N44</f>
        <v>0</v>
      </c>
      <c r="G26" s="65">
        <f>Entrate_Uscite!Q44</f>
        <v>0</v>
      </c>
      <c r="H26" s="65">
        <f>Entrate_Uscite!T44</f>
        <v>0</v>
      </c>
      <c r="I26" s="65">
        <f>Entrate_Uscite!W44</f>
        <v>0</v>
      </c>
      <c r="J26" s="65">
        <f t="shared" si="0"/>
        <v>0</v>
      </c>
      <c r="K26" s="66" t="str">
        <f t="shared" si="1"/>
        <v>-</v>
      </c>
      <c r="L26" s="65">
        <f>Entrate_Uscite!X44</f>
        <v>0</v>
      </c>
      <c r="M26" s="63" t="str">
        <f t="shared" si="8"/>
        <v>-</v>
      </c>
    </row>
    <row r="27" spans="1:13" x14ac:dyDescent="0.3">
      <c r="A27" s="4" t="s">
        <v>294</v>
      </c>
      <c r="B27" s="48">
        <f t="shared" ref="B27:I27" si="13">SUM(B22:B26)</f>
        <v>12082185.83</v>
      </c>
      <c r="C27" s="48">
        <f t="shared" si="13"/>
        <v>10565585.77</v>
      </c>
      <c r="D27" s="48">
        <f t="shared" si="13"/>
        <v>10773815.01</v>
      </c>
      <c r="E27" s="48">
        <f t="shared" si="13"/>
        <v>10311618.190000001</v>
      </c>
      <c r="F27" s="48">
        <f t="shared" si="13"/>
        <v>9556571.0900000017</v>
      </c>
      <c r="G27" s="48">
        <f t="shared" ref="G27" si="14">SUM(G22:G26)</f>
        <v>10675706.439999999</v>
      </c>
      <c r="H27" s="48">
        <f t="shared" ref="H27" si="15">SUM(H22:H26)</f>
        <v>11190539.060000001</v>
      </c>
      <c r="I27" s="48">
        <f t="shared" si="13"/>
        <v>11549874.940000001</v>
      </c>
      <c r="J27" s="48">
        <f t="shared" si="0"/>
        <v>4.2355384229042237</v>
      </c>
      <c r="K27" s="49">
        <f t="shared" si="1"/>
        <v>3.2110685470410232</v>
      </c>
      <c r="L27" s="48">
        <f>SUM(L22:L26)</f>
        <v>11549874.940000001</v>
      </c>
      <c r="M27" s="50">
        <f>IF(I27&gt;0,L27/I27*100,"-")</f>
        <v>100</v>
      </c>
    </row>
    <row r="28" spans="1:13" x14ac:dyDescent="0.3">
      <c r="A28" s="4" t="s">
        <v>295</v>
      </c>
      <c r="B28" s="48">
        <f>Entrate_Uscite!B52</f>
        <v>0</v>
      </c>
      <c r="C28" s="48">
        <f>Entrate_Uscite!E52</f>
        <v>0</v>
      </c>
      <c r="D28" s="48">
        <f>Entrate_Uscite!H52</f>
        <v>0</v>
      </c>
      <c r="E28" s="48">
        <f>Entrate_Uscite!K52</f>
        <v>0</v>
      </c>
      <c r="F28" s="48">
        <f>Entrate_Uscite!N52</f>
        <v>0</v>
      </c>
      <c r="G28" s="48">
        <f>Entrate_Uscite!Q52</f>
        <v>0</v>
      </c>
      <c r="H28" s="48">
        <f>Entrate_Uscite!T52</f>
        <v>0</v>
      </c>
      <c r="I28" s="48">
        <f>Entrate_Uscite!W52</f>
        <v>0</v>
      </c>
      <c r="J28" s="48">
        <f t="shared" si="0"/>
        <v>0</v>
      </c>
      <c r="K28" s="49" t="str">
        <f t="shared" si="1"/>
        <v>-</v>
      </c>
      <c r="L28" s="48">
        <f>Entrate_Uscite!X52</f>
        <v>0</v>
      </c>
      <c r="M28" s="50" t="str">
        <f>IF(I28&gt;0,L28/I28*100,"-")</f>
        <v>-</v>
      </c>
    </row>
    <row r="29" spans="1:13" x14ac:dyDescent="0.3">
      <c r="A29" s="4" t="s">
        <v>296</v>
      </c>
      <c r="B29" s="48">
        <f>Entrate_Uscite!B53</f>
        <v>23429125.049999997</v>
      </c>
      <c r="C29" s="48">
        <f>Entrate_Uscite!E53</f>
        <v>24038908.939999998</v>
      </c>
      <c r="D29" s="48">
        <f>Entrate_Uscite!H53</f>
        <v>24376809.739999998</v>
      </c>
      <c r="E29" s="48">
        <f>Entrate_Uscite!K53</f>
        <v>23962028.580000002</v>
      </c>
      <c r="F29" s="48">
        <f>Entrate_Uscite!N53</f>
        <v>21628781.68</v>
      </c>
      <c r="G29" s="48">
        <f>Entrate_Uscite!Q53</f>
        <v>22467495.68</v>
      </c>
      <c r="H29" s="48">
        <f>Entrate_Uscite!T53</f>
        <v>23922685.52</v>
      </c>
      <c r="I29" s="48">
        <f>Entrate_Uscite!W53</f>
        <v>21808314.939999998</v>
      </c>
      <c r="J29" s="48"/>
      <c r="K29" s="49">
        <f t="shared" si="1"/>
        <v>-8.8383496001413988</v>
      </c>
      <c r="L29" s="48">
        <f>Entrate_Uscite!X53</f>
        <v>19397198.09</v>
      </c>
      <c r="M29" s="50">
        <f>IF(I29&gt;0,L29/I29*100,"-")</f>
        <v>88.944047916432012</v>
      </c>
    </row>
    <row r="30" spans="1:13" x14ac:dyDescent="0.3">
      <c r="A30" s="52" t="s">
        <v>69</v>
      </c>
      <c r="B30" s="53">
        <f t="shared" ref="B30:I30" si="16">B10+B15+B20+B27+B28+B29</f>
        <v>289144234.20000005</v>
      </c>
      <c r="C30" s="53">
        <f t="shared" si="16"/>
        <v>290097018.81000006</v>
      </c>
      <c r="D30" s="53">
        <f t="shared" si="16"/>
        <v>290467178.09999996</v>
      </c>
      <c r="E30" s="53">
        <f t="shared" si="16"/>
        <v>297164271.75999999</v>
      </c>
      <c r="F30" s="53">
        <f t="shared" si="16"/>
        <v>281435719.43000001</v>
      </c>
      <c r="G30" s="53">
        <f t="shared" ref="G30:H30" si="17">G10+G15+G20+G27+G28+G29</f>
        <v>298746515.42000002</v>
      </c>
      <c r="H30" s="53">
        <f t="shared" si="17"/>
        <v>328020480.29999995</v>
      </c>
      <c r="I30" s="53">
        <f t="shared" si="16"/>
        <v>294497965.86000001</v>
      </c>
      <c r="J30" s="53"/>
      <c r="K30" s="54">
        <f t="shared" si="1"/>
        <v>-10.219640678942071</v>
      </c>
      <c r="L30" s="53">
        <f>L10+L15+L20+L27+L28+L29</f>
        <v>230996518.50999996</v>
      </c>
      <c r="M30" s="55">
        <f>IF(I30&gt;0,L30/I30*100,"-")</f>
        <v>78.437390165136932</v>
      </c>
    </row>
    <row r="31" spans="1:13" x14ac:dyDescent="0.3">
      <c r="A31" s="43" t="s">
        <v>70</v>
      </c>
      <c r="B31" s="56">
        <f t="shared" ref="B31:I31" si="18">B30-B29</f>
        <v>265715109.15000004</v>
      </c>
      <c r="C31" s="56">
        <f t="shared" si="18"/>
        <v>266058109.87000006</v>
      </c>
      <c r="D31" s="56">
        <f t="shared" si="18"/>
        <v>266090368.35999995</v>
      </c>
      <c r="E31" s="56">
        <f t="shared" si="18"/>
        <v>273202243.18000001</v>
      </c>
      <c r="F31" s="56">
        <f t="shared" si="18"/>
        <v>259806937.75</v>
      </c>
      <c r="G31" s="56">
        <f t="shared" ref="G31:H31" si="19">G30-G29</f>
        <v>276279019.74000001</v>
      </c>
      <c r="H31" s="56">
        <f t="shared" si="19"/>
        <v>304097794.77999997</v>
      </c>
      <c r="I31" s="56">
        <f t="shared" si="18"/>
        <v>272689650.92000002</v>
      </c>
      <c r="J31" s="56">
        <f t="shared" si="0"/>
        <v>100</v>
      </c>
      <c r="K31" s="57">
        <f t="shared" si="1"/>
        <v>-10.328303723057985</v>
      </c>
      <c r="L31" s="56">
        <f>L30-L29</f>
        <v>211599320.41999996</v>
      </c>
      <c r="M31" s="58">
        <f>IF(I31&gt;0,L31/I31*100,"-")</f>
        <v>77.597121748517566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6" width="10.5546875" bestFit="1" customWidth="1"/>
    <col min="7" max="10" width="11.21875" bestFit="1" customWidth="1"/>
    <col min="11" max="11" width="10.5546875" bestFit="1" customWidth="1"/>
  </cols>
  <sheetData>
    <row r="1" spans="1:11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47" t="s">
        <v>266</v>
      </c>
      <c r="K1" s="47" t="s">
        <v>343</v>
      </c>
    </row>
    <row r="2" spans="1:11" x14ac:dyDescent="0.3">
      <c r="A2" s="67" t="s">
        <v>298</v>
      </c>
      <c r="B2" s="69">
        <f>Entrate_Uscite!B56</f>
        <v>29803705.199999988</v>
      </c>
      <c r="C2" s="69">
        <f>Entrate_Uscite!E56</f>
        <v>19678027.419999987</v>
      </c>
      <c r="D2" s="69">
        <f>Entrate_Uscite!H56</f>
        <v>23208105.060000002</v>
      </c>
      <c r="E2" s="69">
        <f>Entrate_Uscite!K56</f>
        <v>28515961.149999976</v>
      </c>
      <c r="F2" s="69">
        <f>Entrate_Uscite!N56</f>
        <v>46516321.689999998</v>
      </c>
      <c r="G2" s="69">
        <f>Entrate_Uscite!Q56</f>
        <v>38384498.100000024</v>
      </c>
      <c r="H2" s="69">
        <f>Entrate_Uscite!T56</f>
        <v>27723869.350000054</v>
      </c>
      <c r="I2" s="69">
        <f>Entrate_Uscite!W56</f>
        <v>19768021.730000019</v>
      </c>
      <c r="J2" s="69">
        <f t="shared" ref="J2:J6" si="0">I2-H2</f>
        <v>-7955847.6200000346</v>
      </c>
      <c r="K2" s="69">
        <f>Entrate_Uscite!X56</f>
        <v>15772233.070000052</v>
      </c>
    </row>
    <row r="3" spans="1:11" x14ac:dyDescent="0.3">
      <c r="A3" s="67" t="s">
        <v>72</v>
      </c>
      <c r="B3" s="70">
        <f>Entrate_Uscite!B57</f>
        <v>-9307616.22000001</v>
      </c>
      <c r="C3" s="70">
        <f>Entrate_Uscite!E57</f>
        <v>-5024504.8399999961</v>
      </c>
      <c r="D3" s="70">
        <f>Entrate_Uscite!H57</f>
        <v>-3256272.0500000007</v>
      </c>
      <c r="E3" s="70">
        <f>Entrate_Uscite!K57</f>
        <v>-8130087.5700000003</v>
      </c>
      <c r="F3" s="70">
        <f>Entrate_Uscite!N57</f>
        <v>-2592069.6300000064</v>
      </c>
      <c r="G3" s="70">
        <f>Entrate_Uscite!Q57</f>
        <v>1439483.5</v>
      </c>
      <c r="H3" s="70">
        <f>Entrate_Uscite!T57</f>
        <v>1770493.2300000042</v>
      </c>
      <c r="I3" s="70">
        <f>Entrate_Uscite!W57</f>
        <v>-10880600.840000004</v>
      </c>
      <c r="J3" s="69">
        <f t="shared" si="0"/>
        <v>-12651094.070000008</v>
      </c>
      <c r="K3" s="69">
        <f>Entrate_Uscite!X57</f>
        <v>-6632374.8800000008</v>
      </c>
    </row>
    <row r="4" spans="1:11" x14ac:dyDescent="0.3">
      <c r="A4" s="67" t="s">
        <v>301</v>
      </c>
      <c r="B4" s="70">
        <f>Entrate_Uscite!B16-Entrate_Uscite!B50</f>
        <v>160499.73000000045</v>
      </c>
      <c r="C4" s="70">
        <f>Entrate_Uscite!E16-Entrate_Uscite!E50</f>
        <v>5495583.5599999996</v>
      </c>
      <c r="D4" s="70">
        <f>Entrate_Uscite!H16-Entrate_Uscite!H50</f>
        <v>-6170764.1199999992</v>
      </c>
      <c r="E4" s="70">
        <f>Entrate_Uscite!K16-Entrate_Uscite!K50</f>
        <v>-4342381.8499999996</v>
      </c>
      <c r="F4" s="70">
        <f>Entrate_Uscite!N16-Entrate_Uscite!N50</f>
        <v>-3513248</v>
      </c>
      <c r="G4" s="70">
        <f>Entrate_Uscite!Q16-Entrate_Uscite!Q50</f>
        <v>-4003648.4800000004</v>
      </c>
      <c r="H4" s="70">
        <f>Entrate_Uscite!T16-Entrate_Uscite!T50</f>
        <v>-3200000</v>
      </c>
      <c r="I4" s="70">
        <f>Entrate_Uscite!W16-Entrate_Uscite!W50</f>
        <v>-2490915.1500000004</v>
      </c>
      <c r="J4" s="69">
        <f t="shared" si="0"/>
        <v>709084.84999999963</v>
      </c>
      <c r="K4" s="70">
        <f>Entrate_Uscite!X16-Entrate_Uscite!X50</f>
        <v>-5987294.8599999994</v>
      </c>
    </row>
    <row r="5" spans="1:11" x14ac:dyDescent="0.3">
      <c r="A5" s="52" t="s">
        <v>299</v>
      </c>
      <c r="B5" s="71">
        <f>Entrate_Uscite!B58</f>
        <v>20656588.709999979</v>
      </c>
      <c r="C5" s="71">
        <f>Entrate_Uscite!E58</f>
        <v>20149106.139999986</v>
      </c>
      <c r="D5" s="71">
        <f>Entrate_Uscite!H58</f>
        <v>13781068.889999956</v>
      </c>
      <c r="E5" s="71">
        <f>Entrate_Uscite!K58</f>
        <v>16043491.730000019</v>
      </c>
      <c r="F5" s="71">
        <f>Entrate_Uscite!N58</f>
        <v>40411004.060000032</v>
      </c>
      <c r="G5" s="71">
        <f>Entrate_Uscite!Q58</f>
        <v>35820333.120000035</v>
      </c>
      <c r="H5" s="71">
        <f>Entrate_Uscite!T58</f>
        <v>26294362.580000043</v>
      </c>
      <c r="I5" s="71">
        <f>Entrate_Uscite!W58</f>
        <v>6396505.7399999797</v>
      </c>
      <c r="J5" s="71">
        <f t="shared" si="0"/>
        <v>-19897856.840000063</v>
      </c>
      <c r="K5" s="71">
        <f>Entrate_Uscite!X58</f>
        <v>3152563.3300000429</v>
      </c>
    </row>
    <row r="6" spans="1:11" x14ac:dyDescent="0.3">
      <c r="A6" s="43" t="s">
        <v>300</v>
      </c>
      <c r="B6" s="72">
        <f>Entrate_Uscite!B59</f>
        <v>13464402.879999995</v>
      </c>
      <c r="C6" s="72">
        <f>Entrate_Uscite!E59</f>
        <v>16912478.979999959</v>
      </c>
      <c r="D6" s="72">
        <f>Entrate_Uscite!H59</f>
        <v>6630141.2799999714</v>
      </c>
      <c r="E6" s="72">
        <f>Entrate_Uscite!K59</f>
        <v>11461873.540000021</v>
      </c>
      <c r="F6" s="72">
        <f>Entrate_Uscite!N59</f>
        <v>38658683.140000045</v>
      </c>
      <c r="G6" s="72">
        <f>Entrate_Uscite!Q59</f>
        <v>30185558.319999993</v>
      </c>
      <c r="H6" s="72">
        <f>Entrate_Uscite!T59</f>
        <v>21699239.870000064</v>
      </c>
      <c r="I6" s="72">
        <f>Entrate_Uscite!W59</f>
        <v>6772327.5999999642</v>
      </c>
      <c r="J6" s="72">
        <f t="shared" si="0"/>
        <v>-14926912.2700001</v>
      </c>
      <c r="K6" s="72">
        <f>Entrate_Uscite!X59</f>
        <v>1618657.5500000417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2" width="10.109375" bestFit="1" customWidth="1"/>
    <col min="3" max="11" width="11.109375" bestFit="1" customWidth="1"/>
    <col min="12" max="12" width="12" bestFit="1" customWidth="1"/>
  </cols>
  <sheetData>
    <row r="1" spans="1:11" x14ac:dyDescent="0.3">
      <c r="A1" s="46"/>
      <c r="B1" s="74">
        <v>2014</v>
      </c>
      <c r="C1" s="74">
        <v>2015</v>
      </c>
      <c r="D1" s="74">
        <v>2016</v>
      </c>
      <c r="E1" s="74">
        <v>2017</v>
      </c>
      <c r="F1" s="74">
        <v>2018</v>
      </c>
      <c r="G1" s="74">
        <v>2019</v>
      </c>
      <c r="H1" s="74">
        <v>2020</v>
      </c>
      <c r="I1" s="74">
        <v>2021</v>
      </c>
      <c r="J1" s="74">
        <v>2022</v>
      </c>
      <c r="K1" s="74">
        <v>2023</v>
      </c>
    </row>
    <row r="2" spans="1:11" x14ac:dyDescent="0.3">
      <c r="A2" t="s">
        <v>5</v>
      </c>
      <c r="B2" s="1"/>
      <c r="C2" s="1">
        <v>32677880.73</v>
      </c>
      <c r="D2" s="97">
        <v>50364841.009999998</v>
      </c>
      <c r="E2" s="97">
        <v>42638708.579999998</v>
      </c>
      <c r="F2" s="1">
        <v>49201796.979999997</v>
      </c>
      <c r="G2" s="1">
        <v>63434232.060000002</v>
      </c>
      <c r="H2" s="1">
        <v>97518928.790000007</v>
      </c>
      <c r="I2" s="1">
        <v>113291653.95</v>
      </c>
      <c r="J2" s="1">
        <v>147691457.94</v>
      </c>
      <c r="K2" s="1">
        <v>140464499.75</v>
      </c>
    </row>
    <row r="3" spans="1:11" x14ac:dyDescent="0.3">
      <c r="A3" t="s">
        <v>6</v>
      </c>
      <c r="B3" s="1"/>
      <c r="C3" s="1">
        <v>103925742.08</v>
      </c>
      <c r="D3" s="97">
        <v>111239183.55</v>
      </c>
      <c r="E3" s="97">
        <v>128583447.23999999</v>
      </c>
      <c r="F3" s="1">
        <v>133279675.75</v>
      </c>
      <c r="G3" s="1">
        <v>139586885.83000001</v>
      </c>
      <c r="H3" s="1">
        <v>152476519.74000001</v>
      </c>
      <c r="I3" s="1">
        <v>155292741.16</v>
      </c>
      <c r="J3" s="1">
        <v>162381190.25</v>
      </c>
      <c r="K3" s="1">
        <v>146072860.99000001</v>
      </c>
    </row>
    <row r="4" spans="1:11" x14ac:dyDescent="0.3">
      <c r="A4" t="s">
        <v>7</v>
      </c>
      <c r="B4" s="1"/>
      <c r="C4" s="1">
        <v>52918765.960000001</v>
      </c>
      <c r="D4" s="97">
        <v>67085362.43</v>
      </c>
      <c r="E4" s="97">
        <v>57567657.789999999</v>
      </c>
      <c r="F4" s="1">
        <v>56610031.579999998</v>
      </c>
      <c r="G4" s="1">
        <v>66986942.329999998</v>
      </c>
      <c r="H4" s="1">
        <v>77624079.010000005</v>
      </c>
      <c r="I4" s="1">
        <v>72603225.900000006</v>
      </c>
      <c r="J4" s="1">
        <v>97493924.989999995</v>
      </c>
      <c r="K4" s="1">
        <v>74047139.469999999</v>
      </c>
    </row>
    <row r="5" spans="1:11" x14ac:dyDescent="0.3">
      <c r="A5" t="s">
        <v>8</v>
      </c>
      <c r="B5" s="1"/>
      <c r="C5" s="1">
        <v>8805911.9000000004</v>
      </c>
      <c r="D5" s="97">
        <v>6944232</v>
      </c>
      <c r="E5" s="97">
        <v>6302949.5999999996</v>
      </c>
      <c r="F5" s="1">
        <v>6644262.6799999997</v>
      </c>
      <c r="G5" s="1">
        <v>4215935.04</v>
      </c>
      <c r="H5" s="1">
        <v>5465658.2800000003</v>
      </c>
      <c r="I5" s="1">
        <v>6659991.9400000004</v>
      </c>
      <c r="J5" s="1">
        <v>7009472.9000000004</v>
      </c>
      <c r="K5" s="1">
        <v>6974415.8600000003</v>
      </c>
    </row>
    <row r="6" spans="1:11" x14ac:dyDescent="0.3">
      <c r="A6" t="s">
        <v>9</v>
      </c>
      <c r="B6" s="1"/>
      <c r="C6" s="1">
        <v>33521657.359999999</v>
      </c>
      <c r="D6" s="97">
        <v>33421210.690000001</v>
      </c>
      <c r="E6" s="97">
        <v>38734427.759999998</v>
      </c>
      <c r="F6" s="1">
        <v>42176943.130000003</v>
      </c>
      <c r="G6" s="1">
        <v>35260753.770000003</v>
      </c>
      <c r="H6" s="1">
        <v>41188089.530000001</v>
      </c>
      <c r="I6" s="1">
        <v>48718195.299999997</v>
      </c>
      <c r="J6" s="1">
        <v>50197575.299999997</v>
      </c>
      <c r="K6" s="1">
        <v>56111399.079999998</v>
      </c>
    </row>
    <row r="7" spans="1:11" x14ac:dyDescent="0.3">
      <c r="A7" s="4" t="s">
        <v>0</v>
      </c>
      <c r="B7" s="3">
        <v>26633246.309999999</v>
      </c>
      <c r="C7" s="3">
        <f t="shared" ref="C7:K7" si="0">C2+C3-C4-C5-C6</f>
        <v>41357287.589999989</v>
      </c>
      <c r="D7" s="3">
        <f t="shared" si="0"/>
        <v>54153219.439999998</v>
      </c>
      <c r="E7" s="3">
        <f t="shared" si="0"/>
        <v>68617120.670000017</v>
      </c>
      <c r="F7" s="3">
        <f t="shared" si="0"/>
        <v>77050235.340000004</v>
      </c>
      <c r="G7" s="3">
        <f t="shared" si="0"/>
        <v>96557486.75</v>
      </c>
      <c r="H7" s="3">
        <f t="shared" ref="H7:J7" si="1">H2+H3-H4-H5-H6</f>
        <v>125717621.71000004</v>
      </c>
      <c r="I7" s="3">
        <f t="shared" si="1"/>
        <v>140602981.97000003</v>
      </c>
      <c r="J7" s="3">
        <f t="shared" si="1"/>
        <v>155371675</v>
      </c>
      <c r="K7" s="3">
        <f t="shared" si="0"/>
        <v>149404406.32999998</v>
      </c>
    </row>
    <row r="8" spans="1:11" x14ac:dyDescent="0.3">
      <c r="A8" t="s">
        <v>10</v>
      </c>
      <c r="B8" s="1"/>
      <c r="C8" s="1">
        <v>15961335.029999999</v>
      </c>
      <c r="D8" s="1">
        <v>25680941.469999999</v>
      </c>
      <c r="E8" s="1">
        <v>35029445.810000002</v>
      </c>
      <c r="F8" s="1">
        <v>42425122.469999999</v>
      </c>
      <c r="G8" s="1">
        <v>54080054.549999997</v>
      </c>
      <c r="H8" s="1">
        <v>67072901.359999999</v>
      </c>
      <c r="I8" s="1">
        <v>77408246.439999998</v>
      </c>
      <c r="J8" s="1">
        <v>75344284.049999997</v>
      </c>
      <c r="K8" s="1">
        <v>68084959.609999999</v>
      </c>
    </row>
    <row r="9" spans="1:11" x14ac:dyDescent="0.3">
      <c r="A9" t="s">
        <v>11</v>
      </c>
      <c r="B9" s="1"/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/>
      <c r="C10" s="1">
        <v>0</v>
      </c>
      <c r="D10" s="1">
        <v>0</v>
      </c>
      <c r="E10" s="1">
        <v>0</v>
      </c>
      <c r="F10" s="1">
        <v>0</v>
      </c>
      <c r="G10" s="1">
        <v>1326058.24</v>
      </c>
      <c r="H10" s="1">
        <v>3148202.37</v>
      </c>
      <c r="I10" s="1">
        <v>2279603.58</v>
      </c>
      <c r="J10" s="1">
        <v>2487490</v>
      </c>
      <c r="K10" s="1">
        <v>2359136.4</v>
      </c>
    </row>
    <row r="11" spans="1:11" x14ac:dyDescent="0.3">
      <c r="A11" t="s">
        <v>13</v>
      </c>
      <c r="B11" s="1"/>
      <c r="C11" s="1">
        <v>0</v>
      </c>
      <c r="D11" s="1">
        <v>0</v>
      </c>
      <c r="E11" s="1">
        <v>7909000</v>
      </c>
      <c r="F11" s="1">
        <v>7957130</v>
      </c>
      <c r="G11" s="1">
        <v>10169775.720000001</v>
      </c>
      <c r="H11" s="1">
        <v>12326537.550000001</v>
      </c>
      <c r="I11" s="1">
        <v>13123125.619999999</v>
      </c>
      <c r="J11" s="1">
        <v>15618501.609999999</v>
      </c>
      <c r="K11" s="1">
        <v>21850024.09</v>
      </c>
    </row>
    <row r="12" spans="1:11" x14ac:dyDescent="0.3">
      <c r="A12" t="s">
        <v>14</v>
      </c>
      <c r="B12" s="1"/>
      <c r="C12" s="1">
        <v>19537.18</v>
      </c>
      <c r="D12" s="1">
        <v>25003.360000000001</v>
      </c>
      <c r="E12" s="1">
        <v>2998778.56</v>
      </c>
      <c r="F12" s="1">
        <v>3038737.64</v>
      </c>
      <c r="G12" s="1">
        <v>5937674.3099999996</v>
      </c>
      <c r="H12" s="1">
        <v>7196906.5099999998</v>
      </c>
      <c r="I12" s="1">
        <v>10324681.42</v>
      </c>
      <c r="J12" s="1">
        <v>11928501.67</v>
      </c>
      <c r="K12" s="1">
        <v>15402981.6</v>
      </c>
    </row>
    <row r="13" spans="1:11" x14ac:dyDescent="0.3">
      <c r="A13" s="4" t="s">
        <v>1</v>
      </c>
      <c r="B13" s="3">
        <f t="shared" ref="B13:G13" si="2">SUM(B8:B12)</f>
        <v>0</v>
      </c>
      <c r="C13" s="3">
        <f t="shared" si="2"/>
        <v>15980872.209999999</v>
      </c>
      <c r="D13" s="3">
        <f t="shared" si="2"/>
        <v>25705944.829999998</v>
      </c>
      <c r="E13" s="3">
        <f t="shared" si="2"/>
        <v>45937224.370000005</v>
      </c>
      <c r="F13" s="3">
        <f t="shared" si="2"/>
        <v>53420990.109999999</v>
      </c>
      <c r="G13" s="3">
        <f t="shared" si="2"/>
        <v>71513562.819999993</v>
      </c>
      <c r="H13" s="3">
        <f t="shared" ref="H13:K13" si="3">SUM(H8:H12)</f>
        <v>89744547.790000007</v>
      </c>
      <c r="I13" s="3">
        <f t="shared" ref="I13:J13" si="4">SUM(I8:I12)</f>
        <v>103135657.06</v>
      </c>
      <c r="J13" s="3">
        <f t="shared" si="4"/>
        <v>105378777.33</v>
      </c>
      <c r="K13" s="3">
        <f t="shared" si="3"/>
        <v>107697101.7</v>
      </c>
    </row>
    <row r="14" spans="1:11" x14ac:dyDescent="0.3">
      <c r="A14" t="s">
        <v>16</v>
      </c>
      <c r="B14" s="1"/>
      <c r="C14" s="1">
        <v>7665634.29</v>
      </c>
      <c r="D14" s="1">
        <v>9819096.75</v>
      </c>
      <c r="E14" s="1">
        <v>7539617.7699999996</v>
      </c>
      <c r="F14" s="1">
        <v>3397803.95</v>
      </c>
      <c r="G14" s="1">
        <v>6327029.71</v>
      </c>
      <c r="H14" s="1">
        <v>12149781.710000001</v>
      </c>
      <c r="I14" s="1">
        <v>9301554.9299999997</v>
      </c>
      <c r="J14" s="1">
        <v>9538212.3300000001</v>
      </c>
      <c r="K14" s="1">
        <v>9056116.0099999998</v>
      </c>
    </row>
    <row r="15" spans="1:11" x14ac:dyDescent="0.3">
      <c r="A15" t="s">
        <v>15</v>
      </c>
      <c r="B15" s="1"/>
      <c r="C15" s="1">
        <v>3938234.29</v>
      </c>
      <c r="D15" s="1">
        <v>5248318.24</v>
      </c>
      <c r="E15" s="1">
        <v>4900058.93</v>
      </c>
      <c r="F15" s="1">
        <v>4351428.3</v>
      </c>
      <c r="G15" s="1">
        <v>5334007.3600000003</v>
      </c>
      <c r="H15" s="1">
        <v>9381003.1400000006</v>
      </c>
      <c r="I15" s="1">
        <v>12727156.140000001</v>
      </c>
      <c r="J15" s="1">
        <v>18073458.390000001</v>
      </c>
      <c r="K15" s="1">
        <v>16324400.720000001</v>
      </c>
    </row>
    <row r="16" spans="1:11" x14ac:dyDescent="0.3">
      <c r="A16" t="s">
        <v>17</v>
      </c>
      <c r="B16" s="1"/>
      <c r="C16" s="1">
        <v>281444.96999999997</v>
      </c>
      <c r="D16" s="1">
        <v>260085.19</v>
      </c>
      <c r="E16" s="1">
        <v>929816.12</v>
      </c>
      <c r="F16" s="1">
        <v>1192718.17</v>
      </c>
      <c r="G16" s="1">
        <v>1151894.56</v>
      </c>
      <c r="H16" s="1">
        <v>818488.84</v>
      </c>
      <c r="I16" s="1">
        <v>532615.88</v>
      </c>
      <c r="J16" s="1">
        <v>351827.51</v>
      </c>
      <c r="K16" s="1">
        <v>900000</v>
      </c>
    </row>
    <row r="17" spans="1:11" x14ac:dyDescent="0.3">
      <c r="A17" t="s">
        <v>18</v>
      </c>
      <c r="B17" s="1"/>
      <c r="C17" s="1">
        <v>9682101.8100000005</v>
      </c>
      <c r="D17" s="1">
        <v>0</v>
      </c>
      <c r="E17" s="1">
        <v>409334.68</v>
      </c>
      <c r="F17" s="1">
        <v>359334.68</v>
      </c>
      <c r="G17" s="1">
        <v>199334.68</v>
      </c>
      <c r="H17" s="1">
        <v>403458.01</v>
      </c>
      <c r="I17" s="1">
        <v>57412.81</v>
      </c>
      <c r="J17" s="1">
        <v>520864.21</v>
      </c>
      <c r="K17" s="1">
        <v>1450000</v>
      </c>
    </row>
    <row r="18" spans="1:11" x14ac:dyDescent="0.3">
      <c r="A18" t="s">
        <v>19</v>
      </c>
      <c r="B18" s="1"/>
      <c r="C18" s="1">
        <v>0</v>
      </c>
      <c r="D18" s="1">
        <v>9085746.7300000004</v>
      </c>
      <c r="E18" s="1">
        <v>3693990.84</v>
      </c>
      <c r="F18" s="1">
        <v>2671396.63</v>
      </c>
      <c r="G18" s="1">
        <v>1098959.0900000001</v>
      </c>
      <c r="H18" s="1">
        <v>870477.48</v>
      </c>
      <c r="I18" s="1">
        <v>825538.36</v>
      </c>
      <c r="J18" s="1">
        <v>181538.36</v>
      </c>
      <c r="K18" s="1">
        <v>15000</v>
      </c>
    </row>
    <row r="19" spans="1:11" x14ac:dyDescent="0.3">
      <c r="A19" s="4" t="s">
        <v>2</v>
      </c>
      <c r="B19" s="3">
        <v>24983246.300000001</v>
      </c>
      <c r="C19" s="3">
        <f t="shared" ref="C19:D19" si="5">SUM(C14:C18)</f>
        <v>21567415.359999999</v>
      </c>
      <c r="D19" s="3">
        <f t="shared" si="5"/>
        <v>24413246.91</v>
      </c>
      <c r="E19" s="3">
        <f t="shared" ref="E19:K19" si="6">SUM(E14:E18)</f>
        <v>17472818.339999996</v>
      </c>
      <c r="F19" s="3">
        <f t="shared" si="6"/>
        <v>11972681.73</v>
      </c>
      <c r="G19" s="3">
        <f t="shared" si="6"/>
        <v>14111225.4</v>
      </c>
      <c r="H19" s="3">
        <f t="shared" si="6"/>
        <v>23623209.180000003</v>
      </c>
      <c r="I19" s="3">
        <f t="shared" si="6"/>
        <v>23444278.119999997</v>
      </c>
      <c r="J19" s="3">
        <f t="shared" ref="J19" si="7">SUM(J14:J18)</f>
        <v>28665900.800000001</v>
      </c>
      <c r="K19" s="3">
        <f t="shared" si="6"/>
        <v>27745516.73</v>
      </c>
    </row>
    <row r="20" spans="1:11" x14ac:dyDescent="0.3">
      <c r="A20" s="4" t="s">
        <v>3</v>
      </c>
      <c r="B20" s="3">
        <v>1650000</v>
      </c>
      <c r="C20" s="3">
        <v>3809000</v>
      </c>
      <c r="D20" s="3">
        <v>4034027.69</v>
      </c>
      <c r="E20" s="3">
        <v>5207077.96</v>
      </c>
      <c r="F20" s="3">
        <v>2231488.2599999998</v>
      </c>
      <c r="G20" s="3">
        <v>1129623.97</v>
      </c>
      <c r="H20" s="3">
        <v>1877233.71</v>
      </c>
      <c r="I20" s="3">
        <v>480943.89</v>
      </c>
      <c r="J20" s="3">
        <v>816446.64</v>
      </c>
      <c r="K20" s="3">
        <v>576274.81000000006</v>
      </c>
    </row>
    <row r="21" spans="1:11" x14ac:dyDescent="0.3">
      <c r="A21" s="75" t="s">
        <v>4</v>
      </c>
      <c r="B21" s="42">
        <f t="shared" ref="B21:C21" si="8">B7-B13-B19-B20</f>
        <v>9.9999979138374329E-3</v>
      </c>
      <c r="C21" s="42">
        <f t="shared" si="8"/>
        <v>1.9999988377094269E-2</v>
      </c>
      <c r="D21" s="42">
        <f t="shared" ref="D21:K21" si="9">D7-D13-D19-D20</f>
        <v>9.9999993108212948E-3</v>
      </c>
      <c r="E21" s="42">
        <f t="shared" si="9"/>
        <v>1.5832483768463135E-8</v>
      </c>
      <c r="F21" s="42">
        <f t="shared" si="9"/>
        <v>9425075.2400000039</v>
      </c>
      <c r="G21" s="42">
        <f t="shared" si="9"/>
        <v>9803074.5600000061</v>
      </c>
      <c r="H21" s="42">
        <f t="shared" si="9"/>
        <v>10472631.030000027</v>
      </c>
      <c r="I21" s="42">
        <f t="shared" ref="I21:J21" si="10">I7-I13-I19-I20</f>
        <v>13542102.900000028</v>
      </c>
      <c r="J21" s="42">
        <f t="shared" si="10"/>
        <v>20510550.23</v>
      </c>
      <c r="K21" s="42">
        <f t="shared" si="9"/>
        <v>13385513.089999979</v>
      </c>
    </row>
    <row r="22" spans="1:11" x14ac:dyDescent="0.3">
      <c r="A22" t="s">
        <v>355</v>
      </c>
      <c r="B22" s="1"/>
      <c r="C22" s="1"/>
      <c r="D22" s="1">
        <v>-4979122.5199999996</v>
      </c>
      <c r="E22" s="1">
        <v>-435044.09</v>
      </c>
      <c r="F22" s="1">
        <v>4547108.9400000004</v>
      </c>
      <c r="G22" s="1">
        <v>-3039017.06</v>
      </c>
      <c r="H22" s="1">
        <v>-4473289.51</v>
      </c>
      <c r="I22" s="1">
        <v>-10727577.779999999</v>
      </c>
      <c r="J22" s="1">
        <v>-7640084.8499999996</v>
      </c>
      <c r="K22" s="1">
        <v>-10806085.82</v>
      </c>
    </row>
    <row r="23" spans="1:11" x14ac:dyDescent="0.3">
      <c r="A23" t="s">
        <v>356</v>
      </c>
      <c r="B23" s="6"/>
      <c r="C23" s="6">
        <f t="shared" ref="C23:F23" si="11">C8/C3*100</f>
        <v>15.358403712636736</v>
      </c>
      <c r="D23" s="6">
        <f t="shared" si="11"/>
        <v>23.086236926987944</v>
      </c>
      <c r="E23" s="6">
        <f t="shared" si="11"/>
        <v>27.242577922660459</v>
      </c>
      <c r="F23" s="6">
        <f t="shared" si="11"/>
        <v>31.831651923868069</v>
      </c>
      <c r="G23" s="6">
        <f t="shared" ref="G23:K23" si="12">G8/G3*100</f>
        <v>38.742933641963312</v>
      </c>
      <c r="H23" s="6">
        <f t="shared" ref="H23:J23" si="13">H8/H3*100</f>
        <v>43.989003339249486</v>
      </c>
      <c r="I23" s="6">
        <f t="shared" si="13"/>
        <v>49.846661126449781</v>
      </c>
      <c r="J23" s="6">
        <f t="shared" si="13"/>
        <v>46.399637749914817</v>
      </c>
      <c r="K23" s="6">
        <f t="shared" si="12"/>
        <v>46.610273221567844</v>
      </c>
    </row>
  </sheetData>
  <conditionalFormatting sqref="F21:G21 K21">
    <cfRule type="cellIs" dxfId="109" priority="13" operator="greaterThan">
      <formula>0</formula>
    </cfRule>
  </conditionalFormatting>
  <conditionalFormatting sqref="B21:E21">
    <cfRule type="cellIs" dxfId="108" priority="12" operator="greaterThan">
      <formula>0</formula>
    </cfRule>
  </conditionalFormatting>
  <conditionalFormatting sqref="B21:G21 K21">
    <cfRule type="cellIs" dxfId="107" priority="10" operator="greaterThan">
      <formula>0</formula>
    </cfRule>
    <cfRule type="cellIs" dxfId="106" priority="11" operator="lessThan">
      <formula>0</formula>
    </cfRule>
  </conditionalFormatting>
  <conditionalFormatting sqref="H21">
    <cfRule type="cellIs" dxfId="105" priority="9" operator="greaterThan">
      <formula>0</formula>
    </cfRule>
  </conditionalFormatting>
  <conditionalFormatting sqref="H21">
    <cfRule type="cellIs" dxfId="104" priority="7" operator="greaterThan">
      <formula>0</formula>
    </cfRule>
    <cfRule type="cellIs" dxfId="103" priority="8" operator="lessThan">
      <formula>0</formula>
    </cfRule>
  </conditionalFormatting>
  <conditionalFormatting sqref="I21">
    <cfRule type="cellIs" dxfId="102" priority="6" operator="greaterThan">
      <formula>0</formula>
    </cfRule>
  </conditionalFormatting>
  <conditionalFormatting sqref="I21">
    <cfRule type="cellIs" dxfId="101" priority="4" operator="greaterThan">
      <formula>0</formula>
    </cfRule>
    <cfRule type="cellIs" dxfId="100" priority="5" operator="lessThan">
      <formula>0</formula>
    </cfRule>
  </conditionalFormatting>
  <conditionalFormatting sqref="J21">
    <cfRule type="cellIs" dxfId="99" priority="3" operator="greaterThan">
      <formula>0</formula>
    </cfRule>
  </conditionalFormatting>
  <conditionalFormatting sqref="J21">
    <cfRule type="cellIs" dxfId="98" priority="1" operator="greaterThan">
      <formula>0</formula>
    </cfRule>
    <cfRule type="cellIs" dxfId="97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K2" sqref="K2:K29"/>
    </sheetView>
  </sheetViews>
  <sheetFormatPr defaultRowHeight="14.4" x14ac:dyDescent="0.3"/>
  <cols>
    <col min="1" max="1" width="65.33203125" bestFit="1" customWidth="1"/>
    <col min="2" max="2" width="10.88671875" customWidth="1"/>
    <col min="3" max="11" width="11.109375" bestFit="1" customWidth="1"/>
    <col min="12" max="12" width="10.77734375" bestFit="1" customWidth="1"/>
  </cols>
  <sheetData>
    <row r="1" spans="1:12" x14ac:dyDescent="0.3">
      <c r="C1" s="13">
        <v>2015</v>
      </c>
      <c r="D1" s="13">
        <v>2016</v>
      </c>
      <c r="E1" s="13">
        <v>2017</v>
      </c>
      <c r="F1" s="13">
        <v>2018</v>
      </c>
      <c r="G1" s="13">
        <v>2019</v>
      </c>
      <c r="H1" s="13">
        <v>2020</v>
      </c>
      <c r="I1" s="13">
        <v>2021</v>
      </c>
      <c r="J1" s="13">
        <v>2022</v>
      </c>
      <c r="K1" s="13">
        <v>2023</v>
      </c>
      <c r="L1" s="13" t="s">
        <v>266</v>
      </c>
    </row>
    <row r="2" spans="1:12" x14ac:dyDescent="0.3">
      <c r="A2" t="s">
        <v>236</v>
      </c>
      <c r="B2" s="30" t="s">
        <v>260</v>
      </c>
      <c r="C2" s="1">
        <v>150105608.55000001</v>
      </c>
      <c r="D2" s="1">
        <v>149396137.97</v>
      </c>
      <c r="E2" s="1">
        <v>125825328.11</v>
      </c>
      <c r="F2" s="1">
        <v>126924910.43000001</v>
      </c>
      <c r="G2" s="1">
        <v>133282930.95999999</v>
      </c>
      <c r="H2" s="1">
        <v>125947788.03</v>
      </c>
      <c r="I2" s="1">
        <v>134871956.78</v>
      </c>
      <c r="J2" s="1">
        <v>137111123.31999999</v>
      </c>
      <c r="K2" s="1">
        <v>98664680.090000004</v>
      </c>
      <c r="L2" s="1">
        <f>K2-J2</f>
        <v>-38446443.229999989</v>
      </c>
    </row>
    <row r="3" spans="1:12" x14ac:dyDescent="0.3">
      <c r="A3" t="s">
        <v>237</v>
      </c>
      <c r="B3" s="30" t="s">
        <v>260</v>
      </c>
      <c r="C3" s="1">
        <v>0</v>
      </c>
      <c r="D3" s="1">
        <v>0</v>
      </c>
      <c r="E3" s="1">
        <v>24833668.050000001</v>
      </c>
      <c r="F3" s="1">
        <v>24728551.43</v>
      </c>
      <c r="G3" s="1">
        <v>24696098.670000002</v>
      </c>
      <c r="H3" s="1">
        <v>24745054.899999999</v>
      </c>
      <c r="I3" s="1">
        <v>26082817.260000002</v>
      </c>
      <c r="J3" s="1">
        <v>26926491.23</v>
      </c>
      <c r="K3" s="1">
        <v>26418420.82</v>
      </c>
      <c r="L3" s="1">
        <f t="shared" ref="L3:L29" si="0">K3-J3</f>
        <v>-508070.41000000015</v>
      </c>
    </row>
    <row r="4" spans="1:12" x14ac:dyDescent="0.3">
      <c r="A4" t="s">
        <v>238</v>
      </c>
      <c r="B4" s="30" t="s">
        <v>260</v>
      </c>
      <c r="C4" s="1">
        <f>36650032.96+4388149.92</f>
        <v>41038182.880000003</v>
      </c>
      <c r="D4" s="1">
        <f>37043477.84+13393757.19</f>
        <v>50437235.030000001</v>
      </c>
      <c r="E4" s="1">
        <v>36971313.939999998</v>
      </c>
      <c r="F4" s="1">
        <v>57058660.590000004</v>
      </c>
      <c r="G4" s="1">
        <v>58468014.899999999</v>
      </c>
      <c r="H4" s="1">
        <v>73999668.5</v>
      </c>
      <c r="I4" s="1">
        <v>82212522.370000005</v>
      </c>
      <c r="J4" s="1">
        <v>70480466.310000002</v>
      </c>
      <c r="K4" s="1">
        <v>72842050.540000007</v>
      </c>
      <c r="L4" s="1">
        <f t="shared" si="0"/>
        <v>2361584.2300000042</v>
      </c>
    </row>
    <row r="5" spans="1:12" x14ac:dyDescent="0.3">
      <c r="A5" t="s">
        <v>239</v>
      </c>
      <c r="B5" s="30" t="s">
        <v>260</v>
      </c>
      <c r="C5" s="1">
        <f>5583203.58+18450622.25</f>
        <v>24033825.829999998</v>
      </c>
      <c r="D5" s="1">
        <f>5966369.39+12721.98+18886731.63</f>
        <v>24865823</v>
      </c>
      <c r="E5" s="1">
        <v>22297870.539999999</v>
      </c>
      <c r="F5" s="1">
        <v>23261467.16</v>
      </c>
      <c r="G5" s="1">
        <v>22723061.32</v>
      </c>
      <c r="H5" s="1">
        <v>14822055.029999999</v>
      </c>
      <c r="I5" s="1">
        <v>23576423.170000002</v>
      </c>
      <c r="J5" s="1">
        <v>25417475.039999999</v>
      </c>
      <c r="K5" s="1">
        <v>26962298.800000001</v>
      </c>
      <c r="L5" s="1">
        <f t="shared" si="0"/>
        <v>1544823.7600000016</v>
      </c>
    </row>
    <row r="6" spans="1:12" x14ac:dyDescent="0.3">
      <c r="A6" t="s">
        <v>240</v>
      </c>
      <c r="B6" s="30" t="s">
        <v>260</v>
      </c>
      <c r="C6" s="1">
        <v>35737.379999999997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</row>
    <row r="7" spans="1:12" x14ac:dyDescent="0.3">
      <c r="A7" t="s">
        <v>241</v>
      </c>
      <c r="B7" s="30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</row>
    <row r="8" spans="1:12" x14ac:dyDescent="0.3">
      <c r="A8" t="s">
        <v>242</v>
      </c>
      <c r="B8" s="30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</row>
    <row r="9" spans="1:12" x14ac:dyDescent="0.3">
      <c r="A9" s="36" t="s">
        <v>243</v>
      </c>
      <c r="B9" s="37" t="s">
        <v>260</v>
      </c>
      <c r="C9" s="38">
        <v>18863146.460000001</v>
      </c>
      <c r="D9" s="38">
        <v>25620118.93</v>
      </c>
      <c r="E9" s="38">
        <v>21896597.399999999</v>
      </c>
      <c r="F9" s="38">
        <v>20361551.079999998</v>
      </c>
      <c r="G9" s="38">
        <v>20685873.800000001</v>
      </c>
      <c r="H9" s="38">
        <v>19355626.41</v>
      </c>
      <c r="I9" s="38">
        <v>18590538.309999999</v>
      </c>
      <c r="J9" s="38">
        <v>23676435.210000001</v>
      </c>
      <c r="K9" s="1">
        <v>26282326.66</v>
      </c>
      <c r="L9" s="1">
        <f t="shared" si="0"/>
        <v>2605891.4499999993</v>
      </c>
    </row>
    <row r="10" spans="1:12" x14ac:dyDescent="0.3">
      <c r="A10" s="39" t="s">
        <v>264</v>
      </c>
      <c r="B10" s="40" t="s">
        <v>260</v>
      </c>
      <c r="C10" s="12">
        <f>SUM(C2:C9)</f>
        <v>234076501.09999999</v>
      </c>
      <c r="D10" s="12">
        <f>SUM(D2:D9)</f>
        <v>250319314.93000001</v>
      </c>
      <c r="E10" s="12">
        <f t="shared" ref="E10:F10" si="1">SUM(E2:E9)</f>
        <v>231824778.03999999</v>
      </c>
      <c r="F10" s="12">
        <f t="shared" si="1"/>
        <v>252335140.69</v>
      </c>
      <c r="G10" s="12">
        <f t="shared" ref="G10:K10" si="2">SUM(G2:G9)</f>
        <v>259855979.65000001</v>
      </c>
      <c r="H10" s="12">
        <f t="shared" ref="H10:J10" si="3">SUM(H2:H9)</f>
        <v>258870192.87</v>
      </c>
      <c r="I10" s="12">
        <f t="shared" si="3"/>
        <v>285334257.88999999</v>
      </c>
      <c r="J10" s="12">
        <f t="shared" si="3"/>
        <v>283611991.10999995</v>
      </c>
      <c r="K10" s="12">
        <f t="shared" si="2"/>
        <v>251169776.91</v>
      </c>
      <c r="L10" s="12">
        <f t="shared" si="0"/>
        <v>-32442214.199999958</v>
      </c>
    </row>
    <row r="11" spans="1:12" x14ac:dyDescent="0.3">
      <c r="A11" t="s">
        <v>244</v>
      </c>
      <c r="B11" s="30" t="s">
        <v>261</v>
      </c>
      <c r="C11" s="1">
        <v>843572.9</v>
      </c>
      <c r="D11" s="1">
        <v>943076.64</v>
      </c>
      <c r="E11" s="1">
        <v>886751.04</v>
      </c>
      <c r="F11" s="1">
        <v>988174.14</v>
      </c>
      <c r="G11" s="1">
        <v>885613.08</v>
      </c>
      <c r="H11" s="1">
        <v>1289930.77</v>
      </c>
      <c r="I11" s="1">
        <v>945916.68</v>
      </c>
      <c r="J11" s="1">
        <v>1062975.06</v>
      </c>
      <c r="K11" s="1">
        <v>1643963.1</v>
      </c>
      <c r="L11" s="1">
        <f t="shared" si="0"/>
        <v>580988.04</v>
      </c>
    </row>
    <row r="12" spans="1:12" x14ac:dyDescent="0.3">
      <c r="A12" t="s">
        <v>245</v>
      </c>
      <c r="B12" s="30" t="s">
        <v>261</v>
      </c>
      <c r="C12" s="1">
        <v>111066595.19</v>
      </c>
      <c r="D12" s="1">
        <v>124904989.23999999</v>
      </c>
      <c r="E12" s="1">
        <v>107755707.06</v>
      </c>
      <c r="F12" s="1">
        <v>110191595.81</v>
      </c>
      <c r="G12" s="1">
        <v>113167786.09</v>
      </c>
      <c r="H12" s="1">
        <v>105789060.01000001</v>
      </c>
      <c r="I12" s="1">
        <v>119234323.43000001</v>
      </c>
      <c r="J12" s="1">
        <v>130167660.48999999</v>
      </c>
      <c r="K12" s="1">
        <v>92923545.019999996</v>
      </c>
      <c r="L12" s="1">
        <f t="shared" si="0"/>
        <v>-37244115.469999999</v>
      </c>
    </row>
    <row r="13" spans="1:12" x14ac:dyDescent="0.3">
      <c r="A13" t="s">
        <v>246</v>
      </c>
      <c r="B13" s="30" t="s">
        <v>261</v>
      </c>
      <c r="C13" s="1">
        <v>2082484.62</v>
      </c>
      <c r="D13" s="1">
        <v>1608298.99</v>
      </c>
      <c r="E13" s="1">
        <v>1739313.41</v>
      </c>
      <c r="F13" s="1">
        <v>1785089.48</v>
      </c>
      <c r="G13" s="1">
        <v>1968267.66</v>
      </c>
      <c r="H13" s="1">
        <v>2541222.19</v>
      </c>
      <c r="I13" s="1">
        <v>2657148.12</v>
      </c>
      <c r="J13" s="1">
        <v>2337654.9900000002</v>
      </c>
      <c r="K13" s="1">
        <v>2364907.64</v>
      </c>
      <c r="L13" s="1">
        <f t="shared" si="0"/>
        <v>27252.649999999907</v>
      </c>
    </row>
    <row r="14" spans="1:12" x14ac:dyDescent="0.3">
      <c r="A14" t="s">
        <v>247</v>
      </c>
      <c r="B14" s="30" t="s">
        <v>261</v>
      </c>
      <c r="C14" s="1">
        <v>46173130.969999999</v>
      </c>
      <c r="D14" s="1">
        <v>28637060.890000001</v>
      </c>
      <c r="E14" s="1">
        <v>56407225.68</v>
      </c>
      <c r="F14" s="1">
        <v>59306230.560000002</v>
      </c>
      <c r="G14" s="1">
        <v>53383742.82</v>
      </c>
      <c r="H14" s="1">
        <v>53975910.25</v>
      </c>
      <c r="I14" s="1">
        <v>58795495.009999998</v>
      </c>
      <c r="J14" s="1">
        <v>59806612.859999999</v>
      </c>
      <c r="K14" s="1">
        <v>68145942.540000007</v>
      </c>
      <c r="L14" s="1">
        <f t="shared" si="0"/>
        <v>8339329.6800000072</v>
      </c>
    </row>
    <row r="15" spans="1:12" x14ac:dyDescent="0.3">
      <c r="A15" t="s">
        <v>248</v>
      </c>
      <c r="B15" s="30" t="s">
        <v>261</v>
      </c>
      <c r="C15" s="1">
        <v>45250986.469999999</v>
      </c>
      <c r="D15" s="1">
        <v>45462487.990000002</v>
      </c>
      <c r="E15" s="1">
        <v>46895773.520000003</v>
      </c>
      <c r="F15" s="1">
        <v>45945323.740000002</v>
      </c>
      <c r="G15" s="1">
        <v>45682659.450000003</v>
      </c>
      <c r="H15" s="1">
        <v>43449148.420000002</v>
      </c>
      <c r="I15" s="1">
        <v>44971207.539999999</v>
      </c>
      <c r="J15" s="1">
        <v>45933490.049999997</v>
      </c>
      <c r="K15" s="1">
        <v>46186410.530000001</v>
      </c>
      <c r="L15" s="1">
        <f t="shared" si="0"/>
        <v>252920.48000000417</v>
      </c>
    </row>
    <row r="16" spans="1:12" x14ac:dyDescent="0.3">
      <c r="A16" t="s">
        <v>249</v>
      </c>
      <c r="B16" s="30" t="s">
        <v>261</v>
      </c>
      <c r="C16" s="1">
        <f>3037896.88+25821237.97+6900000</f>
        <v>35759134.849999994</v>
      </c>
      <c r="D16" s="1">
        <f>1345522.47+10450050.37+10532032.08</f>
        <v>22327604.920000002</v>
      </c>
      <c r="E16" s="1">
        <v>43230178.990000002</v>
      </c>
      <c r="F16" s="1">
        <v>45348188.039999999</v>
      </c>
      <c r="G16" s="1">
        <v>48712965.609999999</v>
      </c>
      <c r="H16" s="1">
        <v>46953655.530000001</v>
      </c>
      <c r="I16" s="1">
        <v>47361181.18</v>
      </c>
      <c r="J16" s="1">
        <v>42689074.18</v>
      </c>
      <c r="K16" s="1">
        <v>36480631.310000002</v>
      </c>
      <c r="L16" s="1">
        <f t="shared" si="0"/>
        <v>-6208442.8699999973</v>
      </c>
    </row>
    <row r="17" spans="1:12" x14ac:dyDescent="0.3">
      <c r="A17" t="s">
        <v>250</v>
      </c>
      <c r="B17" s="30" t="s">
        <v>261</v>
      </c>
      <c r="C17" s="1">
        <v>0</v>
      </c>
      <c r="D17" s="1">
        <v>1754882.96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</row>
    <row r="18" spans="1:12" x14ac:dyDescent="0.3">
      <c r="A18" t="s">
        <v>251</v>
      </c>
      <c r="B18" s="30" t="s">
        <v>261</v>
      </c>
      <c r="C18" s="1">
        <v>0</v>
      </c>
      <c r="D18" s="1">
        <v>0</v>
      </c>
      <c r="E18" s="1">
        <v>4256520.08</v>
      </c>
      <c r="F18" s="1">
        <v>3510023.55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</row>
    <row r="19" spans="1:12" x14ac:dyDescent="0.3">
      <c r="A19" t="s">
        <v>14</v>
      </c>
      <c r="B19" s="30" t="s">
        <v>261</v>
      </c>
      <c r="C19" s="1">
        <v>0</v>
      </c>
      <c r="D19" s="1">
        <v>5466.18</v>
      </c>
      <c r="E19" s="1">
        <v>171258.48</v>
      </c>
      <c r="F19" s="1">
        <v>0</v>
      </c>
      <c r="G19" s="1">
        <v>5111582.3899999997</v>
      </c>
      <c r="H19" s="1">
        <v>3415994.03</v>
      </c>
      <c r="I19" s="1">
        <v>3924363.01</v>
      </c>
      <c r="J19" s="1">
        <v>4099196.21</v>
      </c>
      <c r="K19" s="1">
        <v>9706002.4100000001</v>
      </c>
      <c r="L19" s="1">
        <f t="shared" si="0"/>
        <v>5606806.2000000002</v>
      </c>
    </row>
    <row r="20" spans="1:12" x14ac:dyDescent="0.3">
      <c r="A20" s="36" t="s">
        <v>252</v>
      </c>
      <c r="B20" s="37" t="s">
        <v>261</v>
      </c>
      <c r="C20" s="38">
        <v>2216036.66</v>
      </c>
      <c r="D20" s="38">
        <v>3067584.14</v>
      </c>
      <c r="E20" s="38">
        <v>4011005.02</v>
      </c>
      <c r="F20" s="38">
        <v>2703006.01</v>
      </c>
      <c r="G20" s="38">
        <v>2150761.9</v>
      </c>
      <c r="H20" s="38">
        <v>3203152.01</v>
      </c>
      <c r="I20" s="38">
        <v>2275118.66</v>
      </c>
      <c r="J20" s="38">
        <v>1820477.86</v>
      </c>
      <c r="K20" s="1">
        <v>4890550.79</v>
      </c>
      <c r="L20" s="1">
        <f t="shared" si="0"/>
        <v>3070072.9299999997</v>
      </c>
    </row>
    <row r="21" spans="1:12" x14ac:dyDescent="0.3">
      <c r="A21" s="39" t="s">
        <v>265</v>
      </c>
      <c r="B21" s="40" t="s">
        <v>261</v>
      </c>
      <c r="C21" s="12">
        <f>SUM(C11:C20)</f>
        <v>243391941.66</v>
      </c>
      <c r="D21" s="12">
        <f>SUM(D11:D20)</f>
        <v>228711451.95000002</v>
      </c>
      <c r="E21" s="12">
        <f t="shared" ref="E21:F21" si="4">SUM(E11:E20)</f>
        <v>265353733.28000003</v>
      </c>
      <c r="F21" s="12">
        <f t="shared" si="4"/>
        <v>269777631.33000004</v>
      </c>
      <c r="G21" s="12">
        <f t="shared" ref="G21:K21" si="5">SUM(G11:G20)</f>
        <v>271063379</v>
      </c>
      <c r="H21" s="12">
        <f t="shared" ref="H21:J21" si="6">SUM(H11:H20)</f>
        <v>260618073.20999998</v>
      </c>
      <c r="I21" s="12">
        <f t="shared" si="6"/>
        <v>280164753.63</v>
      </c>
      <c r="J21" s="12">
        <f t="shared" si="6"/>
        <v>287917141.69999999</v>
      </c>
      <c r="K21" s="12">
        <f t="shared" si="5"/>
        <v>262341953.34</v>
      </c>
      <c r="L21" s="12">
        <f t="shared" si="0"/>
        <v>-25575188.359999985</v>
      </c>
    </row>
    <row r="22" spans="1:12" x14ac:dyDescent="0.3">
      <c r="A22" t="s">
        <v>253</v>
      </c>
      <c r="B22" s="30" t="s">
        <v>260</v>
      </c>
      <c r="C22" s="1">
        <v>3496436.78</v>
      </c>
      <c r="D22" s="1">
        <v>2728636.74</v>
      </c>
      <c r="E22" s="1">
        <v>1426473.55</v>
      </c>
      <c r="F22" s="1">
        <v>2439547.27</v>
      </c>
      <c r="G22" s="1">
        <v>546012.9</v>
      </c>
      <c r="H22" s="1">
        <v>1210074.73</v>
      </c>
      <c r="I22" s="1">
        <v>1122968.81</v>
      </c>
      <c r="J22" s="1">
        <v>1151507.6000000001</v>
      </c>
      <c r="K22" s="1">
        <v>3525350.51</v>
      </c>
      <c r="L22" s="1">
        <f t="shared" si="0"/>
        <v>2373842.9099999997</v>
      </c>
    </row>
    <row r="23" spans="1:12" x14ac:dyDescent="0.3">
      <c r="A23" t="s">
        <v>254</v>
      </c>
      <c r="B23" s="30" t="s">
        <v>261</v>
      </c>
      <c r="C23" s="1">
        <v>2174486.17</v>
      </c>
      <c r="D23" s="1">
        <v>1923385.18</v>
      </c>
      <c r="E23" s="1">
        <v>1851048.46</v>
      </c>
      <c r="F23" s="1">
        <v>1864875.64</v>
      </c>
      <c r="G23" s="1">
        <v>1848164.78</v>
      </c>
      <c r="H23" s="1">
        <v>1902299.16</v>
      </c>
      <c r="I23" s="1">
        <v>1960559.13</v>
      </c>
      <c r="J23" s="1">
        <v>1919027.85</v>
      </c>
      <c r="K23" s="1">
        <v>2900605.53</v>
      </c>
      <c r="L23" s="1">
        <f t="shared" si="0"/>
        <v>981577.6799999997</v>
      </c>
    </row>
    <row r="24" spans="1:12" x14ac:dyDescent="0.3">
      <c r="A24" t="s">
        <v>255</v>
      </c>
      <c r="B24" s="30" t="s">
        <v>260</v>
      </c>
      <c r="C24" s="1">
        <v>0</v>
      </c>
      <c r="D24" s="1">
        <v>0</v>
      </c>
      <c r="E24" s="1">
        <v>-4196185</v>
      </c>
      <c r="F24" s="1">
        <v>-243987</v>
      </c>
      <c r="G24" s="1">
        <v>-1379721</v>
      </c>
      <c r="H24" s="1">
        <v>8058638</v>
      </c>
      <c r="I24" s="1">
        <v>-9449789</v>
      </c>
      <c r="J24" s="1">
        <v>-667558</v>
      </c>
      <c r="K24" s="1">
        <v>-1235404</v>
      </c>
      <c r="L24" s="1">
        <f t="shared" si="0"/>
        <v>-567846</v>
      </c>
    </row>
    <row r="25" spans="1:12" x14ac:dyDescent="0.3">
      <c r="A25" t="s">
        <v>256</v>
      </c>
      <c r="B25" s="30" t="s">
        <v>260</v>
      </c>
      <c r="C25" s="1">
        <v>47691294.700000003</v>
      </c>
      <c r="D25" s="1">
        <v>18812226.309999999</v>
      </c>
      <c r="E25" s="1">
        <v>52857433.399999999</v>
      </c>
      <c r="F25" s="1">
        <v>25151927.280000001</v>
      </c>
      <c r="G25" s="1">
        <v>21435211.989999998</v>
      </c>
      <c r="H25" s="1">
        <v>7936143.5599999996</v>
      </c>
      <c r="I25" s="1">
        <v>24532387.960000001</v>
      </c>
      <c r="J25" s="1">
        <v>35190237.200000003</v>
      </c>
      <c r="K25" s="1">
        <v>22062023.829999998</v>
      </c>
      <c r="L25" s="1">
        <f t="shared" si="0"/>
        <v>-13128213.370000005</v>
      </c>
    </row>
    <row r="26" spans="1:12" x14ac:dyDescent="0.3">
      <c r="A26" t="s">
        <v>257</v>
      </c>
      <c r="B26" s="30" t="s">
        <v>261</v>
      </c>
      <c r="C26" s="1">
        <v>6358795.4699999997</v>
      </c>
      <c r="D26" s="1">
        <v>17360367</v>
      </c>
      <c r="E26" s="1">
        <v>8397761.7200000007</v>
      </c>
      <c r="F26" s="1">
        <v>3926317.77</v>
      </c>
      <c r="G26" s="1">
        <v>7973335.2400000002</v>
      </c>
      <c r="H26" s="1">
        <v>11427510.1</v>
      </c>
      <c r="I26" s="1">
        <v>20445174.66</v>
      </c>
      <c r="J26" s="1">
        <v>10877766.710000001</v>
      </c>
      <c r="K26" s="1">
        <v>12075978.92</v>
      </c>
      <c r="L26" s="1">
        <f t="shared" si="0"/>
        <v>1198212.209999999</v>
      </c>
    </row>
    <row r="27" spans="1:12" x14ac:dyDescent="0.3">
      <c r="A27" t="s">
        <v>258</v>
      </c>
      <c r="B27" s="30" t="s">
        <v>261</v>
      </c>
      <c r="C27" s="1">
        <v>2434491.0099999998</v>
      </c>
      <c r="D27" s="1">
        <v>2686740.73</v>
      </c>
      <c r="E27" s="1">
        <v>2797373.7</v>
      </c>
      <c r="F27" s="1">
        <v>2703860.63</v>
      </c>
      <c r="G27" s="1">
        <v>2327163.5099999998</v>
      </c>
      <c r="H27" s="1">
        <v>2049854.06</v>
      </c>
      <c r="I27" s="1">
        <v>2255349.0499999998</v>
      </c>
      <c r="J27" s="1">
        <v>2303828.88</v>
      </c>
      <c r="K27" s="1">
        <v>2226261.7000000002</v>
      </c>
      <c r="L27" s="1">
        <f t="shared" si="0"/>
        <v>-77567.179999999702</v>
      </c>
    </row>
    <row r="28" spans="1:12" x14ac:dyDescent="0.3">
      <c r="A28" s="11" t="s">
        <v>259</v>
      </c>
      <c r="B28" s="40" t="s">
        <v>262</v>
      </c>
      <c r="C28" s="42">
        <f t="shared" ref="C28:K28" si="7">SUM(C2:C9)-SUM(C11:C20)+C22-C23+C24+C25-C26-C27</f>
        <v>30904518.270000003</v>
      </c>
      <c r="D28" s="42">
        <f t="shared" si="7"/>
        <v>21178233.119999994</v>
      </c>
      <c r="E28" s="42">
        <f t="shared" si="7"/>
        <v>3512582.8299999619</v>
      </c>
      <c r="F28" s="42">
        <f t="shared" si="7"/>
        <v>1409942.8699999549</v>
      </c>
      <c r="G28" s="42">
        <f t="shared" si="7"/>
        <v>-2754558.9899999946</v>
      </c>
      <c r="H28" s="42">
        <f t="shared" ref="H28" si="8">SUM(H2:H9)-SUM(H11:H20)+H22-H23+H24+H25-H26-H27</f>
        <v>77312.6300000255</v>
      </c>
      <c r="I28" s="42">
        <f t="shared" ref="I28" si="9">SUM(I2:I9)-SUM(I11:I20)+I22-I23+I24+I25-I26-I27</f>
        <v>-3286010.8100000089</v>
      </c>
      <c r="J28" s="42">
        <f t="shared" ref="J28" si="10">SUM(J2:J9)-SUM(J11:J20)+J22-J23+J24+J25-J26-J27</f>
        <v>16268412.76999997</v>
      </c>
      <c r="K28" s="42">
        <f t="shared" si="7"/>
        <v>-4023052.2400000086</v>
      </c>
      <c r="L28" s="42">
        <f t="shared" si="0"/>
        <v>-20291465.009999979</v>
      </c>
    </row>
    <row r="29" spans="1:12" x14ac:dyDescent="0.3">
      <c r="A29" s="77" t="s">
        <v>365</v>
      </c>
      <c r="B29" s="116"/>
      <c r="C29" s="117">
        <f>C10-SUM(C11:C15)+C17</f>
        <v>28659730.949999988</v>
      </c>
      <c r="D29" s="117">
        <f t="shared" ref="D29:K29" si="11">D10-SUM(D11:D15)+D17</f>
        <v>50518284.140000008</v>
      </c>
      <c r="E29" s="117">
        <f t="shared" si="11"/>
        <v>18140007.329999983</v>
      </c>
      <c r="F29" s="117">
        <f t="shared" si="11"/>
        <v>34118726.959999979</v>
      </c>
      <c r="G29" s="117">
        <f t="shared" si="11"/>
        <v>44767910.549999982</v>
      </c>
      <c r="H29" s="117">
        <f t="shared" si="11"/>
        <v>51824921.230000019</v>
      </c>
      <c r="I29" s="117">
        <f t="shared" ref="I29" si="12">I10-SUM(I11:I15)+I17</f>
        <v>58730167.109999985</v>
      </c>
      <c r="J29" s="117">
        <f t="shared" ref="J29" si="13">J10-SUM(J11:J15)+J17</f>
        <v>44303597.659999967</v>
      </c>
      <c r="K29" s="117">
        <f t="shared" si="11"/>
        <v>39905008.079999983</v>
      </c>
      <c r="L29" s="117">
        <f t="shared" si="0"/>
        <v>-4398589.5799999833</v>
      </c>
    </row>
  </sheetData>
  <conditionalFormatting sqref="C28:G28 C29:H29 K28:L29">
    <cfRule type="cellIs" dxfId="96" priority="10" operator="greaterThan">
      <formula>0</formula>
    </cfRule>
  </conditionalFormatting>
  <conditionalFormatting sqref="H28">
    <cfRule type="cellIs" dxfId="95" priority="7" operator="greaterThan">
      <formula>0</formula>
    </cfRule>
  </conditionalFormatting>
  <conditionalFormatting sqref="I28:I29">
    <cfRule type="cellIs" dxfId="94" priority="2" operator="greaterThan">
      <formula>0</formula>
    </cfRule>
  </conditionalFormatting>
  <conditionalFormatting sqref="J28:J29">
    <cfRule type="cellIs" dxfId="9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K2" sqref="K2:K16"/>
    </sheetView>
  </sheetViews>
  <sheetFormatPr defaultRowHeight="14.4" x14ac:dyDescent="0.3"/>
  <cols>
    <col min="1" max="1" width="50.6640625" bestFit="1" customWidth="1"/>
    <col min="2" max="10" width="11.5546875" bestFit="1" customWidth="1"/>
    <col min="11" max="11" width="11.33203125" bestFit="1" customWidth="1"/>
  </cols>
  <sheetData>
    <row r="1" spans="1:11" x14ac:dyDescent="0.3">
      <c r="A1" s="46"/>
      <c r="B1" s="47">
        <v>2015</v>
      </c>
      <c r="C1" s="47">
        <v>2016</v>
      </c>
      <c r="D1" s="47">
        <v>2017</v>
      </c>
      <c r="E1" s="47">
        <v>2018</v>
      </c>
      <c r="F1" s="47">
        <v>2019</v>
      </c>
      <c r="G1" s="47">
        <v>2020</v>
      </c>
      <c r="H1" s="47">
        <v>2021</v>
      </c>
      <c r="I1" s="47">
        <v>2022</v>
      </c>
      <c r="J1" s="47">
        <v>2023</v>
      </c>
      <c r="K1" s="47" t="s">
        <v>266</v>
      </c>
    </row>
    <row r="2" spans="1:11" x14ac:dyDescent="0.3">
      <c r="A2" s="76" t="s">
        <v>308</v>
      </c>
      <c r="B2" s="69">
        <f>Conto_economico!C10</f>
        <v>234076501.09999999</v>
      </c>
      <c r="C2" s="69">
        <f>Conto_economico!D10</f>
        <v>250319314.93000001</v>
      </c>
      <c r="D2" s="69">
        <f>Conto_economico!E10</f>
        <v>231824778.03999999</v>
      </c>
      <c r="E2" s="69">
        <f>Conto_economico!F10</f>
        <v>252335140.69</v>
      </c>
      <c r="F2" s="69">
        <f>Conto_economico!G10</f>
        <v>259855979.65000001</v>
      </c>
      <c r="G2" s="69">
        <f>Conto_economico!H10</f>
        <v>258870192.87</v>
      </c>
      <c r="H2" s="69">
        <f>Conto_economico!I10</f>
        <v>285334257.88999999</v>
      </c>
      <c r="I2" s="69">
        <f>Conto_economico!J10</f>
        <v>283611991.10999995</v>
      </c>
      <c r="J2" s="69">
        <f>Conto_economico!K10</f>
        <v>251169776.91</v>
      </c>
      <c r="K2" s="69">
        <f t="shared" ref="K2:K16" si="0">J2-I2</f>
        <v>-32442214.199999958</v>
      </c>
    </row>
    <row r="3" spans="1:11" x14ac:dyDescent="0.3">
      <c r="A3" s="76" t="s">
        <v>344</v>
      </c>
      <c r="B3" s="69">
        <f>Conto_economico!C2</f>
        <v>150105608.55000001</v>
      </c>
      <c r="C3" s="69">
        <f>Conto_economico!D2</f>
        <v>149396137.97</v>
      </c>
      <c r="D3" s="69">
        <f>Conto_economico!E2</f>
        <v>125825328.11</v>
      </c>
      <c r="E3" s="69">
        <f>Conto_economico!F2</f>
        <v>126924910.43000001</v>
      </c>
      <c r="F3" s="69">
        <f>Conto_economico!G2</f>
        <v>133282930.95999999</v>
      </c>
      <c r="G3" s="69">
        <f>Conto_economico!H2</f>
        <v>125947788.03</v>
      </c>
      <c r="H3" s="69">
        <f>Conto_economico!I2</f>
        <v>134871956.78</v>
      </c>
      <c r="I3" s="69">
        <f>Conto_economico!J2</f>
        <v>137111123.31999999</v>
      </c>
      <c r="J3" s="69">
        <f>Conto_economico!K2</f>
        <v>98664680.090000004</v>
      </c>
      <c r="K3" s="69">
        <f t="shared" si="0"/>
        <v>-38446443.229999989</v>
      </c>
    </row>
    <row r="4" spans="1:11" x14ac:dyDescent="0.3">
      <c r="A4" s="76" t="s">
        <v>345</v>
      </c>
      <c r="B4" s="69">
        <f>Conto_economico!C4</f>
        <v>41038182.880000003</v>
      </c>
      <c r="C4" s="69">
        <f>Conto_economico!D4</f>
        <v>50437235.030000001</v>
      </c>
      <c r="D4" s="69">
        <f>Conto_economico!E4</f>
        <v>36971313.939999998</v>
      </c>
      <c r="E4" s="69">
        <f>Conto_economico!F4</f>
        <v>57058660.590000004</v>
      </c>
      <c r="F4" s="69">
        <f>Conto_economico!G4</f>
        <v>58468014.899999999</v>
      </c>
      <c r="G4" s="69">
        <f>Conto_economico!H4</f>
        <v>73999668.5</v>
      </c>
      <c r="H4" s="69">
        <f>Conto_economico!I4</f>
        <v>82212522.370000005</v>
      </c>
      <c r="I4" s="69">
        <f>Conto_economico!J4</f>
        <v>70480466.310000002</v>
      </c>
      <c r="J4" s="69">
        <f>Conto_economico!K4</f>
        <v>72842050.540000007</v>
      </c>
      <c r="K4" s="69">
        <f t="shared" si="0"/>
        <v>2361584.2300000042</v>
      </c>
    </row>
    <row r="5" spans="1:11" x14ac:dyDescent="0.3">
      <c r="A5" s="76" t="s">
        <v>309</v>
      </c>
      <c r="B5" s="70">
        <f>Conto_economico!C21</f>
        <v>243391941.66</v>
      </c>
      <c r="C5" s="70">
        <f>Conto_economico!D21</f>
        <v>228711451.95000002</v>
      </c>
      <c r="D5" s="70">
        <f>Conto_economico!E21</f>
        <v>265353733.28000003</v>
      </c>
      <c r="E5" s="70">
        <f>Conto_economico!F21</f>
        <v>269777631.33000004</v>
      </c>
      <c r="F5" s="70">
        <f>Conto_economico!G21</f>
        <v>271063379</v>
      </c>
      <c r="G5" s="70">
        <f>Conto_economico!H21</f>
        <v>260618073.20999998</v>
      </c>
      <c r="H5" s="70">
        <f>Conto_economico!I21</f>
        <v>280164753.63</v>
      </c>
      <c r="I5" s="70">
        <f>Conto_economico!J21</f>
        <v>287917141.69999999</v>
      </c>
      <c r="J5" s="70">
        <f>Conto_economico!K21</f>
        <v>262341953.34</v>
      </c>
      <c r="K5" s="69">
        <f t="shared" si="0"/>
        <v>-25575188.359999985</v>
      </c>
    </row>
    <row r="6" spans="1:11" x14ac:dyDescent="0.3">
      <c r="A6" s="76" t="s">
        <v>346</v>
      </c>
      <c r="B6" s="69">
        <f>Conto_economico!C12</f>
        <v>111066595.19</v>
      </c>
      <c r="C6" s="69">
        <f>Conto_economico!D12</f>
        <v>124904989.23999999</v>
      </c>
      <c r="D6" s="69">
        <f>Conto_economico!E12</f>
        <v>107755707.06</v>
      </c>
      <c r="E6" s="69">
        <f>Conto_economico!F12</f>
        <v>110191595.81</v>
      </c>
      <c r="F6" s="69">
        <f>Conto_economico!G12</f>
        <v>113167786.09</v>
      </c>
      <c r="G6" s="69">
        <f>Conto_economico!H12</f>
        <v>105789060.01000001</v>
      </c>
      <c r="H6" s="69">
        <f>Conto_economico!I12</f>
        <v>119234323.43000001</v>
      </c>
      <c r="I6" s="69">
        <f>Conto_economico!J12</f>
        <v>130167660.48999999</v>
      </c>
      <c r="J6" s="69">
        <f>Conto_economico!K12</f>
        <v>92923545.019999996</v>
      </c>
      <c r="K6" s="69">
        <f t="shared" si="0"/>
        <v>-37244115.469999999</v>
      </c>
    </row>
    <row r="7" spans="1:11" x14ac:dyDescent="0.3">
      <c r="A7" s="76" t="s">
        <v>347</v>
      </c>
      <c r="B7" s="69">
        <f>Conto_economico!C15</f>
        <v>45250986.469999999</v>
      </c>
      <c r="C7" s="69">
        <f>Conto_economico!D15</f>
        <v>45462487.990000002</v>
      </c>
      <c r="D7" s="69">
        <f>Conto_economico!E15</f>
        <v>46895773.520000003</v>
      </c>
      <c r="E7" s="69">
        <f>Conto_economico!F15</f>
        <v>45945323.740000002</v>
      </c>
      <c r="F7" s="69">
        <f>Conto_economico!G15</f>
        <v>45682659.450000003</v>
      </c>
      <c r="G7" s="69">
        <f>Conto_economico!H15</f>
        <v>43449148.420000002</v>
      </c>
      <c r="H7" s="69">
        <f>Conto_economico!I15</f>
        <v>44971207.539999999</v>
      </c>
      <c r="I7" s="69">
        <f>Conto_economico!J15</f>
        <v>45933490.049999997</v>
      </c>
      <c r="J7" s="69">
        <f>Conto_economico!K15</f>
        <v>46186410.530000001</v>
      </c>
      <c r="K7" s="69">
        <f t="shared" si="0"/>
        <v>252920.48000000417</v>
      </c>
    </row>
    <row r="8" spans="1:11" x14ac:dyDescent="0.3">
      <c r="A8" s="76" t="s">
        <v>348</v>
      </c>
      <c r="B8" s="69">
        <f>Conto_economico!C16</f>
        <v>35759134.849999994</v>
      </c>
      <c r="C8" s="69">
        <f>Conto_economico!D16</f>
        <v>22327604.920000002</v>
      </c>
      <c r="D8" s="69">
        <f>Conto_economico!E16</f>
        <v>43230178.990000002</v>
      </c>
      <c r="E8" s="69">
        <f>Conto_economico!F16</f>
        <v>45348188.039999999</v>
      </c>
      <c r="F8" s="69">
        <f>Conto_economico!G16</f>
        <v>48712965.609999999</v>
      </c>
      <c r="G8" s="69">
        <f>Conto_economico!H16</f>
        <v>46953655.530000001</v>
      </c>
      <c r="H8" s="69">
        <f>Conto_economico!I16</f>
        <v>47361181.18</v>
      </c>
      <c r="I8" s="69">
        <f>Conto_economico!J16</f>
        <v>42689074.18</v>
      </c>
      <c r="J8" s="69">
        <f>Conto_economico!K16</f>
        <v>36480631.310000002</v>
      </c>
      <c r="K8" s="69">
        <f t="shared" si="0"/>
        <v>-6208442.8699999973</v>
      </c>
    </row>
    <row r="9" spans="1:11" x14ac:dyDescent="0.3">
      <c r="A9" s="52" t="s">
        <v>365</v>
      </c>
      <c r="B9" s="71">
        <f>Conto_economico!C29</f>
        <v>28659730.949999988</v>
      </c>
      <c r="C9" s="71">
        <f>Conto_economico!D29</f>
        <v>50518284.140000008</v>
      </c>
      <c r="D9" s="71">
        <f>Conto_economico!E29</f>
        <v>18140007.329999983</v>
      </c>
      <c r="E9" s="71">
        <f>Conto_economico!F29</f>
        <v>34118726.959999979</v>
      </c>
      <c r="F9" s="71">
        <f>Conto_economico!G29</f>
        <v>44767910.549999982</v>
      </c>
      <c r="G9" s="71">
        <f>Conto_economico!H29</f>
        <v>51824921.230000019</v>
      </c>
      <c r="H9" s="71">
        <f>Conto_economico!I29</f>
        <v>58730167.109999985</v>
      </c>
      <c r="I9" s="71">
        <f>Conto_economico!J29</f>
        <v>44303597.659999967</v>
      </c>
      <c r="J9" s="71">
        <f>Conto_economico!K29</f>
        <v>39905008.079999983</v>
      </c>
      <c r="K9" s="71">
        <f t="shared" si="0"/>
        <v>-4398589.5799999833</v>
      </c>
    </row>
    <row r="10" spans="1:11" x14ac:dyDescent="0.3">
      <c r="A10" s="52" t="s">
        <v>310</v>
      </c>
      <c r="B10" s="71">
        <f>B2-B5</f>
        <v>-9315440.5600000024</v>
      </c>
      <c r="C10" s="71">
        <f t="shared" ref="C10:E10" si="1">C2-C5</f>
        <v>21607862.979999989</v>
      </c>
      <c r="D10" s="71">
        <f t="shared" si="1"/>
        <v>-33528955.240000039</v>
      </c>
      <c r="E10" s="71">
        <f t="shared" si="1"/>
        <v>-17442490.640000045</v>
      </c>
      <c r="F10" s="71">
        <f t="shared" ref="F10:J10" si="2">F2-F5</f>
        <v>-11207399.349999994</v>
      </c>
      <c r="G10" s="71">
        <f t="shared" ref="G10:I10" si="3">G2-G5</f>
        <v>-1747880.3399999738</v>
      </c>
      <c r="H10" s="71">
        <f t="shared" si="3"/>
        <v>5169504.2599999905</v>
      </c>
      <c r="I10" s="71">
        <f t="shared" si="3"/>
        <v>-4305150.5900000334</v>
      </c>
      <c r="J10" s="71">
        <f t="shared" si="2"/>
        <v>-11172176.430000007</v>
      </c>
      <c r="K10" s="71">
        <f t="shared" si="0"/>
        <v>-6867025.8399999738</v>
      </c>
    </row>
    <row r="11" spans="1:11" x14ac:dyDescent="0.3">
      <c r="A11" s="76" t="s">
        <v>311</v>
      </c>
      <c r="B11" s="69">
        <f>Conto_economico!C22-Conto_economico!C23</f>
        <v>1321950.6099999999</v>
      </c>
      <c r="C11" s="69">
        <f>Conto_economico!D22-Conto_economico!D23</f>
        <v>805251.56000000029</v>
      </c>
      <c r="D11" s="69">
        <f>Conto_economico!E22-Conto_economico!E23</f>
        <v>-424574.90999999992</v>
      </c>
      <c r="E11" s="69">
        <f>Conto_economico!F22-Conto_economico!F23</f>
        <v>574671.63000000012</v>
      </c>
      <c r="F11" s="69">
        <f>Conto_economico!G22-Conto_economico!G23</f>
        <v>-1302151.8799999999</v>
      </c>
      <c r="G11" s="69">
        <f>Conto_economico!H22-Conto_economico!H23</f>
        <v>-692224.42999999993</v>
      </c>
      <c r="H11" s="69">
        <f>Conto_economico!I22-Conto_economico!I23</f>
        <v>-837590.31999999983</v>
      </c>
      <c r="I11" s="69">
        <f>Conto_economico!J22-Conto_economico!J23</f>
        <v>-767520.25</v>
      </c>
      <c r="J11" s="69">
        <f>Conto_economico!K22-Conto_economico!K23</f>
        <v>624744.98</v>
      </c>
      <c r="K11" s="69">
        <f t="shared" si="0"/>
        <v>1392265.23</v>
      </c>
    </row>
    <row r="12" spans="1:11" x14ac:dyDescent="0.3">
      <c r="A12" s="76" t="s">
        <v>312</v>
      </c>
      <c r="B12" s="70">
        <f>Conto_economico!C25-Conto_economico!C26</f>
        <v>41332499.230000004</v>
      </c>
      <c r="C12" s="70">
        <f>Conto_economico!D25-Conto_economico!D26</f>
        <v>1451859.3099999987</v>
      </c>
      <c r="D12" s="70">
        <f>Conto_economico!E25-Conto_economico!E26</f>
        <v>44459671.68</v>
      </c>
      <c r="E12" s="70">
        <f>Conto_economico!F25-Conto_economico!F26</f>
        <v>21225609.510000002</v>
      </c>
      <c r="F12" s="70">
        <f>Conto_economico!G25-Conto_economico!G26</f>
        <v>13461876.749999998</v>
      </c>
      <c r="G12" s="70">
        <f>Conto_economico!H25-Conto_economico!H26</f>
        <v>-3491366.54</v>
      </c>
      <c r="H12" s="70">
        <f>Conto_economico!I25-Conto_economico!I26</f>
        <v>4087213.3000000007</v>
      </c>
      <c r="I12" s="70">
        <f>Conto_economico!J25-Conto_economico!J26</f>
        <v>24312470.490000002</v>
      </c>
      <c r="J12" s="70">
        <f>Conto_economico!K25-Conto_economico!K26</f>
        <v>9986044.9099999983</v>
      </c>
      <c r="K12" s="69">
        <f t="shared" si="0"/>
        <v>-14326425.580000004</v>
      </c>
    </row>
    <row r="13" spans="1:11" x14ac:dyDescent="0.3">
      <c r="A13" s="76" t="s">
        <v>255</v>
      </c>
      <c r="B13" s="70">
        <f>Conto_economico!C24</f>
        <v>0</v>
      </c>
      <c r="C13" s="70">
        <f>Conto_economico!D24</f>
        <v>0</v>
      </c>
      <c r="D13" s="70">
        <f>Conto_economico!E24</f>
        <v>-4196185</v>
      </c>
      <c r="E13" s="70">
        <f>Conto_economico!F24</f>
        <v>-243987</v>
      </c>
      <c r="F13" s="70">
        <f>Conto_economico!G24</f>
        <v>-1379721</v>
      </c>
      <c r="G13" s="70">
        <f>Conto_economico!H24</f>
        <v>8058638</v>
      </c>
      <c r="H13" s="70">
        <f>Conto_economico!I24</f>
        <v>-9449789</v>
      </c>
      <c r="I13" s="70">
        <f>Conto_economico!J24</f>
        <v>-667558</v>
      </c>
      <c r="J13" s="70">
        <f>Conto_economico!K24</f>
        <v>-1235404</v>
      </c>
      <c r="K13" s="69">
        <f t="shared" si="0"/>
        <v>-567846</v>
      </c>
    </row>
    <row r="14" spans="1:11" x14ac:dyDescent="0.3">
      <c r="A14" s="52" t="s">
        <v>313</v>
      </c>
      <c r="B14" s="71">
        <f>SUM(B10:B13)</f>
        <v>33339009.280000001</v>
      </c>
      <c r="C14" s="71">
        <f t="shared" ref="C14:E14" si="4">SUM(C10:C13)</f>
        <v>23864973.849999987</v>
      </c>
      <c r="D14" s="71">
        <f t="shared" si="4"/>
        <v>6309956.5299999639</v>
      </c>
      <c r="E14" s="71">
        <f t="shared" si="4"/>
        <v>4113803.4999999553</v>
      </c>
      <c r="F14" s="71">
        <f t="shared" ref="F14:J14" si="5">SUM(F10:F13)</f>
        <v>-427395.47999999486</v>
      </c>
      <c r="G14" s="71">
        <f t="shared" ref="G14:I14" si="6">SUM(G10:G13)</f>
        <v>2127166.6900000265</v>
      </c>
      <c r="H14" s="71">
        <f t="shared" si="6"/>
        <v>-1030661.7600000091</v>
      </c>
      <c r="I14" s="71">
        <f t="shared" si="6"/>
        <v>18572241.649999969</v>
      </c>
      <c r="J14" s="71">
        <f t="shared" si="5"/>
        <v>-1796790.5400000084</v>
      </c>
      <c r="K14" s="71">
        <f t="shared" si="0"/>
        <v>-20369032.189999975</v>
      </c>
    </row>
    <row r="15" spans="1:11" x14ac:dyDescent="0.3">
      <c r="A15" s="76" t="s">
        <v>258</v>
      </c>
      <c r="B15" s="69">
        <f>Conto_economico!C27</f>
        <v>2434491.0099999998</v>
      </c>
      <c r="C15" s="69">
        <f>Conto_economico!D27</f>
        <v>2686740.73</v>
      </c>
      <c r="D15" s="69">
        <f>Conto_economico!E27</f>
        <v>2797373.7</v>
      </c>
      <c r="E15" s="69">
        <f>Conto_economico!F27</f>
        <v>2703860.63</v>
      </c>
      <c r="F15" s="69">
        <f>Conto_economico!G27</f>
        <v>2327163.5099999998</v>
      </c>
      <c r="G15" s="69">
        <f>Conto_economico!H27</f>
        <v>2049854.06</v>
      </c>
      <c r="H15" s="69">
        <f>Conto_economico!I27</f>
        <v>2255349.0499999998</v>
      </c>
      <c r="I15" s="69">
        <f>Conto_economico!J27</f>
        <v>2303828.88</v>
      </c>
      <c r="J15" s="69">
        <f>Conto_economico!K27</f>
        <v>2226261.7000000002</v>
      </c>
      <c r="K15" s="69">
        <f t="shared" si="0"/>
        <v>-77567.179999999702</v>
      </c>
    </row>
    <row r="16" spans="1:11" x14ac:dyDescent="0.3">
      <c r="A16" s="75" t="s">
        <v>259</v>
      </c>
      <c r="B16" s="72">
        <f>B14-B15</f>
        <v>30904518.270000003</v>
      </c>
      <c r="C16" s="72">
        <f t="shared" ref="C16:E16" si="7">C14-C15</f>
        <v>21178233.119999986</v>
      </c>
      <c r="D16" s="72">
        <f t="shared" si="7"/>
        <v>3512582.8299999638</v>
      </c>
      <c r="E16" s="72">
        <f t="shared" si="7"/>
        <v>1409942.8699999554</v>
      </c>
      <c r="F16" s="72">
        <f t="shared" ref="F16:J16" si="8">F14-F15</f>
        <v>-2754558.9899999946</v>
      </c>
      <c r="G16" s="72">
        <f t="shared" ref="G16:I16" si="9">G14-G15</f>
        <v>77312.630000026431</v>
      </c>
      <c r="H16" s="72">
        <f t="shared" si="9"/>
        <v>-3286010.8100000089</v>
      </c>
      <c r="I16" s="72">
        <f t="shared" si="9"/>
        <v>16268412.76999997</v>
      </c>
      <c r="J16" s="72">
        <f t="shared" si="8"/>
        <v>-4023052.2400000086</v>
      </c>
      <c r="K16" s="72">
        <f t="shared" si="0"/>
        <v>-20291465.009999979</v>
      </c>
    </row>
  </sheetData>
  <conditionalFormatting sqref="B16:F16 J16:K16">
    <cfRule type="cellIs" dxfId="92" priority="13" operator="greaterThan">
      <formula>0</formula>
    </cfRule>
  </conditionalFormatting>
  <conditionalFormatting sqref="B10:F10 B14:F14 J14:K14 J10:K10">
    <cfRule type="cellIs" dxfId="91" priority="12" operator="lessThan">
      <formula>0</formula>
    </cfRule>
  </conditionalFormatting>
  <conditionalFormatting sqref="G16">
    <cfRule type="cellIs" dxfId="90" priority="10" operator="greaterThan">
      <formula>0</formula>
    </cfRule>
  </conditionalFormatting>
  <conditionalFormatting sqref="G14 G10">
    <cfRule type="cellIs" dxfId="89" priority="9" operator="lessThan">
      <formula>0</formula>
    </cfRule>
  </conditionalFormatting>
  <conditionalFormatting sqref="H16">
    <cfRule type="cellIs" dxfId="88" priority="8" operator="greaterThan">
      <formula>0</formula>
    </cfRule>
  </conditionalFormatting>
  <conditionalFormatting sqref="H14 H10">
    <cfRule type="cellIs" dxfId="87" priority="7" operator="lessThan">
      <formula>0</formula>
    </cfRule>
  </conditionalFormatting>
  <conditionalFormatting sqref="B9:H9 J9:K9">
    <cfRule type="cellIs" dxfId="86" priority="6" operator="lessThan">
      <formula>0</formula>
    </cfRule>
  </conditionalFormatting>
  <conditionalFormatting sqref="I16">
    <cfRule type="cellIs" dxfId="85" priority="3" operator="greaterThan">
      <formula>0</formula>
    </cfRule>
  </conditionalFormatting>
  <conditionalFormatting sqref="I14 I10">
    <cfRule type="cellIs" dxfId="84" priority="2" operator="lessThan">
      <formula>0</formula>
    </cfRule>
  </conditionalFormatting>
  <conditionalFormatting sqref="I9">
    <cfRule type="cellIs" dxfId="8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6" bestFit="1" customWidth="1"/>
    <col min="2" max="12" width="12.6640625" bestFit="1" customWidth="1"/>
  </cols>
  <sheetData>
    <row r="1" spans="1:10" x14ac:dyDescent="0.3">
      <c r="A1" s="78"/>
      <c r="B1" s="74">
        <v>2015</v>
      </c>
      <c r="C1" s="74">
        <v>2016</v>
      </c>
      <c r="D1" s="74">
        <v>2017</v>
      </c>
      <c r="E1" s="74">
        <v>2018</v>
      </c>
      <c r="F1" s="74">
        <v>2019</v>
      </c>
      <c r="G1" s="74">
        <v>2020</v>
      </c>
      <c r="H1" s="74">
        <v>2021</v>
      </c>
      <c r="I1" s="74">
        <v>2022</v>
      </c>
      <c r="J1" s="74">
        <v>2023</v>
      </c>
    </row>
    <row r="2" spans="1:10" x14ac:dyDescent="0.3">
      <c r="A2" s="36" t="s">
        <v>212</v>
      </c>
      <c r="B2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6" t="s">
        <v>213</v>
      </c>
      <c r="B3" s="1">
        <v>2405913.9900000002</v>
      </c>
      <c r="C3" s="1">
        <v>1851504.18</v>
      </c>
      <c r="D3" s="1">
        <v>105093929.48999999</v>
      </c>
      <c r="E3" s="1">
        <v>104875669.64</v>
      </c>
      <c r="F3" s="1">
        <v>103819490.22</v>
      </c>
      <c r="G3" s="1">
        <v>103392038.95</v>
      </c>
      <c r="H3" s="1">
        <v>103985696.22</v>
      </c>
      <c r="I3" s="1">
        <v>102523135.17</v>
      </c>
      <c r="J3" s="1">
        <v>102766660.05</v>
      </c>
    </row>
    <row r="4" spans="1:10" x14ac:dyDescent="0.3">
      <c r="A4" s="36" t="s">
        <v>214</v>
      </c>
      <c r="B4" s="1">
        <v>1264494828.6700001</v>
      </c>
      <c r="C4" s="1">
        <v>1302477404.4000001</v>
      </c>
      <c r="D4" s="1">
        <v>1886724174.1500001</v>
      </c>
      <c r="E4" s="1">
        <v>1877799615.1700001</v>
      </c>
      <c r="F4" s="1">
        <v>1892818291.22</v>
      </c>
      <c r="G4" s="1">
        <v>1887137343.24</v>
      </c>
      <c r="H4" s="1">
        <v>1877476307.22</v>
      </c>
      <c r="I4" s="1">
        <v>1881277335.0899999</v>
      </c>
      <c r="J4" s="1">
        <v>1877940571.8800001</v>
      </c>
    </row>
    <row r="5" spans="1:10" x14ac:dyDescent="0.3">
      <c r="A5" s="36" t="s">
        <v>228</v>
      </c>
      <c r="B5" s="1">
        <f>102384456.37+57387789</f>
        <v>159772245.37</v>
      </c>
      <c r="C5" s="1">
        <f>101116739+53445332</f>
        <v>154562071</v>
      </c>
      <c r="D5" s="1">
        <v>154237156.44</v>
      </c>
      <c r="E5" s="1">
        <v>182048976</v>
      </c>
      <c r="F5" s="1">
        <v>204955129</v>
      </c>
      <c r="G5" s="1">
        <v>235579337</v>
      </c>
      <c r="H5" s="1">
        <v>236165683</v>
      </c>
      <c r="I5" s="1">
        <v>245095158</v>
      </c>
      <c r="J5" s="1">
        <v>250397555</v>
      </c>
    </row>
    <row r="6" spans="1:10" x14ac:dyDescent="0.3">
      <c r="A6" s="36" t="s">
        <v>229</v>
      </c>
      <c r="B6" s="1">
        <f>4200200+1289340.86</f>
        <v>5489540.8600000003</v>
      </c>
      <c r="C6" s="1">
        <f>4200200+1289340.86</f>
        <v>5489540.8600000003</v>
      </c>
      <c r="D6" s="1">
        <v>5489540.8600000003</v>
      </c>
      <c r="E6" s="1">
        <v>5489540.8600000003</v>
      </c>
      <c r="F6" s="1">
        <v>2700200</v>
      </c>
      <c r="G6" s="1">
        <v>2700200</v>
      </c>
      <c r="H6" s="1">
        <v>2700200</v>
      </c>
      <c r="I6" s="1">
        <v>0</v>
      </c>
      <c r="J6" s="1">
        <v>0</v>
      </c>
    </row>
    <row r="7" spans="1:10" x14ac:dyDescent="0.3">
      <c r="A7" s="36" t="s">
        <v>230</v>
      </c>
      <c r="B7" s="1">
        <v>137755.28</v>
      </c>
      <c r="C7" s="1">
        <v>133794.26</v>
      </c>
      <c r="D7" s="1">
        <v>133794.26</v>
      </c>
      <c r="E7" s="1">
        <v>133794.26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6" t="s">
        <v>231</v>
      </c>
      <c r="B8" s="1">
        <v>1834034.27</v>
      </c>
      <c r="C8" s="1">
        <v>79151.31</v>
      </c>
      <c r="D8" s="1">
        <v>96893.65</v>
      </c>
      <c r="E8" s="1">
        <v>74303.69</v>
      </c>
      <c r="F8" s="1">
        <v>65161.37</v>
      </c>
      <c r="G8" s="1">
        <v>102692.94</v>
      </c>
      <c r="H8" s="1">
        <v>101258.93</v>
      </c>
      <c r="I8" s="1">
        <v>140540.95000000001</v>
      </c>
      <c r="J8" s="1">
        <v>94647.38</v>
      </c>
    </row>
    <row r="9" spans="1:10" x14ac:dyDescent="0.3">
      <c r="A9" s="36" t="s">
        <v>215</v>
      </c>
      <c r="B9" s="1">
        <v>84759522.5</v>
      </c>
      <c r="C9" s="1">
        <v>77841919.780000001</v>
      </c>
      <c r="D9" s="1">
        <v>79402930.689999998</v>
      </c>
      <c r="E9" s="1">
        <v>82324266.170000002</v>
      </c>
      <c r="F9" s="1">
        <v>79465721.819999993</v>
      </c>
      <c r="G9" s="1">
        <v>78785704.650000006</v>
      </c>
      <c r="H9" s="1">
        <v>77953089.909999996</v>
      </c>
      <c r="I9" s="1">
        <v>87528432.950000003</v>
      </c>
      <c r="J9" s="1">
        <v>60217260.270000003</v>
      </c>
    </row>
    <row r="10" spans="1:10" x14ac:dyDescent="0.3">
      <c r="A10" s="36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6" t="s">
        <v>216</v>
      </c>
      <c r="B11" s="1">
        <v>36587200.859999999</v>
      </c>
      <c r="C11" s="1">
        <v>57950079.810000002</v>
      </c>
      <c r="D11" s="1">
        <v>56189229.359999999</v>
      </c>
      <c r="E11" s="1">
        <v>63486610.799999997</v>
      </c>
      <c r="F11" s="1">
        <v>73070590.269999996</v>
      </c>
      <c r="G11" s="1">
        <v>112208525.92</v>
      </c>
      <c r="H11" s="1">
        <v>128914680.89</v>
      </c>
      <c r="I11" s="1">
        <v>163054178.72999999</v>
      </c>
      <c r="J11" s="1">
        <v>157138221.28</v>
      </c>
    </row>
    <row r="12" spans="1:10" x14ac:dyDescent="0.3">
      <c r="A12" s="36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51538.61</v>
      </c>
      <c r="G12" s="1">
        <v>50951.59</v>
      </c>
      <c r="H12" s="1">
        <v>51479.519999999997</v>
      </c>
      <c r="I12" s="1">
        <v>50601.79</v>
      </c>
      <c r="J12" s="1">
        <v>70818.83</v>
      </c>
    </row>
    <row r="13" spans="1:10" x14ac:dyDescent="0.3">
      <c r="A13" s="11" t="s">
        <v>218</v>
      </c>
      <c r="B13" s="12">
        <f t="shared" ref="B13:J13" si="0">SUM(B2:B12)</f>
        <v>1555481041.8</v>
      </c>
      <c r="C13" s="12">
        <f t="shared" si="0"/>
        <v>1600385465.5999999</v>
      </c>
      <c r="D13" s="12">
        <f t="shared" si="0"/>
        <v>2287367648.9000006</v>
      </c>
      <c r="E13" s="12">
        <f t="shared" si="0"/>
        <v>2316232776.5900011</v>
      </c>
      <c r="F13" s="12">
        <f t="shared" si="0"/>
        <v>2356946122.5100002</v>
      </c>
      <c r="G13" s="12">
        <f t="shared" ref="G13" si="1">SUM(G2:G12)</f>
        <v>2419956794.2900004</v>
      </c>
      <c r="H13" s="12">
        <f t="shared" ref="H13" si="2">SUM(H2:H12)</f>
        <v>2427348395.6899996</v>
      </c>
      <c r="I13" s="12">
        <f t="shared" ref="I13" si="3">SUM(I2:I12)</f>
        <v>2479669382.6799998</v>
      </c>
      <c r="J13" s="12">
        <f t="shared" si="0"/>
        <v>2448625734.6900005</v>
      </c>
    </row>
    <row r="14" spans="1:10" x14ac:dyDescent="0.3">
      <c r="A14" s="36" t="s">
        <v>219</v>
      </c>
      <c r="B14" s="1">
        <v>646421711.48000002</v>
      </c>
      <c r="C14" s="1">
        <v>646421711.48000002</v>
      </c>
      <c r="D14" s="1">
        <v>-909257054.66999996</v>
      </c>
      <c r="E14" s="1">
        <v>-905744471.84000003</v>
      </c>
      <c r="F14" s="1">
        <v>-904334528.97000003</v>
      </c>
      <c r="G14" s="1">
        <v>-904334528.97000003</v>
      </c>
      <c r="H14" s="1">
        <v>0</v>
      </c>
      <c r="I14" s="1">
        <v>0</v>
      </c>
      <c r="J14" s="1">
        <v>0</v>
      </c>
    </row>
    <row r="15" spans="1:10" x14ac:dyDescent="0.3">
      <c r="A15" s="36" t="s">
        <v>220</v>
      </c>
      <c r="B15" s="1">
        <v>195309364.80000001</v>
      </c>
      <c r="C15" s="1">
        <v>199104113.94999999</v>
      </c>
      <c r="D15" s="1">
        <v>2459197901.8699999</v>
      </c>
      <c r="E15" s="1">
        <v>2497838959.6799998</v>
      </c>
      <c r="F15" s="1">
        <v>2538275311.2399998</v>
      </c>
      <c r="G15" s="1">
        <v>2563799061.0799999</v>
      </c>
      <c r="H15" s="1">
        <v>2569404454.46</v>
      </c>
      <c r="I15" s="1">
        <v>2574921797.6700001</v>
      </c>
      <c r="J15" s="1">
        <v>1700137068.4100001</v>
      </c>
    </row>
    <row r="16" spans="1:10" x14ac:dyDescent="0.3">
      <c r="A16" s="36" t="s">
        <v>235</v>
      </c>
      <c r="B16" s="1">
        <v>195309364.80000001</v>
      </c>
      <c r="C16" s="1">
        <v>199104113.94999999</v>
      </c>
      <c r="D16" s="1">
        <v>203734234.63999999</v>
      </c>
      <c r="E16" s="1">
        <v>214490745.88999999</v>
      </c>
      <c r="F16" s="1">
        <v>230641223.44999999</v>
      </c>
      <c r="G16" s="1">
        <v>236267210.28</v>
      </c>
      <c r="H16" s="1">
        <v>230711387.47999999</v>
      </c>
      <c r="I16" s="1">
        <v>233121357.06999999</v>
      </c>
      <c r="J16" s="1">
        <v>26947522.879999999</v>
      </c>
    </row>
    <row r="17" spans="1:12" x14ac:dyDescent="0.3">
      <c r="A17" s="36" t="s">
        <v>221</v>
      </c>
      <c r="B17" s="1">
        <v>0</v>
      </c>
      <c r="C17" s="1">
        <v>21178233.120000001</v>
      </c>
      <c r="D17" s="1">
        <v>3512582.83</v>
      </c>
      <c r="E17" s="1">
        <v>1409942.87</v>
      </c>
      <c r="F17" s="1">
        <v>-2754558.99</v>
      </c>
      <c r="G17" s="1">
        <v>77312.63</v>
      </c>
      <c r="H17" s="1">
        <v>-3286010.81</v>
      </c>
      <c r="I17" s="1">
        <v>16268412.77</v>
      </c>
      <c r="J17" s="1">
        <v>-4023052.24</v>
      </c>
    </row>
    <row r="18" spans="1:12" x14ac:dyDescent="0.3">
      <c r="A18" s="36" t="s">
        <v>362</v>
      </c>
      <c r="B18" s="1"/>
      <c r="C18" s="1"/>
      <c r="D18" s="1"/>
      <c r="E18" s="1"/>
      <c r="F18" s="1"/>
      <c r="G18" s="1">
        <v>0</v>
      </c>
      <c r="H18" s="1">
        <v>0</v>
      </c>
      <c r="I18" s="1">
        <v>0</v>
      </c>
      <c r="J18" s="1">
        <v>0</v>
      </c>
    </row>
    <row r="19" spans="1:12" x14ac:dyDescent="0.3">
      <c r="A19" s="36" t="s">
        <v>363</v>
      </c>
      <c r="B19" s="1"/>
      <c r="C19" s="1"/>
      <c r="D19" s="1"/>
      <c r="E19" s="1"/>
      <c r="F19" s="1"/>
      <c r="G19" s="1">
        <v>0</v>
      </c>
      <c r="H19" s="1">
        <v>-897220629.51999998</v>
      </c>
      <c r="I19" s="1">
        <v>-897220629.51999998</v>
      </c>
      <c r="J19" s="1">
        <v>0</v>
      </c>
    </row>
    <row r="20" spans="1:12" x14ac:dyDescent="0.3">
      <c r="A20" s="36" t="s">
        <v>222</v>
      </c>
      <c r="B20" s="1">
        <f>6480000+19537.18</f>
        <v>6499537.1799999997</v>
      </c>
      <c r="C20" s="1">
        <f>6480000+25003.36</f>
        <v>6505003.3600000003</v>
      </c>
      <c r="D20" s="1">
        <v>10907778.560000001</v>
      </c>
      <c r="E20" s="1">
        <v>12285208.5</v>
      </c>
      <c r="F20" s="1">
        <v>16107450.029999999</v>
      </c>
      <c r="G20" s="1">
        <v>19523444.059999999</v>
      </c>
      <c r="H20" s="1">
        <v>23447807.07</v>
      </c>
      <c r="I20" s="1">
        <v>27547003.280000001</v>
      </c>
      <c r="J20" s="1">
        <v>37253005.689999998</v>
      </c>
    </row>
    <row r="21" spans="1:12" x14ac:dyDescent="0.3">
      <c r="A21" s="36" t="s">
        <v>209</v>
      </c>
      <c r="B21" s="1">
        <f>98762978.72+30858427.06</f>
        <v>129621405.78</v>
      </c>
      <c r="C21" s="1">
        <f>90401363.67+32027856.28</f>
        <v>122429219.95</v>
      </c>
      <c r="D21" s="1">
        <v>119776274.69</v>
      </c>
      <c r="E21" s="1">
        <v>118341665.18000001</v>
      </c>
      <c r="F21" s="1">
        <v>116210046.98999999</v>
      </c>
      <c r="G21" s="1">
        <v>113189372.59999999</v>
      </c>
      <c r="H21" s="1">
        <v>114149223.34</v>
      </c>
      <c r="I21" s="1">
        <v>109179846.59</v>
      </c>
      <c r="J21" s="1">
        <v>90825049.659999996</v>
      </c>
    </row>
    <row r="22" spans="1:12" x14ac:dyDescent="0.3">
      <c r="A22" s="36" t="s">
        <v>223</v>
      </c>
      <c r="B22" s="1">
        <v>47381978.920000002</v>
      </c>
      <c r="C22" s="1">
        <v>62216836.990000002</v>
      </c>
      <c r="D22" s="1">
        <v>27974169.170000002</v>
      </c>
      <c r="E22" s="1">
        <v>31447432.5</v>
      </c>
      <c r="F22" s="1">
        <v>38697277.579999998</v>
      </c>
      <c r="G22" s="1">
        <v>40240253.469999999</v>
      </c>
      <c r="H22" s="1">
        <v>33105601.149999999</v>
      </c>
      <c r="I22" s="1">
        <v>48454356.350000001</v>
      </c>
      <c r="J22" s="1">
        <v>34206196.939999998</v>
      </c>
    </row>
    <row r="23" spans="1:12" x14ac:dyDescent="0.3">
      <c r="A23" s="36" t="s">
        <v>224</v>
      </c>
      <c r="B23" s="1">
        <v>0</v>
      </c>
      <c r="C23" s="1">
        <v>0</v>
      </c>
      <c r="D23" s="1">
        <v>12045113.439999999</v>
      </c>
      <c r="E23" s="1">
        <v>13885977.689999999</v>
      </c>
      <c r="F23" s="1">
        <v>11506581.550000001</v>
      </c>
      <c r="G23" s="1">
        <v>20856922.969999999</v>
      </c>
      <c r="H23" s="1">
        <v>21996414.379999999</v>
      </c>
      <c r="I23" s="1">
        <v>27404309.449999999</v>
      </c>
      <c r="J23" s="1">
        <v>22006999.48</v>
      </c>
    </row>
    <row r="24" spans="1:12" x14ac:dyDescent="0.3">
      <c r="A24" s="36" t="s">
        <v>225</v>
      </c>
      <c r="B24" s="1">
        <f>3913817.11+550060.04+1072909.91</f>
        <v>5536787.0600000005</v>
      </c>
      <c r="C24" s="1">
        <f>3481705.17+1050.57+1385769.7</f>
        <v>4868525.4399999995</v>
      </c>
      <c r="D24" s="1">
        <v>16433009.060000001</v>
      </c>
      <c r="E24" s="1">
        <v>10810831.6</v>
      </c>
      <c r="F24" s="1">
        <v>11527284.43</v>
      </c>
      <c r="G24" s="1">
        <v>16126902.57</v>
      </c>
      <c r="H24" s="1">
        <v>17497561.890000001</v>
      </c>
      <c r="I24" s="1">
        <v>21235533.91</v>
      </c>
      <c r="J24" s="1">
        <v>17833943.050000001</v>
      </c>
      <c r="K24" s="1"/>
      <c r="L24" s="1"/>
    </row>
    <row r="25" spans="1:12" x14ac:dyDescent="0.3">
      <c r="A25" s="36" t="s">
        <v>226</v>
      </c>
      <c r="B25" s="1">
        <v>524710236.57999998</v>
      </c>
      <c r="C25" s="1">
        <v>537661821.30999994</v>
      </c>
      <c r="D25" s="1">
        <v>546777873.95000005</v>
      </c>
      <c r="E25" s="1">
        <v>535957230.41000003</v>
      </c>
      <c r="F25" s="1">
        <v>531711258.64999998</v>
      </c>
      <c r="G25" s="1">
        <v>550478053.88</v>
      </c>
      <c r="H25" s="1">
        <v>548253973.73000002</v>
      </c>
      <c r="I25" s="1">
        <v>551878752.09000003</v>
      </c>
      <c r="J25" s="1">
        <v>550386523.63</v>
      </c>
    </row>
    <row r="26" spans="1:12" x14ac:dyDescent="0.3">
      <c r="A26" s="77" t="s">
        <v>227</v>
      </c>
      <c r="B26" s="3">
        <f>SUM(B14:B25)-B16</f>
        <v>1555481021.8</v>
      </c>
      <c r="C26" s="3">
        <f>SUM(C14:C25)-C16</f>
        <v>1600385465.6000001</v>
      </c>
      <c r="D26" s="3">
        <f t="shared" ref="D26:E26" si="4">SUM(D14:D25)-D16</f>
        <v>2287367648.9000001</v>
      </c>
      <c r="E26" s="3">
        <f t="shared" si="4"/>
        <v>2316232776.5899997</v>
      </c>
      <c r="F26" s="3">
        <f t="shared" ref="F26:J26" si="5">SUM(F14:F25)-F16</f>
        <v>2356946122.5099998</v>
      </c>
      <c r="G26" s="3">
        <f t="shared" ref="G26" si="6">SUM(G14:G25)-G16</f>
        <v>2419956794.2899995</v>
      </c>
      <c r="H26" s="3">
        <f t="shared" ref="H26" si="7">SUM(H14:H25)-H16</f>
        <v>2427348395.6900001</v>
      </c>
      <c r="I26" s="3">
        <f t="shared" ref="I26" si="8">SUM(I14:I25)-I16</f>
        <v>2479669382.5900002</v>
      </c>
      <c r="J26" s="3">
        <f t="shared" si="5"/>
        <v>2448625734.6200004</v>
      </c>
    </row>
    <row r="27" spans="1:12" x14ac:dyDescent="0.3">
      <c r="A27" s="11" t="s">
        <v>267</v>
      </c>
      <c r="B27" s="12">
        <f t="shared" ref="B27:G27" si="9">B14+B15+B17+B18+B19</f>
        <v>841731076.27999997</v>
      </c>
      <c r="C27" s="12">
        <f t="shared" si="9"/>
        <v>866704058.55000007</v>
      </c>
      <c r="D27" s="12">
        <f t="shared" si="9"/>
        <v>1553453430.0299997</v>
      </c>
      <c r="E27" s="12">
        <f t="shared" si="9"/>
        <v>1593504430.7099996</v>
      </c>
      <c r="F27" s="12">
        <f t="shared" si="9"/>
        <v>1631186223.2799997</v>
      </c>
      <c r="G27" s="12">
        <f t="shared" si="9"/>
        <v>1659541844.74</v>
      </c>
      <c r="H27" s="12">
        <f>H14+H15+H17+H18+H19</f>
        <v>1668897814.1300001</v>
      </c>
      <c r="I27" s="12">
        <f>I14+I15+I17+I18+I19</f>
        <v>1693969580.9200001</v>
      </c>
      <c r="J27" s="12">
        <f>J14+J15+J17+J18+J19</f>
        <v>1696114016.1700001</v>
      </c>
    </row>
    <row r="28" spans="1:12" x14ac:dyDescent="0.3">
      <c r="B28" s="6">
        <f>B27/B26*100</f>
        <v>54.113876317561896</v>
      </c>
      <c r="C28" s="6">
        <f t="shared" ref="C28:J28" si="10">C27/C26*100</f>
        <v>54.155956622929239</v>
      </c>
      <c r="D28" s="6">
        <f t="shared" si="10"/>
        <v>67.914461882726144</v>
      </c>
      <c r="E28" s="6">
        <f t="shared" si="10"/>
        <v>68.797248999126325</v>
      </c>
      <c r="F28" s="6">
        <f t="shared" si="10"/>
        <v>69.207616063064208</v>
      </c>
      <c r="G28" s="6">
        <f t="shared" si="10"/>
        <v>68.577333639004053</v>
      </c>
      <c r="H28" s="6">
        <f t="shared" ref="H28:I28" si="11">H27/H26*100</f>
        <v>68.753946367702937</v>
      </c>
      <c r="I28" s="6">
        <f t="shared" si="11"/>
        <v>68.314332257902009</v>
      </c>
      <c r="J28" s="6">
        <f t="shared" si="10"/>
        <v>69.267997644124165</v>
      </c>
    </row>
    <row r="29" spans="1:12" x14ac:dyDescent="0.3">
      <c r="B29" s="1"/>
    </row>
    <row r="30" spans="1:12" x14ac:dyDescent="0.3">
      <c r="B30" s="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0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27" t="s">
        <v>210</v>
      </c>
      <c r="B1" s="127"/>
      <c r="C1" s="2" t="s">
        <v>211</v>
      </c>
      <c r="D1" s="2">
        <v>2016</v>
      </c>
      <c r="E1" s="2">
        <v>2017</v>
      </c>
      <c r="F1" s="2">
        <v>2018</v>
      </c>
      <c r="G1" s="104">
        <v>2019</v>
      </c>
      <c r="H1" s="112">
        <v>2020</v>
      </c>
      <c r="I1" s="115">
        <v>2021</v>
      </c>
      <c r="J1" s="120">
        <v>2022</v>
      </c>
      <c r="K1" s="112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25.895569999999999</v>
      </c>
      <c r="E3" s="7">
        <v>25.681850000000001</v>
      </c>
      <c r="F3" s="7">
        <v>25.972819999999999</v>
      </c>
      <c r="G3" s="7">
        <v>24.51</v>
      </c>
      <c r="H3" s="7">
        <v>22.19</v>
      </c>
      <c r="I3" s="7">
        <v>22.36</v>
      </c>
      <c r="J3" s="7">
        <v>23.13</v>
      </c>
      <c r="K3" s="7">
        <v>26.77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102.31917</v>
      </c>
      <c r="E5" s="7">
        <v>98.661689999999993</v>
      </c>
      <c r="F5" s="7">
        <v>99.221649999999997</v>
      </c>
      <c r="G5" s="7">
        <v>100.33</v>
      </c>
      <c r="H5" s="7">
        <v>105.55</v>
      </c>
      <c r="I5" s="7">
        <v>108.33</v>
      </c>
      <c r="J5" s="7">
        <v>107.04</v>
      </c>
      <c r="K5" s="7">
        <v>105.28</v>
      </c>
    </row>
    <row r="6" spans="1:11" x14ac:dyDescent="0.3">
      <c r="A6" t="s">
        <v>83</v>
      </c>
      <c r="B6" t="s">
        <v>84</v>
      </c>
      <c r="D6" s="7">
        <v>98.360799999999998</v>
      </c>
      <c r="E6" s="7">
        <v>98.413030000000006</v>
      </c>
      <c r="F6" s="7">
        <v>96.662459999999996</v>
      </c>
      <c r="G6" s="7">
        <v>98.3</v>
      </c>
      <c r="H6" s="7">
        <v>101.32</v>
      </c>
      <c r="I6" s="7">
        <v>100.59</v>
      </c>
      <c r="J6" s="7">
        <v>97.54</v>
      </c>
      <c r="K6" s="7">
        <v>97.22</v>
      </c>
    </row>
    <row r="7" spans="1:11" x14ac:dyDescent="0.3">
      <c r="A7" t="s">
        <v>85</v>
      </c>
      <c r="B7" t="s">
        <v>86</v>
      </c>
      <c r="D7" s="7">
        <v>76.228849999999994</v>
      </c>
      <c r="E7" s="7">
        <v>72.443759999999997</v>
      </c>
      <c r="F7" s="7">
        <v>71.893190000000004</v>
      </c>
      <c r="G7" s="7">
        <v>72.849999999999994</v>
      </c>
      <c r="H7" s="7">
        <v>66.290000000000006</v>
      </c>
      <c r="I7" s="7">
        <v>71.62</v>
      </c>
      <c r="J7" s="7">
        <v>74.05</v>
      </c>
      <c r="K7" s="7">
        <v>69.63</v>
      </c>
    </row>
    <row r="8" spans="1:11" x14ac:dyDescent="0.3">
      <c r="A8" t="s">
        <v>87</v>
      </c>
      <c r="B8" t="s">
        <v>88</v>
      </c>
      <c r="D8" s="7">
        <v>73.279820000000001</v>
      </c>
      <c r="E8" s="7">
        <v>72.261179999999996</v>
      </c>
      <c r="F8" s="7">
        <v>70.038880000000006</v>
      </c>
      <c r="G8" s="7">
        <v>71.38</v>
      </c>
      <c r="H8" s="7">
        <v>63.63</v>
      </c>
      <c r="I8" s="7">
        <v>66.5</v>
      </c>
      <c r="J8" s="7">
        <v>67.47</v>
      </c>
      <c r="K8" s="7">
        <v>64.3</v>
      </c>
    </row>
    <row r="9" spans="1:11" x14ac:dyDescent="0.3">
      <c r="A9" t="s">
        <v>89</v>
      </c>
      <c r="B9" t="s">
        <v>90</v>
      </c>
      <c r="D9" s="7">
        <v>107.64037</v>
      </c>
      <c r="E9" s="7">
        <v>98.776679999999999</v>
      </c>
      <c r="F9" s="7">
        <v>83.541390000000007</v>
      </c>
      <c r="G9" s="7">
        <v>70</v>
      </c>
      <c r="H9" s="7">
        <v>67.66</v>
      </c>
      <c r="I9" s="7">
        <v>73.08</v>
      </c>
      <c r="J9" s="7">
        <v>80.040000000000006</v>
      </c>
      <c r="K9" s="7">
        <v>71.89</v>
      </c>
    </row>
    <row r="10" spans="1:11" x14ac:dyDescent="0.3">
      <c r="A10" t="s">
        <v>91</v>
      </c>
      <c r="B10" t="s">
        <v>92</v>
      </c>
      <c r="D10" s="7">
        <v>95.693550000000002</v>
      </c>
      <c r="E10" s="7">
        <v>96.832939999999994</v>
      </c>
      <c r="F10" s="7">
        <v>77.981350000000006</v>
      </c>
      <c r="G10" s="7">
        <v>78.05</v>
      </c>
      <c r="H10" s="7">
        <v>68.95</v>
      </c>
      <c r="I10" s="7">
        <v>67.900000000000006</v>
      </c>
      <c r="J10" s="7">
        <v>82.64</v>
      </c>
      <c r="K10" s="7">
        <v>67.900000000000006</v>
      </c>
    </row>
    <row r="11" spans="1:11" x14ac:dyDescent="0.3">
      <c r="A11" t="s">
        <v>93</v>
      </c>
      <c r="B11" t="s">
        <v>94</v>
      </c>
      <c r="D11" s="7">
        <v>78.481470000000002</v>
      </c>
      <c r="E11" s="7">
        <v>70.176119999999997</v>
      </c>
      <c r="F11" s="7">
        <v>61.755589999999998</v>
      </c>
      <c r="G11" s="7">
        <v>49.79</v>
      </c>
      <c r="H11" s="7">
        <v>43.21</v>
      </c>
      <c r="I11" s="7">
        <v>46.63</v>
      </c>
      <c r="J11" s="7">
        <v>54.74</v>
      </c>
      <c r="K11" s="7">
        <v>47.46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69.770949999999999</v>
      </c>
      <c r="E12" s="7">
        <v>68.795180000000002</v>
      </c>
      <c r="F12" s="7">
        <v>57.645490000000002</v>
      </c>
      <c r="G12" s="7">
        <v>55.51</v>
      </c>
      <c r="H12" s="7">
        <v>44.03</v>
      </c>
      <c r="I12" s="7">
        <v>43.33</v>
      </c>
      <c r="J12" s="7">
        <v>56.52</v>
      </c>
      <c r="K12" s="7">
        <v>44.82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23.972529999999999</v>
      </c>
      <c r="E17" s="7">
        <v>23.231439999999999</v>
      </c>
      <c r="F17" s="7">
        <v>23.88918</v>
      </c>
      <c r="G17" s="7">
        <v>23.21</v>
      </c>
      <c r="H17" s="7">
        <v>22.62</v>
      </c>
      <c r="I17" s="7">
        <v>21.92</v>
      </c>
      <c r="J17" s="7">
        <v>21.8</v>
      </c>
      <c r="K17" s="7">
        <v>23.85</v>
      </c>
    </row>
    <row r="18" spans="1:11" x14ac:dyDescent="0.3">
      <c r="A18" t="s">
        <v>105</v>
      </c>
      <c r="B18" t="s">
        <v>106</v>
      </c>
      <c r="D18" s="7">
        <v>13.33887</v>
      </c>
      <c r="E18" s="7">
        <v>13.090820000000001</v>
      </c>
      <c r="F18" s="7">
        <v>14.28511</v>
      </c>
      <c r="G18" s="7">
        <v>13.59</v>
      </c>
      <c r="H18" s="7">
        <v>14.67</v>
      </c>
      <c r="I18" s="7">
        <v>15.06</v>
      </c>
      <c r="J18" s="7">
        <v>15.16</v>
      </c>
      <c r="K18" s="7">
        <v>13.4</v>
      </c>
    </row>
    <row r="19" spans="1:11" x14ac:dyDescent="0.3">
      <c r="A19" t="s">
        <v>107</v>
      </c>
      <c r="B19" t="s">
        <v>108</v>
      </c>
      <c r="D19" s="7">
        <v>1.3630199999999999</v>
      </c>
      <c r="E19" s="7">
        <v>1.6055699999999999</v>
      </c>
      <c r="F19" s="7">
        <v>1.4662299999999999</v>
      </c>
      <c r="G19" s="7">
        <v>1.63</v>
      </c>
      <c r="H19" s="7">
        <v>1.96</v>
      </c>
      <c r="I19" s="7">
        <v>1.76</v>
      </c>
      <c r="J19" s="7">
        <v>2.89</v>
      </c>
      <c r="K19" s="7">
        <v>3.53</v>
      </c>
    </row>
    <row r="20" spans="1:11" x14ac:dyDescent="0.3">
      <c r="A20" t="s">
        <v>109</v>
      </c>
      <c r="B20" t="s">
        <v>110</v>
      </c>
      <c r="D20" s="7">
        <v>248.76791</v>
      </c>
      <c r="E20" s="7">
        <v>245.63489999999999</v>
      </c>
      <c r="F20" s="7">
        <v>254.47703000000001</v>
      </c>
      <c r="G20" s="7">
        <v>243.02199999999999</v>
      </c>
      <c r="H20" s="7">
        <v>231.208</v>
      </c>
      <c r="I20" s="7">
        <v>239.238</v>
      </c>
      <c r="J20" s="7">
        <v>249.87</v>
      </c>
      <c r="K20" s="7">
        <v>244.01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42.354280000000003</v>
      </c>
      <c r="E22" s="7">
        <v>40.206890000000001</v>
      </c>
      <c r="F22" s="7">
        <v>41.012889999999999</v>
      </c>
      <c r="G22" s="7">
        <v>41.43</v>
      </c>
      <c r="H22" s="7">
        <v>39.630000000000003</v>
      </c>
      <c r="I22" s="7">
        <v>39.75</v>
      </c>
      <c r="J22" s="7">
        <v>40.68</v>
      </c>
      <c r="K22" s="7">
        <v>28.71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0.80257000000000001</v>
      </c>
      <c r="E24" s="7">
        <v>0.78779999999999994</v>
      </c>
      <c r="F24" s="7">
        <v>0.77758000000000005</v>
      </c>
      <c r="G24" s="7">
        <v>0.75</v>
      </c>
      <c r="H24" s="7">
        <v>0.74</v>
      </c>
      <c r="I24" s="7">
        <v>0.73</v>
      </c>
      <c r="J24" s="7">
        <v>0.71</v>
      </c>
      <c r="K24" s="7">
        <v>1.23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15.202450000000001</v>
      </c>
      <c r="E28" s="7">
        <v>11.39195</v>
      </c>
      <c r="F28" s="7">
        <v>11.48584</v>
      </c>
      <c r="G28" s="7">
        <v>14.71</v>
      </c>
      <c r="H28" s="7">
        <v>9.81</v>
      </c>
      <c r="I28" s="7">
        <v>10.199999999999999</v>
      </c>
      <c r="J28" s="7">
        <v>14.62</v>
      </c>
      <c r="K28" s="7">
        <v>14.96</v>
      </c>
    </row>
    <row r="29" spans="1:11" x14ac:dyDescent="0.3">
      <c r="A29" t="s">
        <v>124</v>
      </c>
      <c r="B29" t="s">
        <v>125</v>
      </c>
      <c r="D29" s="7">
        <v>156.49006</v>
      </c>
      <c r="E29" s="7">
        <v>95.496650000000002</v>
      </c>
      <c r="F29" s="7">
        <v>122.91746000000001</v>
      </c>
      <c r="G29" s="7">
        <v>179.72900000000001</v>
      </c>
      <c r="H29" s="7">
        <v>116.666</v>
      </c>
      <c r="I29" s="7">
        <v>111.691</v>
      </c>
      <c r="J29" s="7">
        <v>190.78</v>
      </c>
      <c r="K29" s="7">
        <v>154.07</v>
      </c>
    </row>
    <row r="30" spans="1:11" x14ac:dyDescent="0.3">
      <c r="A30" t="s">
        <v>126</v>
      </c>
      <c r="B30" t="s">
        <v>127</v>
      </c>
      <c r="D30" s="7">
        <v>39.27129</v>
      </c>
      <c r="E30" s="7">
        <v>49.396419999999999</v>
      </c>
      <c r="F30" s="7">
        <v>21.615220000000001</v>
      </c>
      <c r="G30" s="7">
        <v>9.9109999999999996</v>
      </c>
      <c r="H30" s="7">
        <v>2.7639999999999998</v>
      </c>
      <c r="I30" s="7">
        <v>21.026</v>
      </c>
      <c r="J30" s="7">
        <v>19.22</v>
      </c>
      <c r="K30" s="7">
        <v>36.82</v>
      </c>
    </row>
    <row r="31" spans="1:11" x14ac:dyDescent="0.3">
      <c r="A31" t="s">
        <v>128</v>
      </c>
      <c r="B31" t="s">
        <v>129</v>
      </c>
      <c r="D31" s="7">
        <v>195.76134999999999</v>
      </c>
      <c r="E31" s="7">
        <v>144.89306999999999</v>
      </c>
      <c r="F31" s="7">
        <v>144.53268</v>
      </c>
      <c r="G31" s="7">
        <v>189.63900000000001</v>
      </c>
      <c r="H31" s="7">
        <v>119.43</v>
      </c>
      <c r="I31" s="7">
        <v>132.71700000000001</v>
      </c>
      <c r="J31" s="7">
        <v>209.99</v>
      </c>
      <c r="K31" s="7">
        <v>190.89</v>
      </c>
    </row>
    <row r="32" spans="1:11" x14ac:dyDescent="0.3">
      <c r="A32" t="s">
        <v>130</v>
      </c>
      <c r="B32" t="s">
        <v>131</v>
      </c>
      <c r="D32" s="7">
        <v>48.27337</v>
      </c>
      <c r="E32" s="7">
        <v>29.36796</v>
      </c>
      <c r="F32" s="7">
        <v>32.976689999999998</v>
      </c>
      <c r="G32" s="7">
        <v>76.400000000000006</v>
      </c>
      <c r="H32" s="7">
        <v>196.34</v>
      </c>
      <c r="I32" s="7">
        <v>146.03</v>
      </c>
      <c r="J32" s="7">
        <v>66.28</v>
      </c>
      <c r="K32" s="7">
        <v>52.07</v>
      </c>
    </row>
    <row r="33" spans="1:11" x14ac:dyDescent="0.3">
      <c r="A33" t="s">
        <v>132</v>
      </c>
      <c r="B33" t="s">
        <v>133</v>
      </c>
      <c r="D33" s="7">
        <v>0.25996000000000002</v>
      </c>
      <c r="E33" s="7">
        <v>8.2017399999999991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-6.56</v>
      </c>
    </row>
    <row r="34" spans="1:11" x14ac:dyDescent="0.3">
      <c r="A34" t="s">
        <v>134</v>
      </c>
      <c r="B34" t="s">
        <v>135</v>
      </c>
      <c r="D34" s="7">
        <v>7.9203799999999998</v>
      </c>
      <c r="E34" s="7">
        <v>10.93791</v>
      </c>
      <c r="F34" s="7">
        <v>5.1478099999999998</v>
      </c>
      <c r="G34" s="7">
        <v>15.35</v>
      </c>
      <c r="H34" s="7">
        <v>32.94</v>
      </c>
      <c r="I34" s="7">
        <v>19.18</v>
      </c>
      <c r="J34" s="7">
        <v>15.77</v>
      </c>
      <c r="K34" s="7">
        <v>31.41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95.730549999999994</v>
      </c>
      <c r="E36" s="7">
        <v>96.585999999999999</v>
      </c>
      <c r="F36" s="7">
        <v>96.697689999999994</v>
      </c>
      <c r="G36" s="7">
        <v>94.92</v>
      </c>
      <c r="H36" s="7">
        <v>94.8</v>
      </c>
      <c r="I36" s="7">
        <v>92.25</v>
      </c>
      <c r="J36" s="7">
        <v>92.64</v>
      </c>
      <c r="K36" s="7">
        <v>89.07</v>
      </c>
    </row>
    <row r="37" spans="1:11" x14ac:dyDescent="0.3">
      <c r="A37" t="s">
        <v>139</v>
      </c>
      <c r="B37" t="s">
        <v>140</v>
      </c>
      <c r="D37" s="7">
        <v>99.844489999999993</v>
      </c>
      <c r="E37" s="7">
        <v>92.829430000000002</v>
      </c>
      <c r="F37" s="7">
        <v>88.530339999999995</v>
      </c>
      <c r="G37" s="7">
        <v>73.680000000000007</v>
      </c>
      <c r="H37" s="7">
        <v>63.59</v>
      </c>
      <c r="I37" s="7">
        <v>73.180000000000007</v>
      </c>
      <c r="J37" s="7">
        <v>84.94</v>
      </c>
      <c r="K37" s="7">
        <v>81.290000000000006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100</v>
      </c>
      <c r="H38" s="7">
        <v>84</v>
      </c>
      <c r="I38" s="7">
        <v>100</v>
      </c>
      <c r="J38" s="7">
        <v>100</v>
      </c>
      <c r="K38" s="7">
        <v>100</v>
      </c>
    </row>
    <row r="39" spans="1:11" x14ac:dyDescent="0.3">
      <c r="A39" t="s">
        <v>143</v>
      </c>
      <c r="B39" t="s">
        <v>144</v>
      </c>
      <c r="D39" s="7">
        <v>64.276899999999998</v>
      </c>
      <c r="E39" s="7">
        <v>62.937480000000001</v>
      </c>
      <c r="F39" s="7">
        <v>55.516039999999997</v>
      </c>
      <c r="G39" s="7">
        <v>54.81</v>
      </c>
      <c r="H39" s="7">
        <v>50.72</v>
      </c>
      <c r="I39" s="7">
        <v>53.36</v>
      </c>
      <c r="J39" s="7">
        <v>50.68</v>
      </c>
      <c r="K39" s="7">
        <v>46.01</v>
      </c>
    </row>
    <row r="40" spans="1:11" x14ac:dyDescent="0.3">
      <c r="A40" t="s">
        <v>145</v>
      </c>
      <c r="B40" t="s">
        <v>146</v>
      </c>
      <c r="D40" s="7">
        <v>50.844070000000002</v>
      </c>
      <c r="E40" s="7">
        <v>39.384770000000003</v>
      </c>
      <c r="F40" s="7">
        <v>31.691109999999998</v>
      </c>
      <c r="G40" s="7">
        <v>32.26</v>
      </c>
      <c r="H40" s="7">
        <v>29.02</v>
      </c>
      <c r="I40" s="7">
        <v>32.450000000000003</v>
      </c>
      <c r="J40" s="7">
        <v>61.01</v>
      </c>
      <c r="K40" s="7">
        <v>50.77</v>
      </c>
    </row>
    <row r="41" spans="1:11" x14ac:dyDescent="0.3">
      <c r="A41" t="s">
        <v>147</v>
      </c>
      <c r="B41" t="s">
        <v>148</v>
      </c>
      <c r="D41" s="7">
        <v>64.594449999999995</v>
      </c>
      <c r="E41" s="7">
        <v>54.117109999999997</v>
      </c>
      <c r="F41" s="7">
        <v>26.10473</v>
      </c>
      <c r="G41" s="7">
        <v>27.21</v>
      </c>
      <c r="H41" s="7">
        <v>41.33</v>
      </c>
      <c r="I41" s="7">
        <v>31.43</v>
      </c>
      <c r="J41" s="7">
        <v>27.89</v>
      </c>
      <c r="K41" s="7">
        <v>25.91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70.108260000000001</v>
      </c>
      <c r="E43" s="7">
        <v>75.999949999999998</v>
      </c>
      <c r="F43" s="7">
        <v>74.757940000000005</v>
      </c>
      <c r="G43" s="7">
        <v>74.680000000000007</v>
      </c>
      <c r="H43" s="7">
        <v>70.959999999999994</v>
      </c>
      <c r="I43" s="7">
        <v>77.11</v>
      </c>
      <c r="J43" s="7">
        <v>71.98</v>
      </c>
      <c r="K43" s="7">
        <v>70.959999999999994</v>
      </c>
    </row>
    <row r="44" spans="1:11" x14ac:dyDescent="0.3">
      <c r="A44" t="s">
        <v>152</v>
      </c>
      <c r="B44" t="s">
        <v>153</v>
      </c>
      <c r="D44" s="7">
        <v>93.140240000000006</v>
      </c>
      <c r="E44" s="7">
        <v>93.882279999999994</v>
      </c>
      <c r="F44" s="7">
        <v>92.594399999999993</v>
      </c>
      <c r="G44" s="7">
        <v>83.69</v>
      </c>
      <c r="H44" s="7">
        <v>82.15</v>
      </c>
      <c r="I44" s="7">
        <v>84.37</v>
      </c>
      <c r="J44" s="7">
        <v>84.64</v>
      </c>
      <c r="K44" s="7">
        <v>83.91</v>
      </c>
    </row>
    <row r="45" spans="1:11" x14ac:dyDescent="0.3">
      <c r="A45" t="s">
        <v>154</v>
      </c>
      <c r="B45" t="s">
        <v>155</v>
      </c>
      <c r="D45" s="7">
        <v>79.573660000000004</v>
      </c>
      <c r="E45" s="7">
        <v>84.469499999999996</v>
      </c>
      <c r="F45" s="7">
        <v>72.870339999999999</v>
      </c>
      <c r="G45" s="7">
        <v>85.43</v>
      </c>
      <c r="H45" s="7">
        <v>74.849999999999994</v>
      </c>
      <c r="I45" s="7">
        <v>59.25</v>
      </c>
      <c r="J45" s="7">
        <v>70.22</v>
      </c>
      <c r="K45" s="7">
        <v>76.69</v>
      </c>
    </row>
    <row r="46" spans="1:11" x14ac:dyDescent="0.3">
      <c r="A46" t="s">
        <v>156</v>
      </c>
      <c r="B46" t="s">
        <v>157</v>
      </c>
      <c r="D46" s="7">
        <v>60.076340000000002</v>
      </c>
      <c r="E46" s="7">
        <v>57.609470000000002</v>
      </c>
      <c r="F46" s="7">
        <v>82.76155</v>
      </c>
      <c r="G46" s="7">
        <v>54.18</v>
      </c>
      <c r="H46" s="7">
        <v>36.94</v>
      </c>
      <c r="I46" s="7">
        <v>60.48</v>
      </c>
      <c r="J46" s="7">
        <v>93.38</v>
      </c>
      <c r="K46" s="7">
        <v>57.89</v>
      </c>
    </row>
    <row r="47" spans="1:11" x14ac:dyDescent="0.3">
      <c r="A47" t="s">
        <v>158</v>
      </c>
      <c r="B47" t="s">
        <v>159</v>
      </c>
      <c r="D47" s="7">
        <v>0.88</v>
      </c>
      <c r="E47" s="7">
        <v>-0.95</v>
      </c>
      <c r="F47" s="7">
        <v>-1.05</v>
      </c>
      <c r="G47" s="7">
        <v>-2.76</v>
      </c>
      <c r="H47" s="7">
        <v>6.71</v>
      </c>
      <c r="I47" s="7">
        <v>-9.35</v>
      </c>
      <c r="J47" s="7">
        <v>-12.62</v>
      </c>
      <c r="K47" s="7">
        <v>-15.68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0.14307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0.12</v>
      </c>
      <c r="K49" s="7">
        <v>0.11</v>
      </c>
    </row>
    <row r="50" spans="1:11" x14ac:dyDescent="0.3">
      <c r="A50" t="s">
        <v>163</v>
      </c>
      <c r="B50" t="s">
        <v>164</v>
      </c>
      <c r="D50" s="7">
        <v>9.7256400000000003</v>
      </c>
      <c r="E50" s="7">
        <v>8.8210999999999995</v>
      </c>
      <c r="F50" s="7">
        <v>8.9949499999999993</v>
      </c>
      <c r="G50" s="7">
        <v>8.7100000000000009</v>
      </c>
      <c r="H50" s="7">
        <v>8.2200000000000006</v>
      </c>
      <c r="I50" s="7">
        <v>9.43</v>
      </c>
      <c r="J50" s="7">
        <v>9.68</v>
      </c>
      <c r="K50" s="7">
        <v>10.51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5.8440799999999999</v>
      </c>
      <c r="E51" s="7">
        <v>5.2844499999999996</v>
      </c>
      <c r="F51" s="7">
        <v>5.2698499999999999</v>
      </c>
      <c r="G51" s="7">
        <v>4.97</v>
      </c>
      <c r="H51" s="7">
        <v>4.4400000000000004</v>
      </c>
      <c r="I51" s="7">
        <v>4.71</v>
      </c>
      <c r="J51" s="7">
        <v>4.7699999999999996</v>
      </c>
      <c r="K51" s="7">
        <v>6.09</v>
      </c>
    </row>
    <row r="52" spans="1:11" x14ac:dyDescent="0.3">
      <c r="A52" t="s">
        <v>167</v>
      </c>
      <c r="B52" t="s">
        <v>168</v>
      </c>
      <c r="D52" s="7">
        <v>633.79331000000002</v>
      </c>
      <c r="E52" s="7">
        <v>613.87842000000001</v>
      </c>
      <c r="F52" s="7">
        <v>606.52575000000002</v>
      </c>
      <c r="G52" s="7">
        <v>590.45600000000002</v>
      </c>
      <c r="H52" s="7">
        <v>570.59900000000005</v>
      </c>
      <c r="I52" s="7">
        <v>576.33399999999995</v>
      </c>
      <c r="J52" s="7">
        <v>548.09</v>
      </c>
      <c r="K52" s="7">
        <v>536.89</v>
      </c>
    </row>
    <row r="53" spans="1:11" x14ac:dyDescent="0.3">
      <c r="A53" t="s">
        <v>169</v>
      </c>
      <c r="D53" s="7"/>
      <c r="E53" s="7"/>
      <c r="F53" s="7"/>
      <c r="G53" s="7">
        <v>11.322476276030461</v>
      </c>
      <c r="H53" s="7">
        <v>9.8234953636715794</v>
      </c>
      <c r="I53" s="7">
        <v>9.9735059623359046</v>
      </c>
      <c r="J53" s="7">
        <v>13.726438149038428</v>
      </c>
      <c r="K53" s="7">
        <v>9.344963942470077</v>
      </c>
    </row>
    <row r="54" spans="1:11" x14ac:dyDescent="0.3">
      <c r="A54" t="s">
        <v>170</v>
      </c>
      <c r="B54" t="s">
        <v>171</v>
      </c>
      <c r="D54" s="7">
        <v>0</v>
      </c>
      <c r="E54" s="7">
        <v>2.850276122920423E-14</v>
      </c>
      <c r="F54" s="7">
        <v>12.232379999999999</v>
      </c>
      <c r="G54" s="7">
        <v>10.152578417229781</v>
      </c>
      <c r="H54" s="7">
        <v>8.3302809006026539</v>
      </c>
      <c r="I54" s="7">
        <v>9.6314478613899244</v>
      </c>
      <c r="J54" s="7">
        <v>13.200958430807933</v>
      </c>
      <c r="K54" s="7">
        <v>8.9592492074393437</v>
      </c>
    </row>
    <row r="55" spans="1:11" x14ac:dyDescent="0.3">
      <c r="A55" t="s">
        <v>172</v>
      </c>
      <c r="B55" t="s">
        <v>173</v>
      </c>
      <c r="D55" s="7">
        <v>7.4492850872321101</v>
      </c>
      <c r="E55" s="7">
        <v>7.5885987478873886</v>
      </c>
      <c r="F55" s="7">
        <v>2.89615</v>
      </c>
      <c r="G55" s="7">
        <v>1.1698978588006796</v>
      </c>
      <c r="H55" s="7">
        <v>1.4932144630689255</v>
      </c>
      <c r="I55" s="7">
        <v>0.34205810094597949</v>
      </c>
      <c r="J55" s="7">
        <v>0.52547971823049477</v>
      </c>
      <c r="K55" s="7">
        <v>0.38571473503073361</v>
      </c>
    </row>
    <row r="56" spans="1:11" x14ac:dyDescent="0.3">
      <c r="A56" t="s">
        <v>174</v>
      </c>
      <c r="B56" t="s">
        <v>175</v>
      </c>
      <c r="D56" s="7">
        <v>47.46891338285316</v>
      </c>
      <c r="E56" s="7">
        <v>66.947175750678412</v>
      </c>
      <c r="F56" s="7">
        <v>69.332679999999996</v>
      </c>
      <c r="G56" s="7">
        <v>74.063198232528549</v>
      </c>
      <c r="H56" s="7">
        <v>71.385814151828967</v>
      </c>
      <c r="I56" s="7">
        <v>73.352396666811586</v>
      </c>
      <c r="J56" s="7">
        <v>67.823673349727358</v>
      </c>
      <c r="K56" s="7">
        <v>72.084287435353062</v>
      </c>
    </row>
    <row r="57" spans="1:11" x14ac:dyDescent="0.3">
      <c r="A57" t="s">
        <v>176</v>
      </c>
      <c r="B57" t="s">
        <v>177</v>
      </c>
      <c r="D57" s="7">
        <v>45.081801529914728</v>
      </c>
      <c r="E57" s="7">
        <v>25.464225501434168</v>
      </c>
      <c r="F57" s="7">
        <v>15.5388</v>
      </c>
      <c r="G57" s="7">
        <v>14.614325491440983</v>
      </c>
      <c r="H57" s="7">
        <v>18.790690484499457</v>
      </c>
      <c r="I57" s="7">
        <v>16.674097370852508</v>
      </c>
      <c r="J57" s="7">
        <v>18.44988850123422</v>
      </c>
      <c r="K57" s="7">
        <v>18.570748622176865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0</v>
      </c>
      <c r="E59" s="7">
        <v>0</v>
      </c>
      <c r="F59" s="7">
        <v>0</v>
      </c>
      <c r="G59" s="7" t="s">
        <v>361</v>
      </c>
      <c r="H59" s="7" t="s">
        <v>361</v>
      </c>
      <c r="I59" s="7" t="s">
        <v>361</v>
      </c>
      <c r="J59" s="7" t="s">
        <v>361</v>
      </c>
      <c r="K59" s="7" t="s">
        <v>361</v>
      </c>
    </row>
    <row r="60" spans="1:11" x14ac:dyDescent="0.3">
      <c r="A60" t="s">
        <v>181</v>
      </c>
      <c r="B60" t="s">
        <v>182</v>
      </c>
      <c r="D60" s="7">
        <v>0</v>
      </c>
      <c r="E60" s="7">
        <v>0</v>
      </c>
      <c r="F60" s="7">
        <v>0</v>
      </c>
      <c r="G60" s="7" t="s">
        <v>361</v>
      </c>
      <c r="H60" s="7" t="s">
        <v>361</v>
      </c>
      <c r="I60" s="7" t="s">
        <v>361</v>
      </c>
      <c r="J60" s="7" t="s">
        <v>361</v>
      </c>
      <c r="K60" s="7" t="s">
        <v>361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0.65966999999999998</v>
      </c>
      <c r="E64" s="7">
        <v>1.72333</v>
      </c>
      <c r="F64" s="7">
        <v>1.1644300000000001</v>
      </c>
      <c r="G64" s="7">
        <v>0.21</v>
      </c>
      <c r="H64" s="7">
        <v>0.55000000000000004</v>
      </c>
      <c r="I64" s="7">
        <v>0.09</v>
      </c>
      <c r="J64" s="7">
        <v>0.01</v>
      </c>
      <c r="K64" s="7">
        <v>0.68</v>
      </c>
    </row>
    <row r="65" spans="1:11" x14ac:dyDescent="0.3">
      <c r="A65" s="8" t="s">
        <v>190</v>
      </c>
      <c r="B65" s="8" t="s">
        <v>191</v>
      </c>
      <c r="C65" s="9"/>
      <c r="D65" s="7">
        <v>0.66930000000000001</v>
      </c>
      <c r="E65" s="7">
        <v>8.838E-2</v>
      </c>
      <c r="F65" s="7">
        <v>4.5499999999999999E-2</v>
      </c>
      <c r="G65" s="7">
        <v>0.66</v>
      </c>
      <c r="H65" s="7">
        <v>0</v>
      </c>
      <c r="I65" s="7">
        <v>0</v>
      </c>
      <c r="J65" s="7">
        <v>0</v>
      </c>
      <c r="K65" s="7">
        <v>2.74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1.8201400000000001</v>
      </c>
      <c r="F66" s="7">
        <v>1.2375700000000001</v>
      </c>
      <c r="G66" s="7">
        <v>0.88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35.830289999999998</v>
      </c>
      <c r="E68" s="7">
        <v>29.07075</v>
      </c>
      <c r="F68" s="34">
        <v>34.883339999999997</v>
      </c>
      <c r="G68" s="34">
        <v>39.32</v>
      </c>
      <c r="H68" s="34">
        <v>36.86</v>
      </c>
      <c r="I68" s="34">
        <v>27.58</v>
      </c>
      <c r="J68" s="34">
        <v>31.03</v>
      </c>
      <c r="K68" s="34">
        <v>36.159999999999997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9.7762200000000004</v>
      </c>
      <c r="E70" s="34">
        <v>10.230829999999999</v>
      </c>
      <c r="F70" s="7">
        <v>10.16419</v>
      </c>
      <c r="G70" s="7">
        <v>9.7899999999999991</v>
      </c>
      <c r="H70" s="7">
        <v>8.3699999999999992</v>
      </c>
      <c r="I70" s="7">
        <v>8.36</v>
      </c>
      <c r="J70" s="7">
        <v>8.6300000000000008</v>
      </c>
      <c r="K70" s="7">
        <v>9.08</v>
      </c>
    </row>
    <row r="71" spans="1:11" x14ac:dyDescent="0.3">
      <c r="A71" t="s">
        <v>200</v>
      </c>
      <c r="B71" t="s">
        <v>201</v>
      </c>
      <c r="D71" s="7">
        <v>11.164669999999999</v>
      </c>
      <c r="E71" s="34">
        <v>11.16597</v>
      </c>
      <c r="F71" s="7">
        <v>11.25314</v>
      </c>
      <c r="G71" s="7">
        <v>11.08</v>
      </c>
      <c r="H71" s="7">
        <v>10.210000000000001</v>
      </c>
      <c r="I71" s="7">
        <v>9.75</v>
      </c>
      <c r="J71" s="7">
        <v>9.61</v>
      </c>
      <c r="K71" s="7">
        <v>9.91</v>
      </c>
    </row>
    <row r="72" spans="1:11" x14ac:dyDescent="0.3">
      <c r="A72" t="s">
        <v>306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83.898499999999999</v>
      </c>
      <c r="E73" s="7">
        <v>78.156580000000005</v>
      </c>
      <c r="F73" s="7">
        <v>84.598179999999999</v>
      </c>
      <c r="G73" s="7">
        <v>80.747</v>
      </c>
      <c r="H73" s="7">
        <v>76.802999999999997</v>
      </c>
      <c r="I73" s="7">
        <v>74.027996743135731</v>
      </c>
      <c r="J73" s="7">
        <v>75.580572282888369</v>
      </c>
      <c r="K73" s="7">
        <v>73.281574624499555</v>
      </c>
    </row>
    <row r="74" spans="1:11" x14ac:dyDescent="0.3">
      <c r="B74" t="s">
        <v>203</v>
      </c>
      <c r="D74" s="7">
        <v>86.219269999999995</v>
      </c>
      <c r="E74" s="7">
        <v>79.497050000000002</v>
      </c>
      <c r="F74" s="7">
        <v>84.32629</v>
      </c>
      <c r="G74" s="7">
        <v>84.236000000000004</v>
      </c>
      <c r="H74" s="7">
        <v>83.334999999999994</v>
      </c>
      <c r="I74" s="7">
        <v>79.47147938937033</v>
      </c>
      <c r="J74" s="7">
        <v>82.54292915161146</v>
      </c>
      <c r="K74" s="7">
        <v>85.043004367583364</v>
      </c>
    </row>
    <row r="75" spans="1:11" x14ac:dyDescent="0.3">
      <c r="B75" t="s">
        <v>204</v>
      </c>
      <c r="D75" s="7">
        <v>70.679000000000002</v>
      </c>
      <c r="E75" s="7">
        <v>70.98057</v>
      </c>
      <c r="F75" s="7">
        <v>85.653890000000004</v>
      </c>
      <c r="G75" s="7">
        <v>64.763000000000005</v>
      </c>
      <c r="H75" s="7">
        <v>50.136000000000003</v>
      </c>
      <c r="I75" s="7">
        <v>52.076866225066766</v>
      </c>
      <c r="J75" s="7">
        <v>53.680102746225664</v>
      </c>
      <c r="K75" s="7">
        <v>45.581833562746951</v>
      </c>
    </row>
    <row r="76" spans="1:11" x14ac:dyDescent="0.3">
      <c r="A76" s="8" t="s">
        <v>37</v>
      </c>
      <c r="B76" s="8"/>
      <c r="C76" s="9">
        <v>47</v>
      </c>
      <c r="D76" s="7">
        <v>72.297913746469121</v>
      </c>
      <c r="E76" s="7">
        <v>69.224688766426794</v>
      </c>
      <c r="F76" s="7">
        <v>69.021143602906164</v>
      </c>
      <c r="G76" s="7">
        <v>68.193792612944904</v>
      </c>
      <c r="H76" s="7">
        <v>66.503989360510843</v>
      </c>
      <c r="I76" s="7">
        <v>67.00679738930036</v>
      </c>
      <c r="J76" s="7">
        <v>67.352189641249694</v>
      </c>
      <c r="K76" s="7">
        <v>67.743326603159531</v>
      </c>
    </row>
    <row r="77" spans="1:11" x14ac:dyDescent="0.3">
      <c r="A77" s="35" t="s">
        <v>341</v>
      </c>
      <c r="B77" s="35"/>
      <c r="C77" s="68"/>
      <c r="D77" s="7">
        <v>71.108875191737425</v>
      </c>
      <c r="E77" s="7">
        <v>67.470974024028521</v>
      </c>
      <c r="F77" s="7">
        <v>67.462859418967128</v>
      </c>
      <c r="G77" s="7">
        <v>66.556137945500865</v>
      </c>
      <c r="H77" s="7">
        <v>65.054052989467337</v>
      </c>
      <c r="I77" s="7">
        <v>65.486208555946405</v>
      </c>
      <c r="J77" s="7">
        <v>65.802447806752326</v>
      </c>
      <c r="K77" s="7">
        <v>66.213951995418313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11.565146620131186</v>
      </c>
      <c r="E79" s="7">
        <v>10.847157962956501</v>
      </c>
      <c r="F79" s="7">
        <v>8.9754000000000005</v>
      </c>
      <c r="G79" s="7">
        <v>10.202192028595421</v>
      </c>
      <c r="H79" s="7">
        <v>9.8267814319972597</v>
      </c>
      <c r="I79" s="7">
        <v>9.5392664566760974</v>
      </c>
      <c r="J79" s="7">
        <v>10.854035611472437</v>
      </c>
      <c r="K79" s="7">
        <v>11.853035143769969</v>
      </c>
    </row>
    <row r="80" spans="1:11" x14ac:dyDescent="0.3">
      <c r="A80">
        <v>9</v>
      </c>
      <c r="B80" t="s">
        <v>302</v>
      </c>
      <c r="D80" s="7">
        <v>15.60137453345204</v>
      </c>
      <c r="E80" s="7">
        <v>15.80581873306798</v>
      </c>
      <c r="F80" s="7">
        <v>14.306520000000001</v>
      </c>
      <c r="G80" s="7">
        <v>14.346159643418529</v>
      </c>
      <c r="H80" s="7">
        <v>14.86810551558753</v>
      </c>
      <c r="I80" s="7">
        <v>14.924990657199293</v>
      </c>
      <c r="J80" s="7">
        <v>14.07399509542595</v>
      </c>
      <c r="K80" s="7">
        <v>3.855165069222577</v>
      </c>
    </row>
    <row r="81" spans="1:11" x14ac:dyDescent="0.3">
      <c r="A81">
        <v>10</v>
      </c>
      <c r="B81" t="s">
        <v>206</v>
      </c>
      <c r="D81" s="7">
        <v>11.380981960324986</v>
      </c>
      <c r="E81" s="7">
        <v>13.189416278094711</v>
      </c>
      <c r="F81" s="7">
        <v>10.639670000000001</v>
      </c>
      <c r="G81" s="7">
        <v>13.311513533300317</v>
      </c>
      <c r="H81" s="7">
        <v>9.633007879410755</v>
      </c>
      <c r="I81" s="7">
        <v>10.875020020287225</v>
      </c>
      <c r="J81" s="7">
        <v>13.892739097984858</v>
      </c>
      <c r="K81" s="7">
        <v>11.682641107561235</v>
      </c>
    </row>
    <row r="82" spans="1:11" x14ac:dyDescent="0.3">
      <c r="A82">
        <v>12</v>
      </c>
      <c r="B82" t="s">
        <v>207</v>
      </c>
      <c r="D82" s="7">
        <v>21.541225776377789</v>
      </c>
      <c r="E82" s="7">
        <v>21.101525546209146</v>
      </c>
      <c r="F82" s="7">
        <v>20.287790000000001</v>
      </c>
      <c r="G82" s="7">
        <v>21.541310479963823</v>
      </c>
      <c r="H82" s="7">
        <v>24.01293251113395</v>
      </c>
      <c r="I82" s="7">
        <v>23.002509209332121</v>
      </c>
      <c r="J82" s="7">
        <v>21.281586523083483</v>
      </c>
      <c r="K82" s="7">
        <v>26.0702875399361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85.620019999999997</v>
      </c>
      <c r="E84" s="7">
        <v>83.367365467645428</v>
      </c>
      <c r="F84" s="7">
        <v>84.160929999999993</v>
      </c>
      <c r="G84" s="7">
        <v>82.656245892808855</v>
      </c>
      <c r="H84" s="7">
        <v>77.406861098817785</v>
      </c>
      <c r="I84" s="7">
        <v>81.772000000000006</v>
      </c>
      <c r="J84" s="7">
        <v>82.78030422728385</v>
      </c>
      <c r="K84" s="7">
        <v>78.437776931872889</v>
      </c>
    </row>
    <row r="85" spans="1:11" x14ac:dyDescent="0.3">
      <c r="A85">
        <v>9</v>
      </c>
      <c r="B85" t="s">
        <v>302</v>
      </c>
      <c r="D85" s="7">
        <v>82.533730000000006</v>
      </c>
      <c r="E85" s="7">
        <v>77.429221714852218</v>
      </c>
      <c r="F85" s="7">
        <v>86.256609999999995</v>
      </c>
      <c r="G85" s="7">
        <v>79.801593381563137</v>
      </c>
      <c r="H85" s="7">
        <v>83.044834026834764</v>
      </c>
      <c r="I85" s="7">
        <v>84.816999999999993</v>
      </c>
      <c r="J85" s="7">
        <v>84.66940612312824</v>
      </c>
      <c r="K85" s="7">
        <v>79.972117290709718</v>
      </c>
    </row>
    <row r="86" spans="1:11" x14ac:dyDescent="0.3">
      <c r="A86">
        <v>10</v>
      </c>
      <c r="B86" t="s">
        <v>206</v>
      </c>
      <c r="D86" s="7">
        <v>91.105879999999999</v>
      </c>
      <c r="E86" s="7">
        <v>90.819329888212664</v>
      </c>
      <c r="F86" s="7">
        <v>75.935509999999994</v>
      </c>
      <c r="G86" s="7">
        <v>86.406653149903761</v>
      </c>
      <c r="H86" s="7">
        <v>77.731873363182018</v>
      </c>
      <c r="I86" s="7">
        <v>82.53</v>
      </c>
      <c r="J86" s="7">
        <v>46.627968429162266</v>
      </c>
      <c r="K86" s="7">
        <v>84.44801278986283</v>
      </c>
    </row>
    <row r="87" spans="1:11" x14ac:dyDescent="0.3">
      <c r="A87">
        <v>12</v>
      </c>
      <c r="B87" t="s">
        <v>207</v>
      </c>
      <c r="D87" s="7">
        <v>77.145579999999995</v>
      </c>
      <c r="E87" s="7">
        <v>80.844740223578142</v>
      </c>
      <c r="F87" s="7">
        <v>78.373689999999996</v>
      </c>
      <c r="G87" s="7">
        <v>81.522342497948699</v>
      </c>
      <c r="H87" s="7">
        <v>73.322023726507624</v>
      </c>
      <c r="I87" s="7">
        <v>73.015000000000001</v>
      </c>
      <c r="J87" s="7">
        <v>77.717695989516216</v>
      </c>
      <c r="K87" s="7">
        <v>79.028838275761615</v>
      </c>
    </row>
    <row r="88" spans="1:11" x14ac:dyDescent="0.3">
      <c r="B88" s="73" t="s">
        <v>307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44" t="s">
        <v>304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44" t="s">
        <v>305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44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44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44" t="s">
        <v>303</v>
      </c>
    </row>
    <row r="179" spans="2:11" x14ac:dyDescent="0.3">
      <c r="E179" s="35"/>
    </row>
    <row r="199" spans="2:2" x14ac:dyDescent="0.3">
      <c r="B199" s="44" t="s">
        <v>268</v>
      </c>
    </row>
    <row r="218" spans="2:2" x14ac:dyDescent="0.3">
      <c r="B218" s="44" t="s">
        <v>208</v>
      </c>
    </row>
  </sheetData>
  <mergeCells count="1">
    <mergeCell ref="A1:B1"/>
  </mergeCells>
  <conditionalFormatting sqref="D3">
    <cfRule type="cellIs" dxfId="82" priority="56" operator="greaterThan">
      <formula>$C3</formula>
    </cfRule>
  </conditionalFormatting>
  <conditionalFormatting sqref="D12">
    <cfRule type="cellIs" dxfId="81" priority="54" operator="lessThan">
      <formula>$C12</formula>
    </cfRule>
  </conditionalFormatting>
  <conditionalFormatting sqref="D15:G15 K15">
    <cfRule type="cellIs" dxfId="80" priority="52" operator="greaterThan">
      <formula>$C$15</formula>
    </cfRule>
  </conditionalFormatting>
  <conditionalFormatting sqref="E3:G3 K3">
    <cfRule type="cellIs" dxfId="79" priority="48" operator="greaterThan">
      <formula>$C3</formula>
    </cfRule>
  </conditionalFormatting>
  <conditionalFormatting sqref="D51:G51 K51">
    <cfRule type="cellIs" dxfId="78" priority="47" operator="greaterThan">
      <formula>$C51</formula>
    </cfRule>
  </conditionalFormatting>
  <conditionalFormatting sqref="D62:G62 K62">
    <cfRule type="cellIs" dxfId="77" priority="46" operator="greaterThan">
      <formula>$C62</formula>
    </cfRule>
  </conditionalFormatting>
  <conditionalFormatting sqref="D64:G64 K64">
    <cfRule type="cellIs" dxfId="76" priority="45" operator="greaterThan">
      <formula>$C64</formula>
    </cfRule>
  </conditionalFormatting>
  <conditionalFormatting sqref="E12:G12 K12">
    <cfRule type="cellIs" dxfId="75" priority="44" operator="lessThan">
      <formula>$C12</formula>
    </cfRule>
  </conditionalFormatting>
  <conditionalFormatting sqref="D76:E77">
    <cfRule type="cellIs" dxfId="74" priority="43" operator="lessThan">
      <formula>$C76</formula>
    </cfRule>
  </conditionalFormatting>
  <conditionalFormatting sqref="E76:G77 K76:K77">
    <cfRule type="cellIs" dxfId="73" priority="42" operator="lessThan">
      <formula>$C76</formula>
    </cfRule>
  </conditionalFormatting>
  <conditionalFormatting sqref="D65">
    <cfRule type="expression" dxfId="72" priority="41">
      <formula>$D65+$D66&gt;$C66</formula>
    </cfRule>
  </conditionalFormatting>
  <conditionalFormatting sqref="D66">
    <cfRule type="expression" dxfId="71" priority="40">
      <formula>$D65+$D66&gt;$C66</formula>
    </cfRule>
  </conditionalFormatting>
  <conditionalFormatting sqref="E65:G65 K65">
    <cfRule type="expression" dxfId="70" priority="39">
      <formula>$D65+$D66&gt;$C66</formula>
    </cfRule>
  </conditionalFormatting>
  <conditionalFormatting sqref="E66:G66 K66">
    <cfRule type="expression" dxfId="69" priority="38">
      <formula>$D65+$D66&gt;$C66</formula>
    </cfRule>
  </conditionalFormatting>
  <conditionalFormatting sqref="D65">
    <cfRule type="expression" dxfId="68" priority="37">
      <formula>D$65+D$66&gt;=$C$66</formula>
    </cfRule>
  </conditionalFormatting>
  <conditionalFormatting sqref="E65:G65 K65">
    <cfRule type="expression" dxfId="67" priority="36">
      <formula>E$65+E$66&gt;=$C$66</formula>
    </cfRule>
  </conditionalFormatting>
  <conditionalFormatting sqref="D66">
    <cfRule type="expression" dxfId="66" priority="35">
      <formula>D$65+D$66&gt;=$C$66</formula>
    </cfRule>
  </conditionalFormatting>
  <conditionalFormatting sqref="E66:G66 K66">
    <cfRule type="expression" dxfId="65" priority="34">
      <formula>E$65+E$66&gt;=$C$66</formula>
    </cfRule>
  </conditionalFormatting>
  <conditionalFormatting sqref="H15">
    <cfRule type="cellIs" dxfId="64" priority="33" operator="greaterThan">
      <formula>$C$15</formula>
    </cfRule>
  </conditionalFormatting>
  <conditionalFormatting sqref="H3">
    <cfRule type="cellIs" dxfId="63" priority="32" operator="greaterThan">
      <formula>$C3</formula>
    </cfRule>
  </conditionalFormatting>
  <conditionalFormatting sqref="H51">
    <cfRule type="cellIs" dxfId="62" priority="31" operator="greaterThan">
      <formula>$C51</formula>
    </cfRule>
  </conditionalFormatting>
  <conditionalFormatting sqref="H62">
    <cfRule type="cellIs" dxfId="61" priority="30" operator="greaterThan">
      <formula>$C62</formula>
    </cfRule>
  </conditionalFormatting>
  <conditionalFormatting sqref="H64">
    <cfRule type="cellIs" dxfId="60" priority="29" operator="greaterThan">
      <formula>$C64</formula>
    </cfRule>
  </conditionalFormatting>
  <conditionalFormatting sqref="H12">
    <cfRule type="cellIs" dxfId="59" priority="28" operator="lessThan">
      <formula>$C12</formula>
    </cfRule>
  </conditionalFormatting>
  <conditionalFormatting sqref="H76:H77">
    <cfRule type="cellIs" dxfId="58" priority="27" operator="lessThan">
      <formula>$C76</formula>
    </cfRule>
  </conditionalFormatting>
  <conditionalFormatting sqref="H65">
    <cfRule type="expression" dxfId="57" priority="26">
      <formula>$D65+$D66&gt;$C66</formula>
    </cfRule>
  </conditionalFormatting>
  <conditionalFormatting sqref="H66">
    <cfRule type="expression" dxfId="56" priority="25">
      <formula>$D65+$D66&gt;$C66</formula>
    </cfRule>
  </conditionalFormatting>
  <conditionalFormatting sqref="H65">
    <cfRule type="expression" dxfId="55" priority="24">
      <formula>H$65+H$66&gt;=$C$66</formula>
    </cfRule>
  </conditionalFormatting>
  <conditionalFormatting sqref="H66">
    <cfRule type="expression" dxfId="54" priority="23">
      <formula>H$65+H$66&gt;=$C$66</formula>
    </cfRule>
  </conditionalFormatting>
  <conditionalFormatting sqref="I15">
    <cfRule type="cellIs" dxfId="53" priority="22" operator="greaterThan">
      <formula>$C$15</formula>
    </cfRule>
  </conditionalFormatting>
  <conditionalFormatting sqref="I3">
    <cfRule type="cellIs" dxfId="52" priority="21" operator="greaterThan">
      <formula>$C3</formula>
    </cfRule>
  </conditionalFormatting>
  <conditionalFormatting sqref="I51">
    <cfRule type="cellIs" dxfId="51" priority="20" operator="greaterThan">
      <formula>$C51</formula>
    </cfRule>
  </conditionalFormatting>
  <conditionalFormatting sqref="I62">
    <cfRule type="cellIs" dxfId="50" priority="19" operator="greaterThan">
      <formula>$C62</formula>
    </cfRule>
  </conditionalFormatting>
  <conditionalFormatting sqref="I64">
    <cfRule type="cellIs" dxfId="49" priority="18" operator="greaterThan">
      <formula>$C64</formula>
    </cfRule>
  </conditionalFormatting>
  <conditionalFormatting sqref="I12">
    <cfRule type="cellIs" dxfId="48" priority="17" operator="lessThan">
      <formula>$C12</formula>
    </cfRule>
  </conditionalFormatting>
  <conditionalFormatting sqref="I76:I77">
    <cfRule type="cellIs" dxfId="47" priority="16" operator="lessThan">
      <formula>$C76</formula>
    </cfRule>
  </conditionalFormatting>
  <conditionalFormatting sqref="I65">
    <cfRule type="expression" dxfId="46" priority="15">
      <formula>$D65+$D66&gt;$C66</formula>
    </cfRule>
  </conditionalFormatting>
  <conditionalFormatting sqref="I66">
    <cfRule type="expression" dxfId="45" priority="14">
      <formula>$D65+$D66&gt;$C66</formula>
    </cfRule>
  </conditionalFormatting>
  <conditionalFormatting sqref="I65">
    <cfRule type="expression" dxfId="44" priority="13">
      <formula>I$65+I$66&gt;=$C$66</formula>
    </cfRule>
  </conditionalFormatting>
  <conditionalFormatting sqref="I66">
    <cfRule type="expression" dxfId="43" priority="12">
      <formula>I$65+I$66&gt;=$C$66</formula>
    </cfRule>
  </conditionalFormatting>
  <conditionalFormatting sqref="J15">
    <cfRule type="cellIs" dxfId="42" priority="11" operator="greaterThan">
      <formula>$C$15</formula>
    </cfRule>
  </conditionalFormatting>
  <conditionalFormatting sqref="J3">
    <cfRule type="cellIs" dxfId="41" priority="10" operator="greaterThan">
      <formula>$C3</formula>
    </cfRule>
  </conditionalFormatting>
  <conditionalFormatting sqref="J51">
    <cfRule type="cellIs" dxfId="40" priority="9" operator="greaterThan">
      <formula>$C51</formula>
    </cfRule>
  </conditionalFormatting>
  <conditionalFormatting sqref="J62">
    <cfRule type="cellIs" dxfId="39" priority="8" operator="greaterThan">
      <formula>$C62</formula>
    </cfRule>
  </conditionalFormatting>
  <conditionalFormatting sqref="J64">
    <cfRule type="cellIs" dxfId="38" priority="7" operator="greaterThan">
      <formula>$C64</formula>
    </cfRule>
  </conditionalFormatting>
  <conditionalFormatting sqref="J12">
    <cfRule type="cellIs" dxfId="37" priority="6" operator="lessThan">
      <formula>$C12</formula>
    </cfRule>
  </conditionalFormatting>
  <conditionalFormatting sqref="J76:J77">
    <cfRule type="cellIs" dxfId="36" priority="5" operator="lessThan">
      <formula>$C76</formula>
    </cfRule>
  </conditionalFormatting>
  <conditionalFormatting sqref="J65">
    <cfRule type="expression" dxfId="35" priority="4">
      <formula>$D65+$D66&gt;$C66</formula>
    </cfRule>
  </conditionalFormatting>
  <conditionalFormatting sqref="J66">
    <cfRule type="expression" dxfId="34" priority="3">
      <formula>$D65+$D66&gt;$C66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2024-12-27T11:55:46Z</dcterms:modified>
</cp:coreProperties>
</file>