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7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W51" i="2"/>
  <c r="X50" i="2"/>
  <c r="W50" i="2"/>
  <c r="X49" i="2"/>
  <c r="W49" i="2"/>
  <c r="W54" i="2" s="1"/>
  <c r="W55" i="2" s="1"/>
  <c r="X48" i="2"/>
  <c r="X54" i="2" s="1"/>
  <c r="X55" i="2" s="1"/>
  <c r="W48" i="2"/>
  <c r="X20" i="2"/>
  <c r="X21" i="2" s="1"/>
  <c r="W20" i="2"/>
  <c r="W21" i="2" s="1"/>
  <c r="X16" i="2"/>
  <c r="W16" i="2"/>
  <c r="X15" i="2"/>
  <c r="W15" i="2"/>
  <c r="X14" i="2"/>
  <c r="W14" i="2"/>
  <c r="J20" i="5"/>
  <c r="I27" i="5"/>
  <c r="I26" i="5"/>
  <c r="I20" i="5"/>
  <c r="I13" i="5"/>
  <c r="I15" i="10"/>
  <c r="I13" i="10"/>
  <c r="I12" i="10"/>
  <c r="I11" i="10"/>
  <c r="I9" i="10"/>
  <c r="I8" i="10"/>
  <c r="I7" i="10"/>
  <c r="I6" i="10"/>
  <c r="I5" i="10"/>
  <c r="I4" i="10"/>
  <c r="I3" i="10"/>
  <c r="I2" i="10"/>
  <c r="I10" i="10" s="1"/>
  <c r="I14" i="10" s="1"/>
  <c r="I16" i="10" s="1"/>
  <c r="I28" i="5" l="1"/>
  <c r="L27" i="6"/>
  <c r="L26" i="6"/>
  <c r="L25" i="6"/>
  <c r="L24" i="6"/>
  <c r="L23" i="6"/>
  <c r="L22" i="6"/>
  <c r="L20" i="6"/>
  <c r="L19" i="6"/>
  <c r="L18" i="6"/>
  <c r="L17" i="6"/>
  <c r="L16" i="6"/>
  <c r="L15" i="6"/>
  <c r="L14" i="6"/>
  <c r="L13" i="6"/>
  <c r="L12" i="6"/>
  <c r="L11" i="6"/>
  <c r="L9" i="6"/>
  <c r="L8" i="6"/>
  <c r="L7" i="6"/>
  <c r="L6" i="6"/>
  <c r="L5" i="6"/>
  <c r="L4" i="6"/>
  <c r="L3" i="6"/>
  <c r="L2" i="6"/>
  <c r="J21" i="6"/>
  <c r="J10" i="6"/>
  <c r="J29" i="6" s="1"/>
  <c r="I23" i="1"/>
  <c r="I19" i="1"/>
  <c r="I13" i="1"/>
  <c r="I7" i="1"/>
  <c r="I21" i="1" s="1"/>
  <c r="I17" i="15"/>
  <c r="I16" i="15"/>
  <c r="I15" i="15"/>
  <c r="J8" i="15" s="1"/>
  <c r="H114" i="14"/>
  <c r="H110" i="14"/>
  <c r="H112" i="14"/>
  <c r="H113" i="14"/>
  <c r="H111" i="14"/>
  <c r="H109" i="14"/>
  <c r="H108" i="14"/>
  <c r="H107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J28" i="6" l="1"/>
  <c r="J17" i="15"/>
  <c r="J2" i="15"/>
  <c r="J5" i="15"/>
  <c r="J9" i="15"/>
  <c r="J10" i="15"/>
  <c r="J3" i="15"/>
  <c r="J11" i="15"/>
  <c r="J4" i="15"/>
  <c r="J12" i="15"/>
  <c r="J7" i="15"/>
  <c r="J15" i="15"/>
  <c r="J13" i="15"/>
  <c r="J6" i="15"/>
  <c r="J14" i="15"/>
  <c r="I18" i="15"/>
  <c r="J16" i="15"/>
  <c r="D24" i="14"/>
  <c r="E24" i="14"/>
  <c r="H6" i="9"/>
  <c r="H5" i="9"/>
  <c r="H4" i="9"/>
  <c r="H3" i="9"/>
  <c r="H2" i="9"/>
  <c r="H29" i="8"/>
  <c r="H28" i="8"/>
  <c r="H26" i="8"/>
  <c r="K26" i="8" s="1"/>
  <c r="H25" i="8"/>
  <c r="K25" i="8" s="1"/>
  <c r="H24" i="8"/>
  <c r="H23" i="8"/>
  <c r="K23" i="8" s="1"/>
  <c r="H22" i="8"/>
  <c r="H19" i="8"/>
  <c r="K19" i="8" s="1"/>
  <c r="H18" i="8"/>
  <c r="K18" i="8" s="1"/>
  <c r="H17" i="8"/>
  <c r="K17" i="8" s="1"/>
  <c r="H16" i="8"/>
  <c r="K16" i="8" s="1"/>
  <c r="H14" i="8"/>
  <c r="H13" i="8"/>
  <c r="K13" i="8" s="1"/>
  <c r="H12" i="8"/>
  <c r="H11" i="8"/>
  <c r="H9" i="8"/>
  <c r="H8" i="8"/>
  <c r="H7" i="8"/>
  <c r="K7" i="8" s="1"/>
  <c r="H6" i="8"/>
  <c r="H5" i="8"/>
  <c r="H4" i="8"/>
  <c r="H3" i="8"/>
  <c r="H2" i="8"/>
  <c r="H19" i="7"/>
  <c r="H18" i="7"/>
  <c r="H17" i="7"/>
  <c r="K17" i="7" s="1"/>
  <c r="H14" i="7"/>
  <c r="K14" i="7" s="1"/>
  <c r="H13" i="7"/>
  <c r="K13" i="7" s="1"/>
  <c r="H12" i="7"/>
  <c r="K12" i="7" s="1"/>
  <c r="H10" i="7"/>
  <c r="H9" i="7"/>
  <c r="H8" i="7"/>
  <c r="K8" i="7" s="1"/>
  <c r="H7" i="7"/>
  <c r="H6" i="7"/>
  <c r="H4" i="7"/>
  <c r="H3" i="7"/>
  <c r="H2" i="7"/>
  <c r="AA59" i="2"/>
  <c r="AA58" i="2"/>
  <c r="AA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27" i="8"/>
  <c r="H5" i="7"/>
  <c r="H10" i="8"/>
  <c r="H30" i="8" s="1"/>
  <c r="H31" i="8" s="1"/>
  <c r="H20" i="8"/>
  <c r="K20" i="8" s="1"/>
  <c r="H15" i="7"/>
  <c r="K15" i="7" s="1"/>
  <c r="H11" i="7"/>
  <c r="H20" i="7" s="1"/>
  <c r="H21" i="7" s="1"/>
  <c r="H21" i="8" l="1"/>
  <c r="H16" i="7"/>
  <c r="T53" i="2" l="1"/>
  <c r="V53" i="2" s="1"/>
  <c r="U52" i="2"/>
  <c r="T52" i="2"/>
  <c r="V52" i="2" s="1"/>
  <c r="T51" i="2"/>
  <c r="V51" i="2" s="1"/>
  <c r="V50" i="2"/>
  <c r="U50" i="2"/>
  <c r="T50" i="2"/>
  <c r="U49" i="2"/>
  <c r="T49" i="2"/>
  <c r="V49" i="2" s="1"/>
  <c r="U48" i="2"/>
  <c r="U61" i="2" s="1"/>
  <c r="T48" i="2"/>
  <c r="T56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T57" i="2" s="1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T54" i="2" l="1"/>
  <c r="T20" i="2"/>
  <c r="U54" i="2"/>
  <c r="U55" i="2" s="1"/>
  <c r="V15" i="2"/>
  <c r="U20" i="2"/>
  <c r="U21" i="2" s="1"/>
  <c r="U59" i="2" s="1"/>
  <c r="V48" i="2"/>
  <c r="T58" i="2"/>
  <c r="U58" i="2"/>
  <c r="U60" i="2"/>
  <c r="E3" i="13"/>
  <c r="E4" i="13"/>
  <c r="G3" i="13"/>
  <c r="G4" i="13"/>
  <c r="T21" i="2" l="1"/>
  <c r="V20" i="2"/>
  <c r="T55" i="2"/>
  <c r="V55" i="2" s="1"/>
  <c r="V54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7" l="1"/>
  <c r="G5" i="7"/>
  <c r="G10" i="8"/>
  <c r="G20" i="8"/>
  <c r="G27" i="8"/>
  <c r="V21" i="2"/>
  <c r="T59" i="2"/>
  <c r="G15" i="8"/>
  <c r="G11" i="7"/>
  <c r="G16" i="7" l="1"/>
  <c r="G30" i="8"/>
  <c r="G20" i="7"/>
  <c r="G21" i="8"/>
  <c r="G31" i="8" l="1"/>
  <c r="G21" i="7"/>
  <c r="R54" i="2"/>
  <c r="R55" i="2" s="1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S15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0" i="5"/>
  <c r="H26" i="5" s="1"/>
  <c r="H13" i="5"/>
  <c r="J15" i="10"/>
  <c r="K15" i="10" s="1"/>
  <c r="J13" i="10"/>
  <c r="K13" i="10" s="1"/>
  <c r="J12" i="10"/>
  <c r="K12" i="10" s="1"/>
  <c r="J11" i="10"/>
  <c r="K11" i="10" s="1"/>
  <c r="J8" i="10"/>
  <c r="K8" i="10" s="1"/>
  <c r="J7" i="10"/>
  <c r="K7" i="10" s="1"/>
  <c r="J6" i="10"/>
  <c r="K6" i="10" s="1"/>
  <c r="J4" i="10"/>
  <c r="K4" i="10" s="1"/>
  <c r="J3" i="10"/>
  <c r="K3" i="10" s="1"/>
  <c r="H15" i="10"/>
  <c r="H13" i="10"/>
  <c r="H12" i="10"/>
  <c r="H11" i="10"/>
  <c r="H8" i="10"/>
  <c r="H7" i="10"/>
  <c r="H6" i="10"/>
  <c r="H5" i="10"/>
  <c r="H4" i="10"/>
  <c r="H3" i="10"/>
  <c r="H2" i="10"/>
  <c r="C9" i="10"/>
  <c r="D9" i="10"/>
  <c r="E9" i="10"/>
  <c r="F9" i="10"/>
  <c r="G9" i="10"/>
  <c r="H9" i="10"/>
  <c r="B9" i="10"/>
  <c r="I29" i="6"/>
  <c r="H29" i="6"/>
  <c r="G29" i="6"/>
  <c r="F29" i="6"/>
  <c r="E29" i="6"/>
  <c r="D29" i="6"/>
  <c r="C29" i="6"/>
  <c r="Q56" i="2" l="1"/>
  <c r="G2" i="9" s="1"/>
  <c r="Q57" i="2"/>
  <c r="Q20" i="2"/>
  <c r="R57" i="2"/>
  <c r="R56" i="2"/>
  <c r="R20" i="2"/>
  <c r="S16" i="2"/>
  <c r="G4" i="9"/>
  <c r="Q54" i="2"/>
  <c r="Q58" i="2"/>
  <c r="G5" i="9" s="1"/>
  <c r="R58" i="2"/>
  <c r="S14" i="2"/>
  <c r="R60" i="2"/>
  <c r="H28" i="5"/>
  <c r="Q21" i="2" l="1"/>
  <c r="G3" i="9"/>
  <c r="S20" i="2"/>
  <c r="R21" i="2"/>
  <c r="Q55" i="2"/>
  <c r="S54" i="2"/>
  <c r="I21" i="6"/>
  <c r="I10" i="6"/>
  <c r="I28" i="6" s="1"/>
  <c r="G17" i="15"/>
  <c r="G16" i="15"/>
  <c r="G15" i="15"/>
  <c r="H15" i="15"/>
  <c r="H16" i="15"/>
  <c r="H17" i="15"/>
  <c r="F17" i="15"/>
  <c r="E17" i="15"/>
  <c r="D17" i="15"/>
  <c r="C17" i="15"/>
  <c r="B17" i="15"/>
  <c r="F16" i="15"/>
  <c r="E16" i="15"/>
  <c r="E18" i="15" s="1"/>
  <c r="D16" i="15"/>
  <c r="C16" i="15"/>
  <c r="B16" i="15"/>
  <c r="F15" i="15"/>
  <c r="E15" i="15"/>
  <c r="D15" i="15"/>
  <c r="C15" i="15"/>
  <c r="B15" i="15"/>
  <c r="H18" i="15" l="1"/>
  <c r="R59" i="2"/>
  <c r="S21" i="2"/>
  <c r="S55" i="2"/>
  <c r="Q59" i="2"/>
  <c r="G6" i="9" s="1"/>
  <c r="B18" i="15"/>
  <c r="C18" i="15"/>
  <c r="D18" i="15"/>
  <c r="F18" i="15"/>
  <c r="G18" i="15"/>
  <c r="G114" i="14" l="1"/>
  <c r="G113" i="14"/>
  <c r="G110" i="14"/>
  <c r="G112" i="14"/>
  <c r="G109" i="14"/>
  <c r="G111" i="14"/>
  <c r="G108" i="14"/>
  <c r="G107" i="14"/>
  <c r="G106" i="14"/>
  <c r="C37" i="14"/>
  <c r="B37" i="14"/>
  <c r="F38" i="14" s="1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D37" i="14" l="1"/>
  <c r="E37" i="14"/>
  <c r="I114" i="14"/>
  <c r="F114" i="14"/>
  <c r="E114" i="14"/>
  <c r="D114" i="14"/>
  <c r="C114" i="14"/>
  <c r="B114" i="14"/>
  <c r="I113" i="14"/>
  <c r="F113" i="14"/>
  <c r="E113" i="14"/>
  <c r="D113" i="14"/>
  <c r="C113" i="14"/>
  <c r="B113" i="14"/>
  <c r="I110" i="14"/>
  <c r="F110" i="14"/>
  <c r="E110" i="14"/>
  <c r="D110" i="14"/>
  <c r="C110" i="14"/>
  <c r="B110" i="14"/>
  <c r="I112" i="14"/>
  <c r="F112" i="14"/>
  <c r="E112" i="14"/>
  <c r="D112" i="14"/>
  <c r="C112" i="14"/>
  <c r="B112" i="14"/>
  <c r="I109" i="14"/>
  <c r="F109" i="14"/>
  <c r="E109" i="14"/>
  <c r="D109" i="14"/>
  <c r="C109" i="14"/>
  <c r="B109" i="14"/>
  <c r="I111" i="14"/>
  <c r="F111" i="14"/>
  <c r="E111" i="14"/>
  <c r="D111" i="14"/>
  <c r="C111" i="14"/>
  <c r="B111" i="14"/>
  <c r="I108" i="14"/>
  <c r="F108" i="14"/>
  <c r="E108" i="14"/>
  <c r="D108" i="14"/>
  <c r="C108" i="14"/>
  <c r="B108" i="14"/>
  <c r="I107" i="14"/>
  <c r="F107" i="14"/>
  <c r="E107" i="14"/>
  <c r="D107" i="14"/>
  <c r="C107" i="14"/>
  <c r="B107" i="14"/>
  <c r="I106" i="14"/>
  <c r="F106" i="14"/>
  <c r="E106" i="14"/>
  <c r="D106" i="14"/>
  <c r="C106" i="14"/>
  <c r="B106" i="14"/>
  <c r="C102" i="14"/>
  <c r="B102" i="14"/>
  <c r="D102" i="14" s="1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C89" i="14"/>
  <c r="B89" i="14"/>
  <c r="F87" i="14" s="1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C76" i="14"/>
  <c r="B76" i="14"/>
  <c r="F74" i="14" s="1"/>
  <c r="E75" i="14"/>
  <c r="D75" i="14"/>
  <c r="E74" i="14"/>
  <c r="D74" i="14"/>
  <c r="E73" i="14"/>
  <c r="D73" i="14"/>
  <c r="E72" i="14"/>
  <c r="D72" i="14"/>
  <c r="F71" i="14"/>
  <c r="E71" i="14"/>
  <c r="D71" i="14"/>
  <c r="E70" i="14"/>
  <c r="D70" i="14"/>
  <c r="F69" i="14"/>
  <c r="E69" i="14"/>
  <c r="D69" i="14"/>
  <c r="E68" i="14"/>
  <c r="D68" i="14"/>
  <c r="E67" i="14"/>
  <c r="D67" i="14"/>
  <c r="C63" i="14"/>
  <c r="B63" i="14"/>
  <c r="F64" i="14" s="1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C50" i="14"/>
  <c r="B50" i="14"/>
  <c r="F46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11" i="14"/>
  <c r="B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E2" i="14"/>
  <c r="D2" i="14"/>
  <c r="F37" i="14" l="1"/>
  <c r="F23" i="14"/>
  <c r="F15" i="14"/>
  <c r="F20" i="14"/>
  <c r="F17" i="14"/>
  <c r="F16" i="14"/>
  <c r="F22" i="14"/>
  <c r="F19" i="14"/>
  <c r="F21" i="14"/>
  <c r="F18" i="14"/>
  <c r="F24" i="14"/>
  <c r="F100" i="14"/>
  <c r="F77" i="14"/>
  <c r="F97" i="14"/>
  <c r="F95" i="14"/>
  <c r="F70" i="14"/>
  <c r="E76" i="14"/>
  <c r="E102" i="14"/>
  <c r="F93" i="14"/>
  <c r="F96" i="14"/>
  <c r="F103" i="14"/>
  <c r="F10" i="14"/>
  <c r="F34" i="14"/>
  <c r="F31" i="14"/>
  <c r="F36" i="14"/>
  <c r="F28" i="14"/>
  <c r="F33" i="14"/>
  <c r="F30" i="14"/>
  <c r="F32" i="14"/>
  <c r="F29" i="14"/>
  <c r="F35" i="14"/>
  <c r="F49" i="14"/>
  <c r="F59" i="14"/>
  <c r="E50" i="14"/>
  <c r="F72" i="14"/>
  <c r="F44" i="14"/>
  <c r="F47" i="14"/>
  <c r="F57" i="14"/>
  <c r="F67" i="14"/>
  <c r="F75" i="14"/>
  <c r="E89" i="14"/>
  <c r="F41" i="14"/>
  <c r="F73" i="14"/>
  <c r="D76" i="14"/>
  <c r="F89" i="14"/>
  <c r="F101" i="14"/>
  <c r="F45" i="14"/>
  <c r="F68" i="14"/>
  <c r="F76" i="14"/>
  <c r="F8" i="14"/>
  <c r="F54" i="14"/>
  <c r="F62" i="14"/>
  <c r="F82" i="14"/>
  <c r="F90" i="14"/>
  <c r="F102" i="14"/>
  <c r="F5" i="14"/>
  <c r="F85" i="14"/>
  <c r="F6" i="14"/>
  <c r="E11" i="14"/>
  <c r="F42" i="14"/>
  <c r="D50" i="14"/>
  <c r="F60" i="14"/>
  <c r="F80" i="14"/>
  <c r="F88" i="14"/>
  <c r="F98" i="14"/>
  <c r="F3" i="14"/>
  <c r="D11" i="14"/>
  <c r="F11" i="14"/>
  <c r="D63" i="14"/>
  <c r="F4" i="14"/>
  <c r="F12" i="14"/>
  <c r="F48" i="14"/>
  <c r="F50" i="14"/>
  <c r="F58" i="14"/>
  <c r="E63" i="14"/>
  <c r="F86" i="14"/>
  <c r="F83" i="14"/>
  <c r="F7" i="14"/>
  <c r="F43" i="14"/>
  <c r="F51" i="14"/>
  <c r="F61" i="14"/>
  <c r="F63" i="14"/>
  <c r="F81" i="14"/>
  <c r="D89" i="14"/>
  <c r="F99" i="14"/>
  <c r="F9" i="14"/>
  <c r="F55" i="14"/>
  <c r="F2" i="14"/>
  <c r="F56" i="14"/>
  <c r="F84" i="14"/>
  <c r="F94" i="14"/>
  <c r="H23" i="1" l="1"/>
  <c r="H19" i="1"/>
  <c r="H13" i="1"/>
  <c r="H7" i="1"/>
  <c r="H21" i="1" s="1"/>
  <c r="G6" i="13" l="1"/>
  <c r="G7" i="13"/>
  <c r="G8" i="13"/>
  <c r="G9" i="13"/>
  <c r="G10" i="13"/>
  <c r="G11" i="13"/>
  <c r="G5" i="13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0" i="8" l="1"/>
  <c r="F15" i="8"/>
  <c r="F15" i="7"/>
  <c r="F27" i="8"/>
  <c r="F20" i="8"/>
  <c r="F21" i="8" s="1"/>
  <c r="F5" i="7"/>
  <c r="F11" i="7"/>
  <c r="F16" i="7" s="1"/>
  <c r="F20" i="7" l="1"/>
  <c r="F30" i="8"/>
  <c r="F31" i="8" l="1"/>
  <c r="F21" i="7"/>
  <c r="P53" i="2"/>
  <c r="N53" i="2"/>
  <c r="P52" i="2"/>
  <c r="O52" i="2"/>
  <c r="N52" i="2"/>
  <c r="O51" i="2"/>
  <c r="O54" i="2" s="1"/>
  <c r="O55" i="2" s="1"/>
  <c r="N51" i="2"/>
  <c r="P51" i="2" s="1"/>
  <c r="P50" i="2"/>
  <c r="O50" i="2"/>
  <c r="N50" i="2"/>
  <c r="O49" i="2"/>
  <c r="N49" i="2"/>
  <c r="P49" i="2" s="1"/>
  <c r="O48" i="2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O57" i="2" s="1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O60" i="2" l="1"/>
  <c r="N56" i="2"/>
  <c r="F2" i="9" s="1"/>
  <c r="P15" i="2"/>
  <c r="P16" i="2"/>
  <c r="F4" i="9"/>
  <c r="O56" i="2"/>
  <c r="O61" i="2"/>
  <c r="N20" i="2"/>
  <c r="N54" i="2"/>
  <c r="N57" i="2"/>
  <c r="O20" i="2"/>
  <c r="N58" i="2"/>
  <c r="F5" i="9" s="1"/>
  <c r="O58" i="2"/>
  <c r="P14" i="2"/>
  <c r="G27" i="5"/>
  <c r="G26" i="5"/>
  <c r="G20" i="5"/>
  <c r="G13" i="5"/>
  <c r="G15" i="10"/>
  <c r="G13" i="10"/>
  <c r="G12" i="10"/>
  <c r="G11" i="10"/>
  <c r="G8" i="10"/>
  <c r="G7" i="10"/>
  <c r="G6" i="10"/>
  <c r="G5" i="10"/>
  <c r="G4" i="10"/>
  <c r="G3" i="10"/>
  <c r="G2" i="10"/>
  <c r="H21" i="6"/>
  <c r="H10" i="6"/>
  <c r="H28" i="6" s="1"/>
  <c r="G23" i="1"/>
  <c r="G19" i="1"/>
  <c r="G13" i="1"/>
  <c r="G7" i="1"/>
  <c r="G21" i="1" s="1"/>
  <c r="F3" i="9" l="1"/>
  <c r="O21" i="2"/>
  <c r="O59" i="2" s="1"/>
  <c r="G10" i="10"/>
  <c r="G14" i="10" s="1"/>
  <c r="G16" i="10" s="1"/>
  <c r="N55" i="2"/>
  <c r="P55" i="2" s="1"/>
  <c r="P54" i="2"/>
  <c r="N21" i="2"/>
  <c r="P20" i="2"/>
  <c r="G28" i="5"/>
  <c r="J27" i="5"/>
  <c r="F27" i="5"/>
  <c r="E27" i="5"/>
  <c r="D27" i="5"/>
  <c r="C27" i="5"/>
  <c r="B27" i="5"/>
  <c r="P21" i="2" l="1"/>
  <c r="N59" i="2"/>
  <c r="F6" i="9" s="1"/>
  <c r="H9" i="12" l="1"/>
  <c r="H8" i="12"/>
  <c r="H7" i="12"/>
  <c r="H6" i="12"/>
  <c r="H5" i="12"/>
  <c r="H4" i="12"/>
  <c r="H3" i="12"/>
  <c r="H2" i="12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L54" i="2"/>
  <c r="L55" i="2" s="1"/>
  <c r="K53" i="2"/>
  <c r="M53" i="2" s="1"/>
  <c r="L52" i="2"/>
  <c r="K52" i="2"/>
  <c r="M52" i="2" s="1"/>
  <c r="L51" i="2"/>
  <c r="K51" i="2"/>
  <c r="M51" i="2" s="1"/>
  <c r="L50" i="2"/>
  <c r="K50" i="2"/>
  <c r="M50" i="2" s="1"/>
  <c r="L49" i="2"/>
  <c r="K49" i="2"/>
  <c r="M49" i="2" s="1"/>
  <c r="M48" i="2"/>
  <c r="L48" i="2"/>
  <c r="L61" i="2" s="1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M16" i="2" s="1"/>
  <c r="L15" i="2"/>
  <c r="L57" i="2" s="1"/>
  <c r="K15" i="2"/>
  <c r="K57" i="2" s="1"/>
  <c r="E3" i="9" s="1"/>
  <c r="L14" i="2"/>
  <c r="L56" i="2" s="1"/>
  <c r="K14" i="2"/>
  <c r="K56" i="2" s="1"/>
  <c r="E2" i="9" s="1"/>
  <c r="M13" i="2"/>
  <c r="M12" i="2"/>
  <c r="M11" i="2"/>
  <c r="M10" i="2"/>
  <c r="M9" i="2"/>
  <c r="M8" i="2"/>
  <c r="M7" i="2"/>
  <c r="M6" i="2"/>
  <c r="M5" i="2"/>
  <c r="M4" i="2"/>
  <c r="M3" i="2"/>
  <c r="J26" i="5"/>
  <c r="J13" i="5"/>
  <c r="K21" i="6"/>
  <c r="K10" i="6"/>
  <c r="J23" i="1"/>
  <c r="J19" i="1"/>
  <c r="J13" i="1"/>
  <c r="J7" i="1"/>
  <c r="J21" i="1" l="1"/>
  <c r="L21" i="6"/>
  <c r="J5" i="10"/>
  <c r="K5" i="10" s="1"/>
  <c r="L10" i="6"/>
  <c r="J2" i="10"/>
  <c r="K2" i="10" s="1"/>
  <c r="K29" i="6"/>
  <c r="E15" i="8"/>
  <c r="E10" i="8"/>
  <c r="M15" i="2"/>
  <c r="E11" i="7"/>
  <c r="L20" i="2"/>
  <c r="L21" i="2" s="1"/>
  <c r="L59" i="2" s="1"/>
  <c r="E4" i="9"/>
  <c r="M14" i="2"/>
  <c r="K20" i="2"/>
  <c r="K21" i="2" s="1"/>
  <c r="M21" i="2" s="1"/>
  <c r="E5" i="7"/>
  <c r="E15" i="7"/>
  <c r="K28" i="6"/>
  <c r="L28" i="6" s="1"/>
  <c r="E27" i="8"/>
  <c r="E20" i="8"/>
  <c r="K54" i="2"/>
  <c r="K58" i="2"/>
  <c r="E5" i="9" s="1"/>
  <c r="L58" i="2"/>
  <c r="L60" i="2"/>
  <c r="J28" i="5"/>
  <c r="G9" i="12"/>
  <c r="G8" i="12"/>
  <c r="G7" i="12"/>
  <c r="G6" i="12"/>
  <c r="G5" i="12"/>
  <c r="G4" i="12"/>
  <c r="G3" i="12"/>
  <c r="G2" i="12"/>
  <c r="E30" i="8" l="1"/>
  <c r="L29" i="6"/>
  <c r="J9" i="10"/>
  <c r="K9" i="10" s="1"/>
  <c r="J10" i="10"/>
  <c r="E21" i="8"/>
  <c r="E31" i="8"/>
  <c r="E16" i="7"/>
  <c r="M20" i="2"/>
  <c r="E20" i="7"/>
  <c r="H10" i="10"/>
  <c r="K55" i="2"/>
  <c r="M54" i="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57" i="2"/>
  <c r="AA57" i="2" s="1"/>
  <c r="H53" i="2"/>
  <c r="D29" i="8" s="1"/>
  <c r="I52" i="2"/>
  <c r="H52" i="2"/>
  <c r="I51" i="2"/>
  <c r="H51" i="2"/>
  <c r="I50" i="2"/>
  <c r="H50" i="2"/>
  <c r="I49" i="2"/>
  <c r="H49" i="2"/>
  <c r="J49" i="2" s="1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J16" i="2" s="1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0" i="5"/>
  <c r="F26" i="5" s="1"/>
  <c r="F13" i="5"/>
  <c r="F15" i="10"/>
  <c r="F13" i="10"/>
  <c r="F12" i="10"/>
  <c r="F11" i="10"/>
  <c r="F8" i="10"/>
  <c r="F7" i="10"/>
  <c r="F6" i="10"/>
  <c r="F4" i="10"/>
  <c r="F3" i="10"/>
  <c r="G21" i="6"/>
  <c r="G10" i="6"/>
  <c r="C23" i="1"/>
  <c r="D23" i="1"/>
  <c r="E23" i="1"/>
  <c r="F23" i="1"/>
  <c r="B23" i="1"/>
  <c r="J14" i="10" l="1"/>
  <c r="K10" i="10"/>
  <c r="H14" i="10"/>
  <c r="E21" i="7"/>
  <c r="K3" i="9"/>
  <c r="M55" i="2"/>
  <c r="K59" i="2"/>
  <c r="E6" i="9" s="1"/>
  <c r="I58" i="2"/>
  <c r="W56" i="2"/>
  <c r="Z56" i="2" s="1"/>
  <c r="H58" i="2"/>
  <c r="D5" i="9" s="1"/>
  <c r="F5" i="10"/>
  <c r="F2" i="10"/>
  <c r="I60" i="2"/>
  <c r="I4" i="9"/>
  <c r="J4" i="9" s="1"/>
  <c r="I57" i="2"/>
  <c r="X61" i="2"/>
  <c r="J52" i="2"/>
  <c r="X58" i="2"/>
  <c r="K4" i="9"/>
  <c r="I56" i="2"/>
  <c r="J51" i="2"/>
  <c r="H54" i="2"/>
  <c r="J50" i="2"/>
  <c r="J53" i="2"/>
  <c r="J15" i="2"/>
  <c r="H57" i="2"/>
  <c r="I61" i="2"/>
  <c r="W58" i="2"/>
  <c r="Z58" i="2" s="1"/>
  <c r="W57" i="2"/>
  <c r="X56" i="2"/>
  <c r="I54" i="2"/>
  <c r="J54" i="2" s="1"/>
  <c r="I20" i="2"/>
  <c r="J14" i="2"/>
  <c r="H56" i="2"/>
  <c r="X60" i="2"/>
  <c r="D28" i="8"/>
  <c r="D4" i="9"/>
  <c r="D10" i="8"/>
  <c r="D15" i="8"/>
  <c r="D20" i="8"/>
  <c r="D27" i="8"/>
  <c r="D5" i="7"/>
  <c r="D11" i="7"/>
  <c r="D15" i="7"/>
  <c r="H55" i="2"/>
  <c r="J48" i="2"/>
  <c r="H20" i="2"/>
  <c r="F28" i="5"/>
  <c r="G28" i="6"/>
  <c r="J16" i="10" l="1"/>
  <c r="K16" i="10" s="1"/>
  <c r="K14" i="10"/>
  <c r="I3" i="9"/>
  <c r="J3" i="9" s="1"/>
  <c r="Z57" i="2"/>
  <c r="H16" i="10"/>
  <c r="K5" i="9"/>
  <c r="I2" i="9"/>
  <c r="J2" i="9" s="1"/>
  <c r="K2" i="9"/>
  <c r="I5" i="9"/>
  <c r="J5" i="9" s="1"/>
  <c r="F10" i="10"/>
  <c r="D3" i="9"/>
  <c r="D30" i="8"/>
  <c r="I21" i="2"/>
  <c r="D20" i="7"/>
  <c r="D16" i="7"/>
  <c r="D21" i="8"/>
  <c r="D2" i="9"/>
  <c r="I55" i="2"/>
  <c r="J20" i="2"/>
  <c r="H21" i="2"/>
  <c r="F14" i="10" l="1"/>
  <c r="I59" i="2"/>
  <c r="D31" i="8"/>
  <c r="D21" i="7"/>
  <c r="H59" i="2"/>
  <c r="D6" i="9" s="1"/>
  <c r="J55" i="2"/>
  <c r="J21" i="2"/>
  <c r="F16" i="10" l="1"/>
  <c r="F19" i="1"/>
  <c r="F13" i="1"/>
  <c r="F7" i="1"/>
  <c r="F21" i="1" l="1"/>
  <c r="F52" i="2"/>
  <c r="E52" i="2"/>
  <c r="C21" i="6"/>
  <c r="B53" i="2" l="1"/>
  <c r="C52" i="2"/>
  <c r="B52" i="2"/>
  <c r="B51" i="2"/>
  <c r="C50" i="2"/>
  <c r="B50" i="2"/>
  <c r="C49" i="2"/>
  <c r="B49" i="2"/>
  <c r="C48" i="2"/>
  <c r="B48" i="2"/>
  <c r="C16" i="2"/>
  <c r="B16" i="2"/>
  <c r="C15" i="2"/>
  <c r="B15" i="2"/>
  <c r="C14" i="2"/>
  <c r="B14" i="2"/>
  <c r="B4" i="9" l="1"/>
  <c r="B20" i="2"/>
  <c r="B21" i="2" s="1"/>
  <c r="B58" i="2"/>
  <c r="B5" i="9" s="1"/>
  <c r="B56" i="2"/>
  <c r="B2" i="9" s="1"/>
  <c r="C20" i="2"/>
  <c r="C21" i="2" s="1"/>
  <c r="C58" i="2"/>
  <c r="C60" i="2"/>
  <c r="C56" i="2"/>
  <c r="B57" i="2"/>
  <c r="B3" i="9" s="1"/>
  <c r="C57" i="2"/>
  <c r="C61" i="2"/>
  <c r="E53" i="2"/>
  <c r="E51" i="2"/>
  <c r="F50" i="2"/>
  <c r="E50" i="2"/>
  <c r="F49" i="2"/>
  <c r="E49" i="2"/>
  <c r="F48" i="2"/>
  <c r="E48" i="2"/>
  <c r="F16" i="2"/>
  <c r="E16" i="2"/>
  <c r="F15" i="2"/>
  <c r="E15" i="2"/>
  <c r="F14" i="2"/>
  <c r="E14" i="2"/>
  <c r="C4" i="9" l="1"/>
  <c r="E58" i="2"/>
  <c r="C5" i="9" s="1"/>
  <c r="E56" i="2"/>
  <c r="C2" i="9" s="1"/>
  <c r="F60" i="2"/>
  <c r="F58" i="2"/>
  <c r="F56" i="2"/>
  <c r="E57" i="2"/>
  <c r="C3" i="9" s="1"/>
  <c r="F20" i="2"/>
  <c r="F21" i="2" s="1"/>
  <c r="F57" i="2"/>
  <c r="F61" i="2"/>
  <c r="E20" i="2"/>
  <c r="E21" i="2" s="1"/>
  <c r="B13" i="1"/>
  <c r="B19" i="1"/>
  <c r="B7" i="1"/>
  <c r="B21" i="1" l="1"/>
  <c r="E21" i="6" l="1"/>
  <c r="F21" i="6"/>
  <c r="D21" i="6"/>
  <c r="F10" i="6"/>
  <c r="E10" i="6"/>
  <c r="D10" i="6"/>
  <c r="B26" i="5" l="1"/>
  <c r="B13" i="5"/>
  <c r="D19" i="1"/>
  <c r="C19" i="1"/>
  <c r="E19" i="1"/>
  <c r="C13" i="1"/>
  <c r="D13" i="1"/>
  <c r="E13" i="1"/>
  <c r="C7" i="1"/>
  <c r="D7" i="1"/>
  <c r="E7" i="1"/>
  <c r="E26" i="5" l="1"/>
  <c r="D26" i="5"/>
  <c r="C26" i="5"/>
  <c r="E13" i="5"/>
  <c r="D13" i="5"/>
  <c r="C13" i="5"/>
  <c r="E28" i="6"/>
  <c r="F28" i="6"/>
  <c r="D28" i="6"/>
  <c r="E28" i="5" l="1"/>
  <c r="C10" i="6"/>
  <c r="C21" i="1"/>
  <c r="D21" i="1"/>
  <c r="E21" i="1"/>
  <c r="B6" i="10" l="1"/>
  <c r="C6" i="10"/>
  <c r="D6" i="10"/>
  <c r="E6" i="10"/>
  <c r="B7" i="10"/>
  <c r="C7" i="10"/>
  <c r="D7" i="10"/>
  <c r="E7" i="10"/>
  <c r="B8" i="10"/>
  <c r="C8" i="10"/>
  <c r="D8" i="10"/>
  <c r="E8" i="10"/>
  <c r="B3" i="10"/>
  <c r="C3" i="10"/>
  <c r="D3" i="10"/>
  <c r="E3" i="10"/>
  <c r="B4" i="10"/>
  <c r="C4" i="10"/>
  <c r="D4" i="10"/>
  <c r="E4" i="10"/>
  <c r="C28" i="6" l="1"/>
  <c r="L6" i="12" l="1"/>
  <c r="F2" i="12"/>
  <c r="L2" i="12"/>
  <c r="F3" i="12"/>
  <c r="L3" i="12"/>
  <c r="F4" i="12"/>
  <c r="L4" i="12"/>
  <c r="F5" i="12"/>
  <c r="L5" i="12"/>
  <c r="F6" i="12"/>
  <c r="F7" i="12"/>
  <c r="L7" i="12"/>
  <c r="F8" i="12"/>
  <c r="L8" i="12"/>
  <c r="F9" i="12"/>
  <c r="L9" i="12"/>
  <c r="E9" i="12"/>
  <c r="E8" i="12"/>
  <c r="E7" i="12"/>
  <c r="E6" i="12"/>
  <c r="E5" i="12"/>
  <c r="E4" i="12"/>
  <c r="E3" i="12"/>
  <c r="E2" i="12"/>
  <c r="C11" i="10"/>
  <c r="D11" i="10"/>
  <c r="E11" i="10"/>
  <c r="C12" i="10"/>
  <c r="D12" i="10"/>
  <c r="E12" i="10"/>
  <c r="C13" i="10"/>
  <c r="D13" i="10"/>
  <c r="E13" i="10"/>
  <c r="C15" i="10"/>
  <c r="D15" i="10"/>
  <c r="E15" i="10"/>
  <c r="B15" i="10"/>
  <c r="B13" i="10"/>
  <c r="B12" i="10"/>
  <c r="B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M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K18" i="7" s="1"/>
  <c r="I17" i="7"/>
  <c r="I14" i="7"/>
  <c r="I13" i="7"/>
  <c r="I12" i="7"/>
  <c r="I10" i="7"/>
  <c r="K10" i="7" s="1"/>
  <c r="I9" i="7"/>
  <c r="K9" i="7" s="1"/>
  <c r="I8" i="7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9" i="8" l="1"/>
  <c r="M5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1" i="7" l="1"/>
  <c r="J5" i="7"/>
  <c r="J2" i="7"/>
  <c r="J13" i="7"/>
  <c r="J12" i="7"/>
  <c r="J3" i="7"/>
  <c r="J15" i="7"/>
  <c r="J14" i="7"/>
  <c r="J18" i="7"/>
  <c r="J7" i="7"/>
  <c r="J16" i="7"/>
  <c r="M21" i="7"/>
  <c r="J4" i="7"/>
  <c r="J6" i="7"/>
  <c r="J17" i="7"/>
  <c r="J9" i="7"/>
  <c r="J10" i="7"/>
  <c r="J8" i="7"/>
  <c r="J11" i="7"/>
  <c r="B5" i="10"/>
  <c r="B2" i="10"/>
  <c r="B10" i="10" l="1"/>
  <c r="B14" i="10" l="1"/>
  <c r="B16" i="10" s="1"/>
  <c r="D5" i="10" l="1"/>
  <c r="E5" i="10"/>
  <c r="C5" i="10"/>
  <c r="D2" i="10"/>
  <c r="E2" i="10"/>
  <c r="C2" i="10"/>
  <c r="D10" i="10" l="1"/>
  <c r="D14" i="10" s="1"/>
  <c r="D16" i="10" s="1"/>
  <c r="C10" i="10"/>
  <c r="C14" i="10" s="1"/>
  <c r="C16" i="10" s="1"/>
  <c r="E10" i="10"/>
  <c r="E54" i="2"/>
  <c r="E55" i="2" s="1"/>
  <c r="E59" i="2" s="1"/>
  <c r="C6" i="9" s="1"/>
  <c r="F54" i="2"/>
  <c r="F55" i="2" s="1"/>
  <c r="F59" i="2" s="1"/>
  <c r="E14" i="10" l="1"/>
  <c r="E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K28" i="8" s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M30" i="8"/>
  <c r="I31" i="8"/>
  <c r="K31" i="8" s="1"/>
  <c r="X59" i="2"/>
  <c r="K6" i="9" s="1"/>
  <c r="J26" i="8"/>
  <c r="J11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J13" i="8"/>
  <c r="J17" i="8"/>
  <c r="J19" i="8"/>
  <c r="J4" i="8"/>
  <c r="J2" i="8"/>
  <c r="J15" i="8"/>
  <c r="J3" i="8"/>
  <c r="J12" i="8"/>
  <c r="J8" i="8"/>
  <c r="J7" i="8"/>
  <c r="J25" i="8"/>
  <c r="J16" i="8"/>
  <c r="M31" i="8"/>
  <c r="J31" i="8"/>
  <c r="J28" i="8"/>
  <c r="J10" i="8"/>
  <c r="J5" i="8"/>
  <c r="J20" i="8"/>
  <c r="J6" i="8"/>
  <c r="J14" i="8"/>
  <c r="J18" i="8"/>
  <c r="J24" i="8"/>
  <c r="J23" i="8"/>
  <c r="J27" i="8"/>
  <c r="J22" i="8"/>
  <c r="J9" i="8"/>
  <c r="J21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<sst xmlns="http://schemas.openxmlformats.org/spreadsheetml/2006/main" count="636" uniqueCount="387">
  <si>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</si>
  <si>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</si>
  <si>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</si>
  <si>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</si>
  <si>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</si>
  <si>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</si>
  <si>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</si>
  <si>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</si>
  <si>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</si>
  <si>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</si>
  <si>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</si>
  <si>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</si>
  <si>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</si>
  <si>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</si>
  <si>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</si>
  <si>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</si>
  <si>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</si>
  <si>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</si>
  <si>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</si>
  <si>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</si>
  <si>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</si>
  <si>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</si>
  <si>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</si>
  <si>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</si>
  <si>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</si>
  <si>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</si>
  <si>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</si>
  <si>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</si>
  <si>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</si>
  <si>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</si>
  <si>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</si>
  <si>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</si>
  <si>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</si>
  <si>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</si>
  <si>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</si>
  <si>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</si>
  <si>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</si>
  <si>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</si>
  <si>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</si>
  <si>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</si>
  <si>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</si>
  <si>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</si>
  <si>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</si>
  <si>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</si>
  <si>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</si>
  <si>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</si>
  <si>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</si>
  <si>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</si>
  <si>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</si>
  <si>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</si>
  <si>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</si>
  <si>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</si>
  <si>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</si>
  <si>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</si>
  <si>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</si>
  <si>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</si>
  <si>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</si>
  <si>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</si>
  <si>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</si>
  <si>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</si>
  <si>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</si>
  <si>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</si>
  <si>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</si>
  <si>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</si>
  <si>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</si>
  <si>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</si>
  <si>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</si>
  <si>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</si>
  <si>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</si>
  <si>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</si>
  <si>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</si>
  <si>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</si>
  <si>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</si>
  <si>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</si>
  <si>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</si>
  <si>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</si>
  <si>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</si>
  <si>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</si>
  <si>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</si>
  <si>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</si>
  <si>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</si>
  <si>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</si>
  <si>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</si>
  <si>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</si>
  <si>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</si>
  <si>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</si>
  <si>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</si>
  <si>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</si>
  <si>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</si>
  <si>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</si>
  <si>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</si>
  <si>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</si>
  <si>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</si>
  <si>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</si>
  <si>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</si>
  <si>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</si>
  <si>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</si>
  <si>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</si>
  <si>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</si>
  <si>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</si>
  <si>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</si>
  <si>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</si>
  <si>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</si>
  <si>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</si>
  <si>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</si>
  <si>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</si>
  <si>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</si>
  <si>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</si>
  <si>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</si>
  <si>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</si>
  <si>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</si>
  <si>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</si>
  <si>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</si>
  <si>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</si>
  <si>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</si>
  <si>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</si>
  <si>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</si>
  <si>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</si>
  <si>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</si>
  <si>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</si>
  <si>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</si>
  <si>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</si>
  <si>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</si>
  <si>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</si>
  <si>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</si>
  <si>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</si>
  <si>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</si>
  <si>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</si>
  <si>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</si>
  <si>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</si>
  <si>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</si>
  <si>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</si>
  <si>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</si>
  <si>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</si>
  <si>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</si>
  <si>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</si>
  <si>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</si>
  <si>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</si>
  <si>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</si>
  <si>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</si>
  <si>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</si>
  <si>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</si>
  <si>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</si>
  <si>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</si>
  <si>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</si>
  <si>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</si>
  <si>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</si>
  <si>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</si>
  <si>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</si>
  <si>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</si>
  <si>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</si>
  <si>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</si>
  <si>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</si>
  <si>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</si>
  <si>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</si>
  <si>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</si>
  <si>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</si>
  <si>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</si>
  <si>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</si>
  <si>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</si>
  <si>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</si>
  <si>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</si>
  <si>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</si>
  <si>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</si>
  <si>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</si>
  <si>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</si>
  <si>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</si>
  <si>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</si>
  <si>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</si>
  <si>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</si>
  <si>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</si>
  <si>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</si>
  <si>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</si>
  <si>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</si>
  <si>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</si>
  <si>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</si>
  <si>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</si>
  <si>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</si>
  <si>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</si>
  <si>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</si>
  <si>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</si>
  <si>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</si>
  <si>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</si>
  <si>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</si>
  <si>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</si>
  <si>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</si>
  <si>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</si>
  <si>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</si>
  <si>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</si>
  <si>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</si>
  <si>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</si>
  <si>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</si>
  <si>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</si>
  <si>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</si>
  <si>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</si>
  <si>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</si>
  <si>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</si>
  <si>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</si>
  <si>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</si>
  <si>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</si>
  <si>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</si>
  <si>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</si>
  <si>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</si>
  <si>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</si>
  <si>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</si>
  <si>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</si>
  <si>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</si>
  <si>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</si>
  <si>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</si>
  <si>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</si>
  <si>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</si>
  <si>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</si>
  <si>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</si>
  <si>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</si>
  <si>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</si>
  <si>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</si>
  <si>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</si>
  <si>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</si>
  <si>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</si>
  <si>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</si>
  <si>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</si>
  <si>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</si>
  <si>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</si>
  <si>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</si>
  <si>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</si>
  <si>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</si>
  <si>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</si>
  <si>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</si>
  <si>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</si>
  <si>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</si>
  <si>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</si>
  <si>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</si>
  <si>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</si>
  <si>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</si>
  <si>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</si>
  <si>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</si>
  <si>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</si>
  <si>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</si>
  <si>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</si>
  <si>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</si>
  <si>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</si>
  <si>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</si>
  <si>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</si>
  <si>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</si>
  <si>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</si>
  <si>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</si>
  <si>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</si>
  <si>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</si>
  <si>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</si>
  <si>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</si>
  <si>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</si>
  <si>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</si>
  <si>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</si>
  <si>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</si>
  <si>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</si>
  <si>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</si>
  <si>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</si>
  <si>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</si>
  <si>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</si>
  <si>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</si>
  <si>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</si>
  <si>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</si>
  <si>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</si>
  <si>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</si>
  <si>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</si>
  <si>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</si>
  <si>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</si>
  <si>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</si>
  <si>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</si>
  <si>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</si>
  <si>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</si>
  <si>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</si>
  <si>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</si>
  <si>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</si>
  <si>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</si>
  <si>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</si>
  <si>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</si>
  <si>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</si>
  <si>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</si>
  <si>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</si>
  <si>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</si>
  <si>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</si>
  <si>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</si>
  <si>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</si>
  <si>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</si>
  <si>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</si>
  <si>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</si>
  <si>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</si>
  <si>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</si>
  <si>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</si>
  <si>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</si>
  <si>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</si>
  <si>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</si>
  <si>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</si>
  <si>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</si>
  <si>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</si>
  <si>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</si>
  <si>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</si>
  <si>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</si>
  <si>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</si>
  <si>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</si>
  <si>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</si>
  <si>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</si>
  <si>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</si>
  <si>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</si>
  <si>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</si>
  <si>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</si>
  <si>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</si>
  <si>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</si>
  <si>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</si>
  <si>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</si>
  <si>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</si>
  <si>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</si>
  <si>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</si>
  <si>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</si>
  <si>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</si>
  <si>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</si>
  <si>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</si>
  <si>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</si>
  <si>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</si>
  <si>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</si>
  <si>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</si>
  <si>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</si>
  <si>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</si>
  <si>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</si>
  <si>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</si>
  <si>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</si>
  <si>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</si>
  <si>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</si>
  <si>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</si>
  <si>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</si>
  <si>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</si>
  <si>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</si>
  <si>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</si>
  <si>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</si>
  <si>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</si>
  <si>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</si>
  <si>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</si>
  <si>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</si>
  <si>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</si>
  <si>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</si>
  <si>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</si>
  <si>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</si>
  <si>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</si>
  <si>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</si>
  <si>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</si>
  <si>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</si>
  <si>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</si>
  <si>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</si>
  <si>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</si>
  <si>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</si>
  <si>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</si>
  <si>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</si>
  <si>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</si>
  <si>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</si>
  <si>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</si>
  <si>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</si>
  <si>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</si>
  <si>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</si>
  <si>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</si>
  <si>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</si>
  <si>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%Pag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</si>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</sst>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3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/>
    <xf numFmtId="164" fontId="0" fillId="0" borderId="0" xfId="1" applyNumberFormat="1" applyFont="1" applyBorder="1"/>
    <xf numFmtId="164" fontId="0" fillId="2" borderId="0" xfId="1" applyNumberFormat="1" applyFont="1" applyFill="1" applyBorder="1"/>
    <xf numFmtId="0" fontId="1" fillId="0" borderId="0" xfId="0" applyFont="1" applyAlignment="1">
      <alignment horizontal="center"/>
    </xf>
    <xf numFmtId="166" fontId="3" fillId="0" borderId="0" xfId="1" applyNumberFormat="1" applyFont="1" applyFill="1"/>
    <xf numFmtId="3" fontId="0" fillId="2" borderId="0" xfId="0" applyNumberFormat="1" applyFill="1"/>
    <xf numFmtId="0" fontId="0" fillId="0" borderId="2" xfId="0" applyBorder="1"/>
    <xf numFmtId="0" fontId="1" fillId="0" borderId="0" xfId="0" applyFont="1" applyFill="1" applyAlignment="1">
      <alignment horizont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2" borderId="0" xfId="0" applyNumberFormat="1" applyFill="1"/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 applyBorder="1"/>
    <xf numFmtId="165" fontId="1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0" fillId="0" borderId="0" xfId="0" applyAlignment="1">
      <alignment vertical="center"/>
    </xf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1" fillId="0" borderId="0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7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2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56188272857646E-2"/>
          <c:y val="4.5323594850269183E-2"/>
          <c:w val="0.54456987174283622"/>
          <c:h val="0.95467640514973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1261263941503534"/>
                  <c:y val="0.229764824916088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369629174187059E-2"/>
                  <c:y val="-0.182049185530329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16247260329572E-2"/>
                  <c:y val="-6.3642887335712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427758715299126"/>
                  <c:y val="-3.3820932411898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3805445372E-2"/>
                  <c:y val="7.400738254331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99805945309468E-2"/>
                  <c:y val="6.4926645125534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1938961532523364E-2"/>
                  <c:y val="0.1465925733642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1158388855239212E-2"/>
                  <c:y val="8.3999435967939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(Missione12_Programmi!$A$2:$A$5,Missione12_Programmi!$A$7:$A$8)</c:f>
              <c:strCache>
                <c:ptCount val="6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Diritto alla casa</c:v>
                </c:pt>
                <c:pt idx="5">
                  <c:v>Rete dei servizi sociosanitari e sociali</c:v>
                </c:pt>
              </c:strCache>
            </c:strRef>
          </c:cat>
          <c:val>
            <c:numRef>
              <c:f>(Missione12_Programmi!$B$2:$B$5,Missione12_Programmi!$B$7:$B$8,Missione12_Programmi!$B$10)</c:f>
              <c:numCache>
                <c:formatCode>#,##0</c:formatCode>
                <c:ptCount val="7"/>
                <c:pt idx="0">
                  <c:v>25221865.52</c:v>
                </c:pt>
                <c:pt idx="1">
                  <c:v>10805450.789999999</c:v>
                </c:pt>
                <c:pt idx="2">
                  <c:v>1803797.66</c:v>
                </c:pt>
                <c:pt idx="3">
                  <c:v>45073694.530000001</c:v>
                </c:pt>
                <c:pt idx="4">
                  <c:v>3747835.02</c:v>
                </c:pt>
                <c:pt idx="5">
                  <c:v>392492.04</c:v>
                </c:pt>
                <c:pt idx="6">
                  <c:v>4792177.95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37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63.997273850849766</c:v>
                </c:pt>
                <c:pt idx="1">
                  <c:v>65.63</c:v>
                </c:pt>
                <c:pt idx="2">
                  <c:v>59.2</c:v>
                </c:pt>
                <c:pt idx="3">
                  <c:v>62.53</c:v>
                </c:pt>
                <c:pt idx="4">
                  <c:v>58.92</c:v>
                </c:pt>
                <c:pt idx="5">
                  <c:v>61.62</c:v>
                </c:pt>
                <c:pt idx="6">
                  <c:v>49.23</c:v>
                </c:pt>
                <c:pt idx="7">
                  <c:v>58.29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67.092712172234528</c:v>
                </c:pt>
                <c:pt idx="1">
                  <c:v>62.58</c:v>
                </c:pt>
                <c:pt idx="2">
                  <c:v>77.400000000000006</c:v>
                </c:pt>
                <c:pt idx="3">
                  <c:v>84.99</c:v>
                </c:pt>
                <c:pt idx="4">
                  <c:v>89.73</c:v>
                </c:pt>
                <c:pt idx="5">
                  <c:v>88.95</c:v>
                </c:pt>
                <c:pt idx="6">
                  <c:v>78.17</c:v>
                </c:pt>
                <c:pt idx="7">
                  <c:v>83.81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52.190364197399106</c:v>
                </c:pt>
                <c:pt idx="1">
                  <c:v>72</c:v>
                </c:pt>
                <c:pt idx="2">
                  <c:v>66.849999999999994</c:v>
                </c:pt>
                <c:pt idx="3">
                  <c:v>73.97</c:v>
                </c:pt>
                <c:pt idx="4">
                  <c:v>75.2</c:v>
                </c:pt>
                <c:pt idx="5">
                  <c:v>65.98</c:v>
                </c:pt>
                <c:pt idx="6">
                  <c:v>75.17</c:v>
                </c:pt>
                <c:pt idx="7">
                  <c:v>79.64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50.592804259814294</c:v>
                </c:pt>
                <c:pt idx="1">
                  <c:v>47.94</c:v>
                </c:pt>
                <c:pt idx="2">
                  <c:v>39.81</c:v>
                </c:pt>
                <c:pt idx="3">
                  <c:v>54.21</c:v>
                </c:pt>
                <c:pt idx="4">
                  <c:v>54.93</c:v>
                </c:pt>
                <c:pt idx="5">
                  <c:v>55.1</c:v>
                </c:pt>
                <c:pt idx="6">
                  <c:v>55.02</c:v>
                </c:pt>
                <c:pt idx="7">
                  <c:v>62.6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868480"/>
        <c:axId val="1012866848"/>
      </c:lineChart>
      <c:catAx>
        <c:axId val="10128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12866848"/>
        <c:crosses val="autoZero"/>
        <c:auto val="1"/>
        <c:lblAlgn val="ctr"/>
        <c:lblOffset val="100"/>
        <c:noMultiLvlLbl val="0"/>
      </c:catAx>
      <c:valAx>
        <c:axId val="1012866848"/>
        <c:scaling>
          <c:orientation val="minMax"/>
          <c:max val="90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01286848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696687713634976E-3"/>
          <c:y val="0"/>
          <c:w val="0.97779360746239374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7.6343162515507554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171581257753604E-3"/>
                  <c:y val="1.1540680900173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343162515507901E-3"/>
                  <c:y val="2.308136180034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257371886631101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257371886630408E-3"/>
                  <c:y val="1.154068090017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7257371886630408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382.55</c:v>
                </c:pt>
                <c:pt idx="1">
                  <c:v>353.2</c:v>
                </c:pt>
                <c:pt idx="2">
                  <c:v>351.3</c:v>
                </c:pt>
                <c:pt idx="3">
                  <c:v>342.48</c:v>
                </c:pt>
                <c:pt idx="4">
                  <c:v>326.07</c:v>
                </c:pt>
                <c:pt idx="5">
                  <c:v>304.89999999999998</c:v>
                </c:pt>
                <c:pt idx="6">
                  <c:v>303.83</c:v>
                </c:pt>
                <c:pt idx="7">
                  <c:v>310.67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428953144383998E-3"/>
                  <c:y val="-8.815696070181183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67392"/>
        <c:axId val="1012867936"/>
      </c:barChart>
      <c:catAx>
        <c:axId val="1012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12867936"/>
        <c:crosses val="autoZero"/>
        <c:auto val="1"/>
        <c:lblAlgn val="ctr"/>
        <c:lblOffset val="100"/>
        <c:noMultiLvlLbl val="0"/>
      </c:catAx>
      <c:valAx>
        <c:axId val="1012867936"/>
        <c:scaling>
          <c:orientation val="minMax"/>
          <c:max val="4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01286739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63390973923858E-3"/>
          <c:y val="5.9862208510722083E-2"/>
          <c:w val="0.99115366090260748"/>
          <c:h val="0.7537052098147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45147437732622E-2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73.84</c:v>
                </c:pt>
                <c:pt idx="1">
                  <c:v>68.17</c:v>
                </c:pt>
                <c:pt idx="2">
                  <c:v>71.48</c:v>
                </c:pt>
                <c:pt idx="3">
                  <c:v>69.22</c:v>
                </c:pt>
                <c:pt idx="4">
                  <c:v>58.22</c:v>
                </c:pt>
                <c:pt idx="5">
                  <c:v>114.14</c:v>
                </c:pt>
                <c:pt idx="6">
                  <c:v>83.53</c:v>
                </c:pt>
                <c:pt idx="7">
                  <c:v>275.08999999999997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-1.3996084777210643E-16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65760"/>
        <c:axId val="1012866304"/>
      </c:barChart>
      <c:catAx>
        <c:axId val="10128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12866304"/>
        <c:crosses val="autoZero"/>
        <c:auto val="1"/>
        <c:lblAlgn val="ctr"/>
        <c:lblOffset val="100"/>
        <c:noMultiLvlLbl val="0"/>
      </c:catAx>
      <c:valAx>
        <c:axId val="1012866304"/>
        <c:scaling>
          <c:orientation val="minMax"/>
          <c:max val="335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01286576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37E-2"/>
          <c:y val="3.3240997229916948E-2"/>
          <c:w val="0.95679921453118433"/>
          <c:h val="0.7692461157036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42.15</c:v>
                </c:pt>
                <c:pt idx="1">
                  <c:v>98.47</c:v>
                </c:pt>
                <c:pt idx="2">
                  <c:v>50.93</c:v>
                </c:pt>
                <c:pt idx="3">
                  <c:v>50.38</c:v>
                </c:pt>
                <c:pt idx="4">
                  <c:v>31.77</c:v>
                </c:pt>
                <c:pt idx="5">
                  <c:v>14.23</c:v>
                </c:pt>
                <c:pt idx="6">
                  <c:v>8.43</c:v>
                </c:pt>
                <c:pt idx="7">
                  <c:v>8.43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76768"/>
        <c:axId val="1822580032"/>
      </c:barChart>
      <c:catAx>
        <c:axId val="18225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2580032"/>
        <c:crosses val="autoZero"/>
        <c:auto val="1"/>
        <c:lblAlgn val="ctr"/>
        <c:lblOffset val="100"/>
        <c:noMultiLvlLbl val="0"/>
      </c:catAx>
      <c:valAx>
        <c:axId val="1822580032"/>
        <c:scaling>
          <c:orientation val="minMax"/>
          <c:max val="105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225767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37E-2"/>
          <c:y val="6.648199445983384E-2"/>
          <c:w val="0.95679921453118433"/>
          <c:h val="0.73600511847376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472.56</c:v>
                </c:pt>
                <c:pt idx="1">
                  <c:v>466.39</c:v>
                </c:pt>
                <c:pt idx="2">
                  <c:v>466.39</c:v>
                </c:pt>
                <c:pt idx="3">
                  <c:v>525.04</c:v>
                </c:pt>
                <c:pt idx="4">
                  <c:v>466.4</c:v>
                </c:pt>
                <c:pt idx="5">
                  <c:v>366.96</c:v>
                </c:pt>
                <c:pt idx="6">
                  <c:v>337</c:v>
                </c:pt>
                <c:pt idx="7">
                  <c:v>308.54000000000002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78944"/>
        <c:axId val="1822577312"/>
      </c:barChart>
      <c:catAx>
        <c:axId val="18225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2577312"/>
        <c:crosses val="autoZero"/>
        <c:auto val="1"/>
        <c:lblAlgn val="ctr"/>
        <c:lblOffset val="100"/>
        <c:noMultiLvlLbl val="0"/>
      </c:catAx>
      <c:valAx>
        <c:axId val="182257731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2257894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314"/>
          <c:h val="0.9777997766400130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628894</c:v>
                </c:pt>
                <c:pt idx="1">
                  <c:v>632499</c:v>
                </c:pt>
                <c:pt idx="2">
                  <c:v>635439</c:v>
                </c:pt>
                <c:pt idx="3">
                  <c:v>637885</c:v>
                </c:pt>
                <c:pt idx="4">
                  <c:v>647422</c:v>
                </c:pt>
                <c:pt idx="5">
                  <c:v>652720</c:v>
                </c:pt>
                <c:pt idx="6">
                  <c:v>655533</c:v>
                </c:pt>
                <c:pt idx="7">
                  <c:v>658575</c:v>
                </c:pt>
                <c:pt idx="8">
                  <c:v>659196</c:v>
                </c:pt>
                <c:pt idx="9">
                  <c:v>661091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79488"/>
        <c:axId val="1822577856"/>
      </c:barChart>
      <c:catAx>
        <c:axId val="182257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22577856"/>
        <c:crosses val="autoZero"/>
        <c:auto val="1"/>
        <c:lblAlgn val="ctr"/>
        <c:lblOffset val="100"/>
        <c:noMultiLvlLbl val="0"/>
      </c:catAx>
      <c:valAx>
        <c:axId val="1822577856"/>
        <c:scaling>
          <c:orientation val="minMax"/>
          <c:max val="7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82257948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Missione12_Programmi!$A$106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29187873.760000002</c:v>
                </c:pt>
                <c:pt idx="1">
                  <c:v>26531125.07</c:v>
                </c:pt>
                <c:pt idx="2">
                  <c:v>25221030.859999999</c:v>
                </c:pt>
                <c:pt idx="3">
                  <c:v>21896642.960000001</c:v>
                </c:pt>
                <c:pt idx="4">
                  <c:v>25737461.5</c:v>
                </c:pt>
                <c:pt idx="5">
                  <c:v>37464247.509999998</c:v>
                </c:pt>
                <c:pt idx="6">
                  <c:v>36977471.130000003</c:v>
                </c:pt>
                <c:pt idx="7">
                  <c:v>45073694.530000001</c:v>
                </c:pt>
              </c:numCache>
            </c:numRef>
          </c:val>
        </c:ser>
        <c:ser>
          <c:idx val="0"/>
          <c:order val="1"/>
          <c:tx>
            <c:strRef>
              <c:f>Missione12_Programmi!$A$107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4191296</c:v>
                </c:pt>
                <c:pt idx="1">
                  <c:v>4219152.6500000004</c:v>
                </c:pt>
                <c:pt idx="2">
                  <c:v>19513399.68</c:v>
                </c:pt>
                <c:pt idx="3">
                  <c:v>19613978.809999999</c:v>
                </c:pt>
                <c:pt idx="4">
                  <c:v>22136119.300000001</c:v>
                </c:pt>
                <c:pt idx="5">
                  <c:v>23423153.050000001</c:v>
                </c:pt>
                <c:pt idx="6">
                  <c:v>24971891.32</c:v>
                </c:pt>
                <c:pt idx="7">
                  <c:v>25221865.52</c:v>
                </c:pt>
              </c:numCache>
            </c:numRef>
          </c:val>
        </c:ser>
        <c:ser>
          <c:idx val="1"/>
          <c:order val="2"/>
          <c:tx>
            <c:strRef>
              <c:f>Missione12_Programmi!$A$108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3050416.56</c:v>
                </c:pt>
                <c:pt idx="1">
                  <c:v>2431524.4</c:v>
                </c:pt>
                <c:pt idx="2">
                  <c:v>4659105.45</c:v>
                </c:pt>
                <c:pt idx="3">
                  <c:v>3924614.77</c:v>
                </c:pt>
                <c:pt idx="4">
                  <c:v>4722456.88</c:v>
                </c:pt>
                <c:pt idx="5">
                  <c:v>5746625.1399999997</c:v>
                </c:pt>
                <c:pt idx="6">
                  <c:v>12605693.1</c:v>
                </c:pt>
                <c:pt idx="7">
                  <c:v>10805450.789999999</c:v>
                </c:pt>
              </c:numCache>
            </c:numRef>
          </c:val>
        </c:ser>
        <c:ser>
          <c:idx val="8"/>
          <c:order val="3"/>
          <c:tx>
            <c:strRef>
              <c:f>Missione12_Programmi!$A$109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2065318.6</c:v>
                </c:pt>
                <c:pt idx="1">
                  <c:v>2023440.03</c:v>
                </c:pt>
                <c:pt idx="2">
                  <c:v>1689766.88</c:v>
                </c:pt>
                <c:pt idx="3">
                  <c:v>2051547.95</c:v>
                </c:pt>
                <c:pt idx="4">
                  <c:v>1544175.99</c:v>
                </c:pt>
                <c:pt idx="5">
                  <c:v>1969290.53</c:v>
                </c:pt>
                <c:pt idx="6">
                  <c:v>2457755.77</c:v>
                </c:pt>
                <c:pt idx="7">
                  <c:v>4792177.95</c:v>
                </c:pt>
              </c:numCache>
            </c:numRef>
          </c:val>
        </c:ser>
        <c:ser>
          <c:idx val="2"/>
          <c:order val="4"/>
          <c:tx>
            <c:strRef>
              <c:f>Missione12_Programmi!$A$111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0</c:v>
                </c:pt>
                <c:pt idx="1">
                  <c:v>292486.08</c:v>
                </c:pt>
                <c:pt idx="2">
                  <c:v>1187577.72</c:v>
                </c:pt>
                <c:pt idx="3">
                  <c:v>1285423.22</c:v>
                </c:pt>
                <c:pt idx="4">
                  <c:v>1900315.32</c:v>
                </c:pt>
                <c:pt idx="5">
                  <c:v>1604176.43</c:v>
                </c:pt>
                <c:pt idx="6">
                  <c:v>1321649.48</c:v>
                </c:pt>
                <c:pt idx="7">
                  <c:v>1803797.66</c:v>
                </c:pt>
              </c:numCache>
            </c:numRef>
          </c:val>
        </c:ser>
        <c:ser>
          <c:idx val="6"/>
          <c:order val="5"/>
          <c:tx>
            <c:strRef>
              <c:f>Missione12_Programmi!$A$112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329166.09999999998</c:v>
                </c:pt>
                <c:pt idx="1">
                  <c:v>328532.82</c:v>
                </c:pt>
                <c:pt idx="2">
                  <c:v>295188.31</c:v>
                </c:pt>
                <c:pt idx="3">
                  <c:v>295188.31</c:v>
                </c:pt>
                <c:pt idx="4">
                  <c:v>295188.31</c:v>
                </c:pt>
                <c:pt idx="5">
                  <c:v>293602.87</c:v>
                </c:pt>
                <c:pt idx="6">
                  <c:v>475531.99</c:v>
                </c:pt>
                <c:pt idx="7">
                  <c:v>392492.04</c:v>
                </c:pt>
              </c:numCache>
            </c:numRef>
          </c:val>
        </c:ser>
        <c:ser>
          <c:idx val="4"/>
          <c:order val="6"/>
          <c:tx>
            <c:strRef>
              <c:f>Missione12_Programmi!$A$113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315726.96000000002</c:v>
                </c:pt>
                <c:pt idx="1">
                  <c:v>444894.58</c:v>
                </c:pt>
                <c:pt idx="2">
                  <c:v>29876.73</c:v>
                </c:pt>
                <c:pt idx="3">
                  <c:v>185000</c:v>
                </c:pt>
                <c:pt idx="4">
                  <c:v>260000</c:v>
                </c:pt>
                <c:pt idx="5">
                  <c:v>0</c:v>
                </c:pt>
                <c:pt idx="6">
                  <c:v>695556.72</c:v>
                </c:pt>
                <c:pt idx="7">
                  <c:v>0</c:v>
                </c:pt>
              </c:numCache>
            </c:numRef>
          </c:val>
        </c:ser>
        <c:ser>
          <c:idx val="5"/>
          <c:order val="7"/>
          <c:tx>
            <c:strRef>
              <c:f>Missione12_Programmi!$A$110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2871037.13</c:v>
                </c:pt>
                <c:pt idx="1">
                  <c:v>377858.56</c:v>
                </c:pt>
                <c:pt idx="2">
                  <c:v>1911145.48</c:v>
                </c:pt>
                <c:pt idx="3">
                  <c:v>46635.23</c:v>
                </c:pt>
                <c:pt idx="4">
                  <c:v>20401.37</c:v>
                </c:pt>
                <c:pt idx="5">
                  <c:v>51918.83</c:v>
                </c:pt>
                <c:pt idx="6">
                  <c:v>100853.6</c:v>
                </c:pt>
                <c:pt idx="7">
                  <c:v>3747835.02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768"/>
        <c:axId val="1064538048"/>
      </c:bar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950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2831738821954"/>
          <c:y val="4.5175976644223827E-2"/>
          <c:w val="0.85585153169131023"/>
          <c:h val="0.80174954353531891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1010227231.8099999</c:v>
                </c:pt>
                <c:pt idx="1">
                  <c:v>856891950.07000005</c:v>
                </c:pt>
                <c:pt idx="2">
                  <c:v>999249697.92999995</c:v>
                </c:pt>
                <c:pt idx="3">
                  <c:v>1077535823.6700001</c:v>
                </c:pt>
                <c:pt idx="4">
                  <c:v>1211125892.47</c:v>
                </c:pt>
                <c:pt idx="5">
                  <c:v>1192995024.97</c:v>
                </c:pt>
                <c:pt idx="6">
                  <c:v>1290436299.97</c:v>
                </c:pt>
                <c:pt idx="7">
                  <c:v>1294893910.8199999</c:v>
                </c:pt>
                <c:pt idx="8">
                  <c:v>1136265911.8800001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413201044.60000002</c:v>
                </c:pt>
                <c:pt idx="1">
                  <c:v>404664852.70999998</c:v>
                </c:pt>
                <c:pt idx="2">
                  <c:v>355372974.19999999</c:v>
                </c:pt>
                <c:pt idx="3">
                  <c:v>348572864.19999999</c:v>
                </c:pt>
                <c:pt idx="4">
                  <c:v>382163482.74000001</c:v>
                </c:pt>
                <c:pt idx="5">
                  <c:v>367492501.89999998</c:v>
                </c:pt>
                <c:pt idx="6">
                  <c:v>342644571.99000001</c:v>
                </c:pt>
                <c:pt idx="7">
                  <c:v>338867429.62</c:v>
                </c:pt>
                <c:pt idx="8">
                  <c:v>301503316.94999999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3488"/>
        <c:axId val="1064538592"/>
      </c:line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15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348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1010227231.8099999</c:v>
                </c:pt>
                <c:pt idx="1">
                  <c:v>856891950.07000005</c:v>
                </c:pt>
                <c:pt idx="2">
                  <c:v>999249697.92999995</c:v>
                </c:pt>
                <c:pt idx="3">
                  <c:v>1077535823.6700001</c:v>
                </c:pt>
                <c:pt idx="4">
                  <c:v>1211125892.47</c:v>
                </c:pt>
                <c:pt idx="5">
                  <c:v>1192995024.97</c:v>
                </c:pt>
                <c:pt idx="6">
                  <c:v>1290436299.97</c:v>
                </c:pt>
                <c:pt idx="7">
                  <c:v>1294893910.8199999</c:v>
                </c:pt>
                <c:pt idx="8">
                  <c:v>1136265911.8800001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450140399.02999997</c:v>
                </c:pt>
                <c:pt idx="1">
                  <c:v>263695637.56999999</c:v>
                </c:pt>
                <c:pt idx="2">
                  <c:v>355081999.31</c:v>
                </c:pt>
                <c:pt idx="3">
                  <c:v>418318044.66000003</c:v>
                </c:pt>
                <c:pt idx="4">
                  <c:v>842915365.83000004</c:v>
                </c:pt>
                <c:pt idx="5">
                  <c:v>827278563.88999999</c:v>
                </c:pt>
                <c:pt idx="6">
                  <c:v>830131949.89999998</c:v>
                </c:pt>
                <c:pt idx="7">
                  <c:v>682838899.69000006</c:v>
                </c:pt>
                <c:pt idx="8">
                  <c:v>721111539.17999995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032"/>
        <c:axId val="106454022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44.55833151750366</c:v>
                </c:pt>
                <c:pt idx="1">
                  <c:v>30.773499219879302</c:v>
                </c:pt>
                <c:pt idx="2">
                  <c:v>35.534861811374242</c:v>
                </c:pt>
                <c:pt idx="3">
                  <c:v>38.821729679041439</c:v>
                </c:pt>
                <c:pt idx="4">
                  <c:v>69.597667019647119</c:v>
                </c:pt>
                <c:pt idx="5">
                  <c:v>69.344678441622449</c:v>
                </c:pt>
                <c:pt idx="6">
                  <c:v>64.329556594099131</c:v>
                </c:pt>
                <c:pt idx="7">
                  <c:v>52.733192579273769</c:v>
                </c:pt>
                <c:pt idx="8">
                  <c:v>63.463273133565224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2944"/>
        <c:axId val="1064541856"/>
      </c:lineChart>
      <c:catAx>
        <c:axId val="10645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224"/>
        <c:crosses val="autoZero"/>
        <c:auto val="1"/>
        <c:lblAlgn val="ctr"/>
        <c:lblOffset val="100"/>
        <c:noMultiLvlLbl val="0"/>
      </c:catAx>
      <c:valAx>
        <c:axId val="10645402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032"/>
        <c:crosses val="autoZero"/>
        <c:crossBetween val="between"/>
      </c:valAx>
      <c:valAx>
        <c:axId val="1064541856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944"/>
        <c:crosses val="max"/>
        <c:crossBetween val="between"/>
      </c:valAx>
      <c:catAx>
        <c:axId val="10645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1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56446087321896E-2"/>
          <c:y val="2.3250443121284558E-2"/>
          <c:w val="0.84408841817991997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804199312697046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126214145886442E-4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Conto_economico!$C$28:$K$28</c:f>
              <c:numCache>
                <c:formatCode>#,##0</c:formatCode>
                <c:ptCount val="9"/>
                <c:pt idx="0">
                  <c:v>-28588561.550000098</c:v>
                </c:pt>
                <c:pt idx="1">
                  <c:v>-187162071.20000008</c:v>
                </c:pt>
                <c:pt idx="2">
                  <c:v>-263072726.25000009</c:v>
                </c:pt>
                <c:pt idx="3">
                  <c:v>-71112550.889999807</c:v>
                </c:pt>
                <c:pt idx="4">
                  <c:v>-323591280.96999985</c:v>
                </c:pt>
                <c:pt idx="5">
                  <c:v>23902994.289999954</c:v>
                </c:pt>
                <c:pt idx="6">
                  <c:v>131943716.08999994</c:v>
                </c:pt>
                <c:pt idx="7">
                  <c:v>79807530.910000116</c:v>
                </c:pt>
                <c:pt idx="8">
                  <c:v>94627197.960000038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1168"/>
        <c:axId val="1657868592"/>
      </c:barChart>
      <c:catAx>
        <c:axId val="144637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57868592"/>
        <c:crosses val="autoZero"/>
        <c:auto val="1"/>
        <c:lblAlgn val="ctr"/>
        <c:lblOffset val="100"/>
        <c:noMultiLvlLbl val="0"/>
      </c:catAx>
      <c:valAx>
        <c:axId val="1657868592"/>
        <c:scaling>
          <c:orientation val="minMax"/>
          <c:max val="140000000"/>
          <c:min val="-350000000"/>
        </c:scaling>
        <c:delete val="1"/>
        <c:axPos val="b"/>
        <c:numFmt formatCode="#,##0" sourceLinked="1"/>
        <c:majorTickMark val="out"/>
        <c:minorTickMark val="none"/>
        <c:tickLblPos val="nextTo"/>
        <c:crossAx val="1446371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318469591.14999998</c:v>
                </c:pt>
                <c:pt idx="1">
                  <c:v>318709814.89999998</c:v>
                </c:pt>
                <c:pt idx="2">
                  <c:v>311736541.04000002</c:v>
                </c:pt>
                <c:pt idx="3">
                  <c:v>301050386.68000001</c:v>
                </c:pt>
                <c:pt idx="4">
                  <c:v>344943512.42000002</c:v>
                </c:pt>
                <c:pt idx="5">
                  <c:v>298832788.01999998</c:v>
                </c:pt>
                <c:pt idx="6">
                  <c:v>231488241.11000001</c:v>
                </c:pt>
                <c:pt idx="7">
                  <c:v>212364706.72999999</c:v>
                </c:pt>
                <c:pt idx="8">
                  <c:v>194040630.97999999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131654114.65000001</c:v>
                </c:pt>
                <c:pt idx="1">
                  <c:v>193616627.25</c:v>
                </c:pt>
                <c:pt idx="2">
                  <c:v>189262323.25999999</c:v>
                </c:pt>
                <c:pt idx="3">
                  <c:v>174372489.47</c:v>
                </c:pt>
                <c:pt idx="4">
                  <c:v>163652580.40000001</c:v>
                </c:pt>
                <c:pt idx="5">
                  <c:v>150710313.13</c:v>
                </c:pt>
                <c:pt idx="6">
                  <c:v>169323127.84</c:v>
                </c:pt>
                <c:pt idx="7">
                  <c:v>174854762.06</c:v>
                </c:pt>
                <c:pt idx="8">
                  <c:v>164460678.31999999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26691170.670000002</c:v>
                </c:pt>
                <c:pt idx="1">
                  <c:v>27831110.260000002</c:v>
                </c:pt>
                <c:pt idx="2">
                  <c:v>26199773.489999998</c:v>
                </c:pt>
                <c:pt idx="3">
                  <c:v>24208553.73</c:v>
                </c:pt>
                <c:pt idx="4">
                  <c:v>20782854.379999999</c:v>
                </c:pt>
                <c:pt idx="5">
                  <c:v>56839013.229999997</c:v>
                </c:pt>
                <c:pt idx="6">
                  <c:v>73040040.379999995</c:v>
                </c:pt>
                <c:pt idx="7">
                  <c:v>58180374.539999999</c:v>
                </c:pt>
                <c:pt idx="8">
                  <c:v>41547749.689999998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190037211.16999999</c:v>
                </c:pt>
                <c:pt idx="1">
                  <c:v>175657710.33000001</c:v>
                </c:pt>
                <c:pt idx="2">
                  <c:v>130963164.98</c:v>
                </c:pt>
                <c:pt idx="3">
                  <c:v>131883833.56</c:v>
                </c:pt>
                <c:pt idx="4">
                  <c:v>114929495.23999999</c:v>
                </c:pt>
                <c:pt idx="5">
                  <c:v>108749208.43000001</c:v>
                </c:pt>
                <c:pt idx="6">
                  <c:v>98886293.430000007</c:v>
                </c:pt>
                <c:pt idx="7">
                  <c:v>105311720.45999999</c:v>
                </c:pt>
                <c:pt idx="8">
                  <c:v>94522169.260000005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1004240"/>
        <c:axId val="1661004784"/>
      </c:barChart>
      <c:catAx>
        <c:axId val="166100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1004784"/>
        <c:crosses val="autoZero"/>
        <c:auto val="1"/>
        <c:lblAlgn val="ctr"/>
        <c:lblOffset val="100"/>
        <c:noMultiLvlLbl val="0"/>
      </c:catAx>
      <c:valAx>
        <c:axId val="1661004784"/>
        <c:scaling>
          <c:orientation val="minMax"/>
          <c:max val="7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1004240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97613952862563"/>
          <c:y val="0.84599970688943071"/>
          <c:w val="0.85626665112124567"/>
          <c:h val="0.13369572458265053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11676298678624E-2"/>
          <c:y val="1.2121212121212118E-2"/>
          <c:w val="0.88928289773637448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981140841.50999999</c:v>
                </c:pt>
                <c:pt idx="1">
                  <c:v>1028176083.51</c:v>
                </c:pt>
                <c:pt idx="2">
                  <c:v>472672678.88</c:v>
                </c:pt>
                <c:pt idx="3">
                  <c:v>84717182.349999994</c:v>
                </c:pt>
                <c:pt idx="4">
                  <c:v>119597078.13</c:v>
                </c:pt>
                <c:pt idx="5">
                  <c:v>119597078.13</c:v>
                </c:pt>
                <c:pt idx="6">
                  <c:v>119597078.13</c:v>
                </c:pt>
                <c:pt idx="7">
                  <c:v>119597078.13</c:v>
                </c:pt>
                <c:pt idx="8">
                  <c:v>119597078.13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188417294.44</c:v>
                </c:pt>
                <c:pt idx="1">
                  <c:v>353883073.83999997</c:v>
                </c:pt>
                <c:pt idx="2">
                  <c:v>770334491.27999997</c:v>
                </c:pt>
                <c:pt idx="3">
                  <c:v>892271711.19000006</c:v>
                </c:pt>
                <c:pt idx="4">
                  <c:v>788327302.64999998</c:v>
                </c:pt>
                <c:pt idx="5">
                  <c:v>1005104546.6799999</c:v>
                </c:pt>
                <c:pt idx="6">
                  <c:v>1005816850.58</c:v>
                </c:pt>
                <c:pt idx="7">
                  <c:v>985866326.11000001</c:v>
                </c:pt>
                <c:pt idx="8">
                  <c:v>970895374.38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-187162071.19999999</c:v>
                </c:pt>
                <c:pt idx="2">
                  <c:v>-263072726.25</c:v>
                </c:pt>
                <c:pt idx="3">
                  <c:v>-71112550.890000001</c:v>
                </c:pt>
                <c:pt idx="4">
                  <c:v>-323591280.97000003</c:v>
                </c:pt>
                <c:pt idx="5">
                  <c:v>23902994.289999999</c:v>
                </c:pt>
                <c:pt idx="6">
                  <c:v>131943716.09</c:v>
                </c:pt>
                <c:pt idx="7">
                  <c:v>79807530.909999996</c:v>
                </c:pt>
                <c:pt idx="8">
                  <c:v>94627197.959999993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-540131075.83000004</c:v>
                </c:pt>
                <c:pt idx="6">
                  <c:v>-489928141.74000001</c:v>
                </c:pt>
                <c:pt idx="7">
                  <c:v>-325928412.94</c:v>
                </c:pt>
                <c:pt idx="8">
                  <c:v>-210721349.59999999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1001520"/>
        <c:axId val="1661002064"/>
      </c:barChart>
      <c:catAx>
        <c:axId val="166100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1002064"/>
        <c:crosses val="autoZero"/>
        <c:auto val="1"/>
        <c:lblAlgn val="ctr"/>
        <c:lblOffset val="100"/>
        <c:noMultiLvlLbl val="0"/>
      </c:catAx>
      <c:valAx>
        <c:axId val="1661002064"/>
        <c:scaling>
          <c:orientation val="minMax"/>
          <c:max val="1800000000"/>
          <c:min val="-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661001520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1220137110405632E-3"/>
          <c:y val="0.9109152091862367"/>
          <c:w val="0.97742509340944772"/>
          <c:h val="7.1563984856689231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27E-2"/>
          <c:w val="0.912266379073745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52.63</c:v>
                </c:pt>
                <c:pt idx="1">
                  <c:v>47.23</c:v>
                </c:pt>
                <c:pt idx="2">
                  <c:v>40.89</c:v>
                </c:pt>
                <c:pt idx="3">
                  <c:v>33.47</c:v>
                </c:pt>
                <c:pt idx="4">
                  <c:v>33.39</c:v>
                </c:pt>
                <c:pt idx="5">
                  <c:v>29.95</c:v>
                </c:pt>
                <c:pt idx="6">
                  <c:v>26.13</c:v>
                </c:pt>
                <c:pt idx="7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55.49029873910564</c:v>
                </c:pt>
                <c:pt idx="1">
                  <c:v>57.821852492901712</c:v>
                </c:pt>
                <c:pt idx="2">
                  <c:v>56.480584996300344</c:v>
                </c:pt>
                <c:pt idx="3">
                  <c:v>55.613549803927334</c:v>
                </c:pt>
                <c:pt idx="4">
                  <c:v>56.298836698900701</c:v>
                </c:pt>
                <c:pt idx="5">
                  <c:v>54.456412667017673</c:v>
                </c:pt>
                <c:pt idx="6">
                  <c:v>53.367260255334713</c:v>
                </c:pt>
                <c:pt idx="7">
                  <c:v>59.547344727623887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44.839527930198351</c:v>
                </c:pt>
                <c:pt idx="1">
                  <c:v>53.717413053151311</c:v>
                </c:pt>
                <c:pt idx="2">
                  <c:v>53.070852789532616</c:v>
                </c:pt>
                <c:pt idx="3">
                  <c:v>51.093949867545895</c:v>
                </c:pt>
                <c:pt idx="4">
                  <c:v>52.286852204308957</c:v>
                </c:pt>
                <c:pt idx="5">
                  <c:v>48.91857063335565</c:v>
                </c:pt>
                <c:pt idx="6">
                  <c:v>41.659411643653215</c:v>
                </c:pt>
                <c:pt idx="7">
                  <c:v>53.54045292898433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002608"/>
        <c:axId val="1661003152"/>
      </c:lineChart>
      <c:catAx>
        <c:axId val="166100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1003152"/>
        <c:crosses val="autoZero"/>
        <c:auto val="1"/>
        <c:lblAlgn val="ctr"/>
        <c:lblOffset val="100"/>
        <c:noMultiLvlLbl val="0"/>
      </c:catAx>
      <c:valAx>
        <c:axId val="1661003152"/>
        <c:scaling>
          <c:orientation val="minMax"/>
          <c:max val="6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100260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77"/>
          <c:w val="0.96177967444791435"/>
          <c:h val="0.1795680460155256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57635636955097E-2"/>
          <c:y val="4.1350142172088787E-2"/>
          <c:w val="0.920605408905385"/>
          <c:h val="0.68592167866292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5.244613091204771</c:v>
                </c:pt>
                <c:pt idx="1">
                  <c:v>4.0439457690509588</c:v>
                </c:pt>
                <c:pt idx="2">
                  <c:v>3.5943223443223449</c:v>
                </c:pt>
                <c:pt idx="3">
                  <c:v>3.5271687321258343</c:v>
                </c:pt>
                <c:pt idx="4">
                  <c:v>3.2319618366129994</c:v>
                </c:pt>
                <c:pt idx="5">
                  <c:v>3.2030264817150065</c:v>
                </c:pt>
                <c:pt idx="6">
                  <c:v>4.2225908611069212</c:v>
                </c:pt>
                <c:pt idx="7">
                  <c:v>3.9810800157666533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21.398563490987939</c:v>
                </c:pt>
                <c:pt idx="1">
                  <c:v>13.581112669471715</c:v>
                </c:pt>
                <c:pt idx="2">
                  <c:v>11.687271062271064</c:v>
                </c:pt>
                <c:pt idx="3">
                  <c:v>11.761201143946614</c:v>
                </c:pt>
                <c:pt idx="4">
                  <c:v>12.379248658318428</c:v>
                </c:pt>
                <c:pt idx="5">
                  <c:v>11.89155107187894</c:v>
                </c:pt>
                <c:pt idx="6">
                  <c:v>16.64907253807872</c:v>
                </c:pt>
                <c:pt idx="7">
                  <c:v>17.198791223229538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15.124000542078875</c:v>
                </c:pt>
                <c:pt idx="1">
                  <c:v>11.302010285179991</c:v>
                </c:pt>
                <c:pt idx="2">
                  <c:v>12.969322344322345</c:v>
                </c:pt>
                <c:pt idx="3">
                  <c:v>12.976644423260247</c:v>
                </c:pt>
                <c:pt idx="4">
                  <c:v>13.035181872391174</c:v>
                </c:pt>
                <c:pt idx="5">
                  <c:v>13.694829760403533</c:v>
                </c:pt>
                <c:pt idx="6">
                  <c:v>18.820690695219426</c:v>
                </c:pt>
                <c:pt idx="7">
                  <c:v>26.304033635527524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6.5727063287708356</c:v>
                </c:pt>
                <c:pt idx="1">
                  <c:v>4.2426367461430576</c:v>
                </c:pt>
                <c:pt idx="2">
                  <c:v>4.4413919413919416</c:v>
                </c:pt>
                <c:pt idx="3">
                  <c:v>3.956148713060057</c:v>
                </c:pt>
                <c:pt idx="4">
                  <c:v>4.9850924269528916</c:v>
                </c:pt>
                <c:pt idx="5">
                  <c:v>7.7805800756620425</c:v>
                </c:pt>
                <c:pt idx="6">
                  <c:v>8.897602171618157</c:v>
                </c:pt>
                <c:pt idx="7">
                  <c:v>11.260018394429117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1003696"/>
        <c:axId val="1012865216"/>
      </c:barChart>
      <c:catAx>
        <c:axId val="16610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012865216"/>
        <c:crosses val="autoZero"/>
        <c:auto val="1"/>
        <c:lblAlgn val="ctr"/>
        <c:lblOffset val="100"/>
        <c:noMultiLvlLbl val="0"/>
      </c:catAx>
      <c:valAx>
        <c:axId val="1012865216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100369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5561111111111163"/>
          <c:h val="0.1355127579508450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822960</xdr:colOff>
      <xdr:row>0</xdr:row>
      <xdr:rowOff>102870</xdr:rowOff>
    </xdr:from>
    <xdr:to>
      <xdr:col>17</xdr:col>
      <xdr:colOff>419100</xdr:colOff>
      <xdr:row>18</xdr:row>
      <xdr:rowOff>129540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102</xdr:row>
      <xdr:rowOff>95250</xdr:rowOff>
    </xdr:from>
    <xdr:to>
      <xdr:col>20</xdr:col>
      <xdr:colOff>586740</xdr:colOff>
      <xdr:row>122</xdr:row>
      <xdr:rowOff>83820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1228724</xdr:colOff>
      <xdr:row>24</xdr:row>
      <xdr:rowOff>9525</xdr:rowOff>
    </xdr:from>
    <xdr:to>
      <xdr:col>13</xdr:col>
      <xdr:colOff>304800</xdr:colOff>
      <xdr:row>47</xdr:row>
      <xdr:rowOff>9525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14</xdr:col>
      <xdr:colOff>504825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396241</xdr:colOff>
      <xdr:row>31</xdr:row>
      <xdr:rowOff>125729</xdr:rowOff>
    </xdr:from>
    <xdr:to>
      <xdr:col>12</xdr:col>
      <xdr:colOff>396241</xdr:colOff>
      <xdr:row>48</xdr:row>
      <xdr:rowOff>173354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5</xdr:col>
      <xdr:colOff>640081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85724</xdr:rowOff>
    </xdr:from>
    <xdr:to>
      <xdr:col>7</xdr:col>
      <xdr:colOff>441960</xdr:colOff>
      <xdr:row>76</xdr:row>
      <xdr:rowOff>45719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11</xdr:col>
      <xdr:colOff>312420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12" activePane="bottomRight" state="frozen"/>
      <selection pane="topRight" activeCell="B1" sqref="B1"/>
      <selection pane="bottomLeft" activeCell="A3" sqref="A3"/>
      <selection pane="bottomRight" activeCell="X32" sqref="X32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32">
        <v>2016</v>
      </c>
      <c r="C1" s="132"/>
      <c r="D1" s="133"/>
      <c r="E1" s="134">
        <v>2017</v>
      </c>
      <c r="F1" s="132"/>
      <c r="G1" s="133"/>
      <c r="H1" s="134">
        <v>2018</v>
      </c>
      <c r="I1" s="132"/>
      <c r="J1" s="133"/>
      <c r="K1" s="134">
        <v>2019</v>
      </c>
      <c r="L1" s="132"/>
      <c r="M1" s="133"/>
      <c r="N1" s="134">
        <v>2020</v>
      </c>
      <c r="O1" s="132"/>
      <c r="P1" s="133"/>
      <c r="Q1" s="134">
        <v>2021</v>
      </c>
      <c r="R1" s="132"/>
      <c r="S1" s="133"/>
      <c r="T1" s="134">
        <v>2022</v>
      </c>
      <c r="U1" s="132"/>
      <c r="V1" s="133"/>
      <c r="W1" s="134">
        <v>2023</v>
      </c>
      <c r="X1" s="132"/>
      <c r="Y1" s="133"/>
      <c r="Z1" s="131" t="s">
        <v>233</v>
      </c>
      <c r="AA1" s="131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99" t="s">
        <v>74</v>
      </c>
      <c r="J2" s="18" t="s">
        <v>234</v>
      </c>
      <c r="K2" s="23" t="s">
        <v>73</v>
      </c>
      <c r="L2" s="99" t="s">
        <v>74</v>
      </c>
      <c r="M2" s="18" t="s">
        <v>234</v>
      </c>
      <c r="N2" s="23" t="s">
        <v>73</v>
      </c>
      <c r="O2" s="99" t="s">
        <v>74</v>
      </c>
      <c r="P2" s="18" t="s">
        <v>234</v>
      </c>
      <c r="Q2" s="23" t="s">
        <v>73</v>
      </c>
      <c r="R2" s="99" t="s">
        <v>74</v>
      </c>
      <c r="S2" s="18" t="s">
        <v>234</v>
      </c>
      <c r="T2" s="23" t="s">
        <v>73</v>
      </c>
      <c r="U2" s="99" t="s">
        <v>74</v>
      </c>
      <c r="V2" s="18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488315593.11000001</v>
      </c>
      <c r="C3" s="28">
        <v>332852644.94</v>
      </c>
      <c r="D3" s="20">
        <f>IF(B3&gt;0,C3/B3*100,"-")</f>
        <v>68.163427430223436</v>
      </c>
      <c r="E3" s="28">
        <v>521394762.99000001</v>
      </c>
      <c r="F3" s="28">
        <v>329350413.49000001</v>
      </c>
      <c r="G3" s="20">
        <f>IF(E3&gt;0,F3/E3*100,"-")</f>
        <v>63.167188638662395</v>
      </c>
      <c r="H3" s="19">
        <v>533226756.99000001</v>
      </c>
      <c r="I3" s="19">
        <v>327172815.27999997</v>
      </c>
      <c r="J3" s="20">
        <f>IF(H3&gt;0,I3/H3*100,"-")</f>
        <v>61.357163906562121</v>
      </c>
      <c r="K3" s="19">
        <v>590101479.75999999</v>
      </c>
      <c r="L3" s="19">
        <v>328114055.38999999</v>
      </c>
      <c r="M3" s="20">
        <f>IF(K3&gt;0,L3/K3*100,"-")</f>
        <v>55.602988069687129</v>
      </c>
      <c r="N3" s="19">
        <v>512428897.95999998</v>
      </c>
      <c r="O3" s="19">
        <v>314375224.83999997</v>
      </c>
      <c r="P3" s="20">
        <f>IF(N3&gt;0,O3/N3*100,"-")</f>
        <v>61.350018722898014</v>
      </c>
      <c r="Q3" s="19">
        <v>528199467.57999998</v>
      </c>
      <c r="R3" s="19">
        <v>270857264.51999998</v>
      </c>
      <c r="S3" s="20">
        <f>IF(Q3&gt;0,R3/Q3*100,"-")</f>
        <v>51.279352052541874</v>
      </c>
      <c r="T3" s="19">
        <v>463584468.86000001</v>
      </c>
      <c r="U3" s="19">
        <v>170479092.86000001</v>
      </c>
      <c r="V3" s="20">
        <f>IF(T3&gt;0,U3/T3*100,"-")</f>
        <v>36.774116544332244</v>
      </c>
      <c r="W3" s="19">
        <v>479160318.48000002</v>
      </c>
      <c r="X3" s="19">
        <v>315032306.39999998</v>
      </c>
      <c r="Y3" s="20">
        <f>IF(W3&gt;0,X3/W3*100,"-")</f>
        <v>65.746743678472882</v>
      </c>
      <c r="Z3" s="13">
        <f>IF(T3&gt;0,W3/T3*100-100,"-")</f>
        <v>3.3598730471498612</v>
      </c>
      <c r="AA3" s="13">
        <f>IF(U3&gt;0,X3/U3*100-100,"-")</f>
        <v>84.792340875903903</v>
      </c>
    </row>
    <row r="4" spans="1:27" x14ac:dyDescent="0.3">
      <c r="A4" t="s">
        <v>21</v>
      </c>
      <c r="B4" s="28">
        <v>175541920.53</v>
      </c>
      <c r="C4" s="28">
        <v>163753264.46000001</v>
      </c>
      <c r="D4" s="20">
        <f t="shared" ref="D4:D21" si="0">IF(B4&gt;0,C4/B4*100,"-")</f>
        <v>93.284421160251966</v>
      </c>
      <c r="E4" s="28">
        <v>173813208.58000001</v>
      </c>
      <c r="F4" s="28">
        <v>155607408.31999999</v>
      </c>
      <c r="G4" s="20">
        <f t="shared" ref="G4:G21" si="1">IF(E4&gt;0,F4/E4*100,"-")</f>
        <v>89.52565204409045</v>
      </c>
      <c r="H4" s="19">
        <v>199347816.72999999</v>
      </c>
      <c r="I4" s="19">
        <v>179940660.75999999</v>
      </c>
      <c r="J4" s="20">
        <f t="shared" ref="J4:J13" si="2">IF(H4&gt;0,I4/H4*100,"-")</f>
        <v>90.264675937592344</v>
      </c>
      <c r="K4" s="19">
        <v>164154610.40000001</v>
      </c>
      <c r="L4" s="19">
        <v>141856156.94</v>
      </c>
      <c r="M4" s="20">
        <f t="shared" ref="M4:M13" si="3">IF(K4&gt;0,L4/K4*100,"-")</f>
        <v>86.416188125533139</v>
      </c>
      <c r="N4" s="19">
        <v>285957656.58999997</v>
      </c>
      <c r="O4" s="19">
        <v>238696486.68000001</v>
      </c>
      <c r="P4" s="20">
        <f t="shared" ref="P4:P13" si="4">IF(N4&gt;0,O4/N4*100,"-")</f>
        <v>83.472668480507934</v>
      </c>
      <c r="Q4" s="19">
        <v>376538680.80000001</v>
      </c>
      <c r="R4" s="19">
        <v>273477472.99000001</v>
      </c>
      <c r="S4" s="20">
        <f t="shared" ref="S4:S13" si="5">IF(Q4&gt;0,R4/Q4*100,"-")</f>
        <v>72.629317234809847</v>
      </c>
      <c r="T4" s="19">
        <v>280795467.26999998</v>
      </c>
      <c r="U4" s="19">
        <v>147577857.02000001</v>
      </c>
      <c r="V4" s="20">
        <f t="shared" ref="V4:V13" si="6">IF(T4&gt;0,U4/T4*100,"-")</f>
        <v>52.55706527416838</v>
      </c>
      <c r="W4" s="19">
        <v>276780592.48000002</v>
      </c>
      <c r="X4" s="19">
        <v>200011992.11000001</v>
      </c>
      <c r="Y4" s="20">
        <f t="shared" ref="Y4:Y21" si="7">IF(W4&gt;0,X4/W4*100,"-")</f>
        <v>72.263734360078999</v>
      </c>
      <c r="Z4" s="13">
        <f t="shared" ref="Z4:AA55" si="8">IF(T4&gt;0,W4/T4*100-100,"-")</f>
        <v>-1.4298217948580572</v>
      </c>
      <c r="AA4" s="13">
        <f t="shared" si="8"/>
        <v>35.529811957422623</v>
      </c>
    </row>
    <row r="5" spans="1:27" x14ac:dyDescent="0.3">
      <c r="A5" t="s">
        <v>22</v>
      </c>
      <c r="B5" s="28">
        <v>117314602.13</v>
      </c>
      <c r="C5" s="28">
        <v>35185577.07</v>
      </c>
      <c r="D5" s="20">
        <f t="shared" si="0"/>
        <v>29.992495760254766</v>
      </c>
      <c r="E5" s="28">
        <v>85843476.569999993</v>
      </c>
      <c r="F5" s="28">
        <v>26401226.260000002</v>
      </c>
      <c r="G5" s="20">
        <f t="shared" si="1"/>
        <v>30.755075766848112</v>
      </c>
      <c r="H5" s="19">
        <v>118034880.45</v>
      </c>
      <c r="I5" s="19">
        <v>37910685.729999997</v>
      </c>
      <c r="J5" s="20">
        <f t="shared" si="2"/>
        <v>32.118205724840038</v>
      </c>
      <c r="K5" s="19">
        <v>133716794.63</v>
      </c>
      <c r="L5" s="19">
        <v>32697363.27</v>
      </c>
      <c r="M5" s="20">
        <f t="shared" si="3"/>
        <v>24.45269747938169</v>
      </c>
      <c r="N5" s="19">
        <v>79428067.120000005</v>
      </c>
      <c r="O5" s="19">
        <v>26297051.109999999</v>
      </c>
      <c r="P5" s="20">
        <f t="shared" si="4"/>
        <v>33.108008369724509</v>
      </c>
      <c r="Q5" s="19">
        <v>87255476.769999996</v>
      </c>
      <c r="R5" s="19">
        <v>28833374.07</v>
      </c>
      <c r="S5" s="20">
        <f t="shared" si="5"/>
        <v>33.044772818103993</v>
      </c>
      <c r="T5" s="19">
        <v>171321351.63</v>
      </c>
      <c r="U5" s="19">
        <v>39880804.75</v>
      </c>
      <c r="V5" s="20">
        <f t="shared" si="6"/>
        <v>23.278362195116195</v>
      </c>
      <c r="W5" s="19">
        <v>152052442.13999999</v>
      </c>
      <c r="X5" s="19">
        <v>42292856.920000002</v>
      </c>
      <c r="Y5" s="20">
        <f t="shared" si="7"/>
        <v>27.814651527306278</v>
      </c>
      <c r="Z5" s="13">
        <f t="shared" si="8"/>
        <v>-11.247231770395302</v>
      </c>
      <c r="AA5" s="13">
        <f t="shared" si="8"/>
        <v>6.048153203327729</v>
      </c>
    </row>
    <row r="6" spans="1:27" x14ac:dyDescent="0.3">
      <c r="A6" t="s">
        <v>23</v>
      </c>
      <c r="B6" s="28">
        <v>2122999.6800000002</v>
      </c>
      <c r="C6" s="28">
        <v>2103230.7400000002</v>
      </c>
      <c r="D6" s="20">
        <f t="shared" si="0"/>
        <v>99.068820396619188</v>
      </c>
      <c r="E6" s="28">
        <v>2894462.98</v>
      </c>
      <c r="F6" s="28">
        <v>2854967.08</v>
      </c>
      <c r="G6" s="20">
        <f t="shared" si="1"/>
        <v>98.635467087576984</v>
      </c>
      <c r="H6" s="19">
        <v>2648206.5499999998</v>
      </c>
      <c r="I6" s="19">
        <v>2640657.61</v>
      </c>
      <c r="J6" s="20">
        <f t="shared" si="2"/>
        <v>99.714941419505209</v>
      </c>
      <c r="K6" s="19">
        <v>2707504.16</v>
      </c>
      <c r="L6" s="19">
        <v>2704489.79</v>
      </c>
      <c r="M6" s="20">
        <f t="shared" si="3"/>
        <v>99.888666099039341</v>
      </c>
      <c r="N6" s="19">
        <v>2115980.39</v>
      </c>
      <c r="O6" s="19">
        <v>2114861.17</v>
      </c>
      <c r="P6" s="20">
        <f t="shared" si="4"/>
        <v>99.947106315101522</v>
      </c>
      <c r="Q6" s="19">
        <v>2926780.17</v>
      </c>
      <c r="R6" s="19">
        <v>2899757.2</v>
      </c>
      <c r="S6" s="20">
        <f t="shared" si="5"/>
        <v>99.076699703073373</v>
      </c>
      <c r="T6" s="19">
        <v>2921132.16</v>
      </c>
      <c r="U6" s="19">
        <v>2915210.02</v>
      </c>
      <c r="V6" s="20">
        <f t="shared" si="6"/>
        <v>99.797265591708111</v>
      </c>
      <c r="W6" s="19">
        <v>2347379.85</v>
      </c>
      <c r="X6" s="19">
        <v>2345175.3199999998</v>
      </c>
      <c r="Y6" s="20">
        <f t="shared" si="7"/>
        <v>99.906085502097142</v>
      </c>
      <c r="Z6" s="13">
        <f t="shared" si="8"/>
        <v>-19.641436216292249</v>
      </c>
      <c r="AA6" s="13">
        <f t="shared" si="8"/>
        <v>-19.553812455680301</v>
      </c>
    </row>
    <row r="7" spans="1:27" x14ac:dyDescent="0.3">
      <c r="A7" t="s">
        <v>24</v>
      </c>
      <c r="B7" s="28">
        <v>9342007.1199999992</v>
      </c>
      <c r="C7" s="28">
        <v>2832829.58</v>
      </c>
      <c r="D7" s="20">
        <f t="shared" si="0"/>
        <v>30.323564771592686</v>
      </c>
      <c r="E7" s="28">
        <v>27212351.949999999</v>
      </c>
      <c r="F7" s="28">
        <v>20350106.870000001</v>
      </c>
      <c r="G7" s="20">
        <f t="shared" si="1"/>
        <v>74.782609409841925</v>
      </c>
      <c r="H7" s="19">
        <v>14851314.890000001</v>
      </c>
      <c r="I7" s="19">
        <v>9267711.8499999996</v>
      </c>
      <c r="J7" s="20">
        <f t="shared" si="2"/>
        <v>62.40330851943844</v>
      </c>
      <c r="K7" s="19">
        <v>24815074.960000001</v>
      </c>
      <c r="L7" s="19">
        <v>20912090.09</v>
      </c>
      <c r="M7" s="20">
        <f t="shared" si="3"/>
        <v>84.271718395808534</v>
      </c>
      <c r="N7" s="19">
        <v>21966505.52</v>
      </c>
      <c r="O7" s="19">
        <v>8954715.3900000006</v>
      </c>
      <c r="P7" s="20">
        <f t="shared" si="4"/>
        <v>40.765316002797704</v>
      </c>
      <c r="Q7" s="19">
        <v>18178382.710000001</v>
      </c>
      <c r="R7" s="19">
        <v>10534449.58</v>
      </c>
      <c r="S7" s="20">
        <f t="shared" si="5"/>
        <v>57.950422477380002</v>
      </c>
      <c r="T7" s="19">
        <v>125056194.76000001</v>
      </c>
      <c r="U7" s="19">
        <v>90368924.040000007</v>
      </c>
      <c r="V7" s="20">
        <f t="shared" si="6"/>
        <v>72.262652972474001</v>
      </c>
      <c r="W7" s="19">
        <v>203756845.38</v>
      </c>
      <c r="X7" s="19">
        <v>131612123.94</v>
      </c>
      <c r="Y7" s="20">
        <f t="shared" si="7"/>
        <v>64.592737335792378</v>
      </c>
      <c r="Z7" s="13">
        <f t="shared" si="8"/>
        <v>62.932228804048719</v>
      </c>
      <c r="AA7" s="13">
        <f t="shared" si="8"/>
        <v>45.638697525871294</v>
      </c>
    </row>
    <row r="8" spans="1:27" x14ac:dyDescent="0.3">
      <c r="A8" t="s">
        <v>25</v>
      </c>
      <c r="B8" s="28">
        <v>23804.11</v>
      </c>
      <c r="C8" s="28">
        <v>23804.11</v>
      </c>
      <c r="D8" s="20">
        <f t="shared" si="0"/>
        <v>100</v>
      </c>
      <c r="E8" s="28">
        <v>307.54000000000002</v>
      </c>
      <c r="F8" s="28">
        <v>307.54000000000002</v>
      </c>
      <c r="G8" s="20">
        <f t="shared" si="1"/>
        <v>100</v>
      </c>
      <c r="H8" s="19">
        <v>7056.39</v>
      </c>
      <c r="I8" s="19">
        <v>7056.39</v>
      </c>
      <c r="J8" s="20">
        <f t="shared" si="2"/>
        <v>100</v>
      </c>
      <c r="K8" s="19">
        <v>0</v>
      </c>
      <c r="L8" s="19">
        <v>0</v>
      </c>
      <c r="M8" s="20" t="str">
        <f t="shared" si="3"/>
        <v>-</v>
      </c>
      <c r="N8" s="19">
        <v>590497.87</v>
      </c>
      <c r="O8" s="19">
        <v>590497.87</v>
      </c>
      <c r="P8" s="20">
        <f t="shared" si="4"/>
        <v>100</v>
      </c>
      <c r="Q8" s="19">
        <v>0</v>
      </c>
      <c r="R8" s="19">
        <v>0</v>
      </c>
      <c r="S8" s="20" t="str">
        <f t="shared" si="5"/>
        <v>-</v>
      </c>
      <c r="T8" s="19">
        <v>0</v>
      </c>
      <c r="U8" s="19">
        <v>0</v>
      </c>
      <c r="V8" s="20" t="str">
        <f t="shared" si="6"/>
        <v>-</v>
      </c>
      <c r="W8" s="19">
        <v>0</v>
      </c>
      <c r="X8" s="19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340823.74</v>
      </c>
      <c r="C9" s="28">
        <v>289794.69</v>
      </c>
      <c r="D9" s="20">
        <f t="shared" si="0"/>
        <v>85.027730169265794</v>
      </c>
      <c r="E9" s="28">
        <v>1678547.05</v>
      </c>
      <c r="F9" s="28">
        <v>1402281.91</v>
      </c>
      <c r="G9" s="20">
        <f t="shared" si="1"/>
        <v>83.541412199318444</v>
      </c>
      <c r="H9" s="19">
        <v>1547146.92</v>
      </c>
      <c r="I9" s="19">
        <v>1331116.8899999999</v>
      </c>
      <c r="J9" s="20">
        <f t="shared" si="2"/>
        <v>86.036876833907925</v>
      </c>
      <c r="K9" s="19">
        <v>1420414.26</v>
      </c>
      <c r="L9" s="19">
        <v>951894.18</v>
      </c>
      <c r="M9" s="20">
        <f t="shared" si="3"/>
        <v>67.015250888849849</v>
      </c>
      <c r="N9" s="19">
        <v>1580622.88</v>
      </c>
      <c r="O9" s="19">
        <v>260808.16</v>
      </c>
      <c r="P9" s="20">
        <f t="shared" si="4"/>
        <v>16.500340675822684</v>
      </c>
      <c r="Q9" s="19">
        <v>517350.04</v>
      </c>
      <c r="R9" s="19">
        <v>516424.33</v>
      </c>
      <c r="S9" s="20">
        <f t="shared" si="5"/>
        <v>99.821066989769648</v>
      </c>
      <c r="T9" s="19">
        <v>966758.93</v>
      </c>
      <c r="U9" s="19">
        <v>958389.7</v>
      </c>
      <c r="V9" s="20">
        <f t="shared" si="6"/>
        <v>99.134300212773823</v>
      </c>
      <c r="W9" s="19">
        <v>825369.63</v>
      </c>
      <c r="X9" s="19">
        <v>806341.63</v>
      </c>
      <c r="Y9" s="20">
        <f t="shared" si="7"/>
        <v>97.694608656729955</v>
      </c>
      <c r="Z9" s="13">
        <f t="shared" si="8"/>
        <v>-14.625083421779209</v>
      </c>
      <c r="AA9" s="13">
        <f t="shared" si="8"/>
        <v>-15.864952430102292</v>
      </c>
    </row>
    <row r="10" spans="1:27" x14ac:dyDescent="0.3">
      <c r="A10" t="s">
        <v>27</v>
      </c>
      <c r="B10" s="28">
        <v>10112009.140000001</v>
      </c>
      <c r="C10" s="28">
        <v>8192457.25</v>
      </c>
      <c r="D10" s="20">
        <f t="shared" si="0"/>
        <v>81.017106853603977</v>
      </c>
      <c r="E10" s="28">
        <v>12789376.470000001</v>
      </c>
      <c r="F10" s="28">
        <v>10133370.130000001</v>
      </c>
      <c r="G10" s="20">
        <f t="shared" si="1"/>
        <v>79.232714384237696</v>
      </c>
      <c r="H10" s="19">
        <v>7834491.1399999997</v>
      </c>
      <c r="I10" s="19">
        <v>7765363.8399999999</v>
      </c>
      <c r="J10" s="20">
        <f t="shared" si="2"/>
        <v>99.117654244995421</v>
      </c>
      <c r="K10" s="19">
        <v>10582846.98</v>
      </c>
      <c r="L10" s="19">
        <v>10581452.779999999</v>
      </c>
      <c r="M10" s="20">
        <f t="shared" si="3"/>
        <v>99.986825851279576</v>
      </c>
      <c r="N10" s="19">
        <v>7818508.7800000003</v>
      </c>
      <c r="O10" s="19">
        <v>7818508.7800000003</v>
      </c>
      <c r="P10" s="20">
        <f t="shared" si="4"/>
        <v>100</v>
      </c>
      <c r="Q10" s="19">
        <v>8892980.9199999999</v>
      </c>
      <c r="R10" s="19">
        <v>8892683.5600000005</v>
      </c>
      <c r="S10" s="20">
        <f t="shared" si="5"/>
        <v>99.996656239311946</v>
      </c>
      <c r="T10" s="19">
        <v>9917945.1799999997</v>
      </c>
      <c r="U10" s="19">
        <v>9917945.1799999997</v>
      </c>
      <c r="V10" s="20">
        <f t="shared" si="6"/>
        <v>100</v>
      </c>
      <c r="W10" s="19">
        <v>9394011.7200000007</v>
      </c>
      <c r="X10" s="19">
        <v>9362174.0899999999</v>
      </c>
      <c r="Y10" s="20">
        <f t="shared" si="7"/>
        <v>99.66108590292454</v>
      </c>
      <c r="Z10" s="13">
        <f t="shared" si="8"/>
        <v>-5.2826815483567628</v>
      </c>
      <c r="AA10" s="13">
        <f t="shared" si="8"/>
        <v>-5.6036918929612369</v>
      </c>
    </row>
    <row r="11" spans="1:27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0</v>
      </c>
      <c r="F11" s="28">
        <v>0</v>
      </c>
      <c r="G11" s="20" t="str">
        <f t="shared" si="1"/>
        <v>-</v>
      </c>
      <c r="H11" s="19">
        <v>0</v>
      </c>
      <c r="I11" s="19">
        <v>0</v>
      </c>
      <c r="J11" s="20" t="str">
        <f t="shared" si="2"/>
        <v>-</v>
      </c>
      <c r="K11" s="19">
        <v>0</v>
      </c>
      <c r="L11" s="19">
        <v>0</v>
      </c>
      <c r="M11" s="20" t="str">
        <f t="shared" si="3"/>
        <v>-</v>
      </c>
      <c r="N11" s="19">
        <v>0</v>
      </c>
      <c r="O11" s="19">
        <v>0</v>
      </c>
      <c r="P11" s="20" t="str">
        <f t="shared" si="4"/>
        <v>-</v>
      </c>
      <c r="Q11" s="19">
        <v>2080</v>
      </c>
      <c r="R11" s="19">
        <v>2080</v>
      </c>
      <c r="S11" s="20">
        <f t="shared" si="5"/>
        <v>100</v>
      </c>
      <c r="T11" s="19">
        <v>0</v>
      </c>
      <c r="U11" s="19">
        <v>0</v>
      </c>
      <c r="V11" s="20" t="str">
        <f t="shared" si="6"/>
        <v>-</v>
      </c>
      <c r="W11" s="19">
        <v>0</v>
      </c>
      <c r="X11" s="19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19">
        <v>0</v>
      </c>
      <c r="I12" s="19">
        <v>0</v>
      </c>
      <c r="J12" s="20" t="str">
        <f t="shared" si="2"/>
        <v>-</v>
      </c>
      <c r="K12" s="19">
        <v>0</v>
      </c>
      <c r="L12" s="19">
        <v>0</v>
      </c>
      <c r="M12" s="20" t="str">
        <f t="shared" si="3"/>
        <v>-</v>
      </c>
      <c r="N12" s="19">
        <v>0</v>
      </c>
      <c r="O12" s="19">
        <v>0</v>
      </c>
      <c r="P12" s="20" t="str">
        <f t="shared" si="4"/>
        <v>-</v>
      </c>
      <c r="Q12" s="19">
        <v>0</v>
      </c>
      <c r="R12" s="19">
        <v>0</v>
      </c>
      <c r="S12" s="20" t="str">
        <f t="shared" si="5"/>
        <v>-</v>
      </c>
      <c r="T12" s="19">
        <v>0</v>
      </c>
      <c r="U12" s="19">
        <v>0</v>
      </c>
      <c r="V12" s="20" t="str">
        <f t="shared" si="6"/>
        <v>-</v>
      </c>
      <c r="W12" s="19">
        <v>0</v>
      </c>
      <c r="X12" s="19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9528974.1300000008</v>
      </c>
      <c r="C13" s="28">
        <v>0</v>
      </c>
      <c r="D13" s="20">
        <f t="shared" si="0"/>
        <v>0</v>
      </c>
      <c r="E13" s="28">
        <v>12945987.640000001</v>
      </c>
      <c r="F13" s="28">
        <v>0</v>
      </c>
      <c r="G13" s="20">
        <f t="shared" si="1"/>
        <v>0</v>
      </c>
      <c r="H13" s="19">
        <v>0</v>
      </c>
      <c r="I13" s="19">
        <v>0</v>
      </c>
      <c r="J13" s="20" t="str">
        <f t="shared" si="2"/>
        <v>-</v>
      </c>
      <c r="K13" s="19">
        <v>0</v>
      </c>
      <c r="L13" s="19">
        <v>0</v>
      </c>
      <c r="M13" s="20" t="str">
        <f t="shared" si="3"/>
        <v>-</v>
      </c>
      <c r="N13" s="19">
        <v>0</v>
      </c>
      <c r="O13" s="19">
        <v>0</v>
      </c>
      <c r="P13" s="20" t="str">
        <f t="shared" si="4"/>
        <v>-</v>
      </c>
      <c r="Q13" s="19">
        <v>0</v>
      </c>
      <c r="R13" s="19">
        <v>0</v>
      </c>
      <c r="S13" s="20" t="str">
        <f t="shared" si="5"/>
        <v>-</v>
      </c>
      <c r="T13" s="19">
        <v>0</v>
      </c>
      <c r="U13" s="19">
        <v>0</v>
      </c>
      <c r="V13" s="20" t="str">
        <f t="shared" si="6"/>
        <v>-</v>
      </c>
      <c r="W13" s="19">
        <v>0</v>
      </c>
      <c r="X13" s="19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781172115.76999998</v>
      </c>
      <c r="C14" s="28">
        <f t="shared" si="9"/>
        <v>531791486.46999997</v>
      </c>
      <c r="D14" s="20">
        <f>IF(B14&gt;0,C14/B14*100,"-")</f>
        <v>68.076096897777006</v>
      </c>
      <c r="E14" s="28">
        <f t="shared" ref="E14:F14" si="10">SUM(E3:E5)</f>
        <v>781051448.1400001</v>
      </c>
      <c r="F14" s="28">
        <f t="shared" si="10"/>
        <v>511359048.06999999</v>
      </c>
      <c r="G14" s="20">
        <f>IF(E14&gt;0,F14/E14*100,"-")</f>
        <v>65.470597268304545</v>
      </c>
      <c r="H14" s="19">
        <f t="shared" ref="H14:I14" si="11">SUM(H3:H5)</f>
        <v>850609454.17000008</v>
      </c>
      <c r="I14" s="19">
        <f t="shared" si="11"/>
        <v>545024161.76999998</v>
      </c>
      <c r="J14" s="20">
        <f>IF(H14&gt;0,I14/H14*100,"-")</f>
        <v>64.074547854845875</v>
      </c>
      <c r="K14" s="19">
        <f t="shared" ref="K14:L14" si="12">SUM(K3:K5)</f>
        <v>887972884.78999996</v>
      </c>
      <c r="L14" s="19">
        <f t="shared" si="12"/>
        <v>502667575.59999996</v>
      </c>
      <c r="M14" s="20">
        <f>IF(K14&gt;0,L14/K14*100,"-")</f>
        <v>56.608437510890631</v>
      </c>
      <c r="N14" s="19">
        <f t="shared" ref="N14:O14" si="13">SUM(N3:N5)</f>
        <v>877814621.66999996</v>
      </c>
      <c r="O14" s="19">
        <f t="shared" si="13"/>
        <v>579368762.63</v>
      </c>
      <c r="P14" s="20">
        <f>IF(N14&gt;0,O14/N14*100,"-")</f>
        <v>66.001265908259626</v>
      </c>
      <c r="Q14" s="19">
        <f t="shared" ref="Q14:R14" si="14">SUM(Q3:Q5)</f>
        <v>991993625.14999998</v>
      </c>
      <c r="R14" s="19">
        <f t="shared" si="14"/>
        <v>573168111.58000004</v>
      </c>
      <c r="S14" s="20">
        <f>IF(Q14&gt;0,R14/Q14*100,"-")</f>
        <v>57.779414811595274</v>
      </c>
      <c r="T14" s="19">
        <f t="shared" ref="T14:U14" si="15">SUM(T3:T5)</f>
        <v>915701287.75999999</v>
      </c>
      <c r="U14" s="19">
        <f t="shared" si="15"/>
        <v>357937754.63</v>
      </c>
      <c r="V14" s="20">
        <f>IF(T14&gt;0,U14/T14*100,"-")</f>
        <v>39.088921181446828</v>
      </c>
      <c r="W14" s="19">
        <f t="shared" ref="W14:X14" si="16">SUM(W3:W5)</f>
        <v>907993353.10000002</v>
      </c>
      <c r="X14" s="19">
        <f t="shared" si="16"/>
        <v>557337155.42999995</v>
      </c>
      <c r="Y14" s="20">
        <f>IF(W14&gt;0,X14/W14*100,"-")</f>
        <v>61.381193323407366</v>
      </c>
      <c r="Z14" s="13">
        <f t="shared" si="8"/>
        <v>-0.8417520825874476</v>
      </c>
      <c r="AA14" s="13">
        <f t="shared" si="8"/>
        <v>55.707842556625252</v>
      </c>
    </row>
    <row r="15" spans="1:27" x14ac:dyDescent="0.3">
      <c r="A15" t="s">
        <v>32</v>
      </c>
      <c r="B15" s="27">
        <f t="shared" ref="B15:C15" si="17">SUM(B6:B10)</f>
        <v>21941643.789999999</v>
      </c>
      <c r="C15" s="27">
        <f t="shared" si="17"/>
        <v>13442116.370000001</v>
      </c>
      <c r="D15" s="20">
        <f>IF(B15&gt;0,C15/B15*100,"-")</f>
        <v>61.263032517765623</v>
      </c>
      <c r="E15" s="27">
        <f t="shared" ref="E15:F15" si="18">SUM(E6:E10)</f>
        <v>44575045.990000002</v>
      </c>
      <c r="F15" s="27">
        <f t="shared" si="18"/>
        <v>34741033.530000001</v>
      </c>
      <c r="G15" s="20">
        <f>IF(E15&gt;0,F15/E15*100,"-")</f>
        <v>77.938301034605388</v>
      </c>
      <c r="H15" s="102">
        <f t="shared" ref="H15:I15" si="19">SUM(H6:H10)</f>
        <v>26888215.890000001</v>
      </c>
      <c r="I15" s="102">
        <f t="shared" si="19"/>
        <v>21011906.579999998</v>
      </c>
      <c r="J15" s="20">
        <f>IF(H15&gt;0,I15/H15*100,"-")</f>
        <v>78.145410115568652</v>
      </c>
      <c r="K15" s="102">
        <f t="shared" ref="K15:L15" si="20">SUM(K6:K10)</f>
        <v>39525840.359999999</v>
      </c>
      <c r="L15" s="102">
        <f t="shared" si="20"/>
        <v>35149926.839999996</v>
      </c>
      <c r="M15" s="20">
        <f>IF(K15&gt;0,L15/K15*100,"-")</f>
        <v>88.928980433700261</v>
      </c>
      <c r="N15" s="102">
        <f t="shared" ref="N15:O15" si="21">SUM(N6:N10)</f>
        <v>34072115.439999998</v>
      </c>
      <c r="O15" s="102">
        <f t="shared" si="21"/>
        <v>19739391.370000001</v>
      </c>
      <c r="P15" s="20">
        <f>IF(N15&gt;0,O15/N15*100,"-")</f>
        <v>57.934152649724659</v>
      </c>
      <c r="Q15" s="102">
        <f t="shared" ref="Q15:R15" si="22">SUM(Q6:Q10)</f>
        <v>30515493.840000004</v>
      </c>
      <c r="R15" s="102">
        <f t="shared" si="22"/>
        <v>22843314.670000002</v>
      </c>
      <c r="S15" s="20">
        <f>IF(Q15&gt;0,R15/Q15*100,"-")</f>
        <v>74.858086157061507</v>
      </c>
      <c r="T15" s="102">
        <f t="shared" ref="T15:U15" si="23">SUM(T6:T10)</f>
        <v>138862031.03</v>
      </c>
      <c r="U15" s="102">
        <f t="shared" si="23"/>
        <v>104160468.94</v>
      </c>
      <c r="V15" s="20">
        <f>IF(T15&gt;0,U15/T15*100,"-")</f>
        <v>75.010042822646739</v>
      </c>
      <c r="W15" s="102">
        <f t="shared" ref="W15:X15" si="24">SUM(W6:W10)</f>
        <v>216323606.57999998</v>
      </c>
      <c r="X15" s="102">
        <f t="shared" si="24"/>
        <v>144125814.97999999</v>
      </c>
      <c r="Y15" s="20">
        <f>IF(W15&gt;0,X15/W15*100,"-")</f>
        <v>66.625098045737289</v>
      </c>
      <c r="Z15" s="13">
        <f t="shared" si="8"/>
        <v>55.783121545489308</v>
      </c>
      <c r="AA15" s="13">
        <f t="shared" si="8"/>
        <v>38.369015084812446</v>
      </c>
    </row>
    <row r="16" spans="1:27" x14ac:dyDescent="0.3">
      <c r="A16" t="s">
        <v>33</v>
      </c>
      <c r="B16" s="28">
        <f t="shared" ref="B16:C16" si="25">SUM(B11:B13)</f>
        <v>9528974.1300000008</v>
      </c>
      <c r="C16" s="28">
        <f t="shared" si="25"/>
        <v>0</v>
      </c>
      <c r="D16" s="20">
        <f t="shared" si="0"/>
        <v>0</v>
      </c>
      <c r="E16" s="28">
        <f t="shared" ref="E16:F16" si="26">SUM(E11:E13)</f>
        <v>12945987.640000001</v>
      </c>
      <c r="F16" s="28">
        <f t="shared" si="26"/>
        <v>0</v>
      </c>
      <c r="G16" s="20">
        <f t="shared" si="1"/>
        <v>0</v>
      </c>
      <c r="H16" s="19">
        <f t="shared" ref="H16:I16" si="27">SUM(H11:H13)</f>
        <v>0</v>
      </c>
      <c r="I16" s="19">
        <f t="shared" si="27"/>
        <v>0</v>
      </c>
      <c r="J16" s="20" t="str">
        <f t="shared" ref="J16:J21" si="28">IF(H16&gt;0,I16/H16*100,"-")</f>
        <v>-</v>
      </c>
      <c r="K16" s="19">
        <f t="shared" ref="K16:L16" si="29">SUM(K11:K13)</f>
        <v>0</v>
      </c>
      <c r="L16" s="19">
        <f t="shared" si="29"/>
        <v>0</v>
      </c>
      <c r="M16" s="20" t="str">
        <f t="shared" ref="M16:M21" si="30">IF(K16&gt;0,L16/K16*100,"-")</f>
        <v>-</v>
      </c>
      <c r="N16" s="19">
        <f t="shared" ref="N16:O16" si="31">SUM(N11:N13)</f>
        <v>0</v>
      </c>
      <c r="O16" s="19">
        <f t="shared" si="31"/>
        <v>0</v>
      </c>
      <c r="P16" s="20" t="str">
        <f t="shared" ref="P16:P21" si="32">IF(N16&gt;0,O16/N16*100,"-")</f>
        <v>-</v>
      </c>
      <c r="Q16" s="19">
        <f t="shared" ref="Q16:R16" si="33">SUM(Q11:Q13)</f>
        <v>2080</v>
      </c>
      <c r="R16" s="19">
        <f t="shared" si="33"/>
        <v>2080</v>
      </c>
      <c r="S16" s="20">
        <f t="shared" ref="S16:S21" si="34">IF(Q16&gt;0,R16/Q16*100,"-")</f>
        <v>100</v>
      </c>
      <c r="T16" s="19">
        <f t="shared" ref="T16:U16" si="35">SUM(T11:T13)</f>
        <v>0</v>
      </c>
      <c r="U16" s="19">
        <f t="shared" si="35"/>
        <v>0</v>
      </c>
      <c r="V16" s="20" t="str">
        <f t="shared" ref="V16:V21" si="36">IF(T16&gt;0,U16/T16*100,"-")</f>
        <v>-</v>
      </c>
      <c r="W16" s="19">
        <f t="shared" ref="W16:X16" si="37">SUM(W11:W13)</f>
        <v>0</v>
      </c>
      <c r="X16" s="19">
        <f t="shared" si="37"/>
        <v>0</v>
      </c>
      <c r="Y16" s="20" t="str">
        <f t="shared" si="7"/>
        <v>-</v>
      </c>
      <c r="Z16" s="13" t="str">
        <f t="shared" si="8"/>
        <v>-</v>
      </c>
      <c r="AA16" s="13" t="str">
        <f t="shared" si="8"/>
        <v>-</v>
      </c>
    </row>
    <row r="17" spans="1:27" x14ac:dyDescent="0.3">
      <c r="A17" t="s">
        <v>34</v>
      </c>
      <c r="B17" s="28">
        <v>9978266.6600000001</v>
      </c>
      <c r="C17" s="28">
        <v>9528974.1300000008</v>
      </c>
      <c r="D17" s="20">
        <f t="shared" si="0"/>
        <v>95.497288804667008</v>
      </c>
      <c r="E17" s="28">
        <v>14004015.85</v>
      </c>
      <c r="F17" s="28">
        <v>12945987.640000001</v>
      </c>
      <c r="G17" s="20">
        <f t="shared" si="1"/>
        <v>92.444822818448898</v>
      </c>
      <c r="H17" s="19">
        <v>1020670</v>
      </c>
      <c r="I17" s="19">
        <v>0</v>
      </c>
      <c r="J17" s="20">
        <f t="shared" si="28"/>
        <v>0</v>
      </c>
      <c r="K17" s="19">
        <v>14899859.789999999</v>
      </c>
      <c r="L17" s="19">
        <v>14899859.789999999</v>
      </c>
      <c r="M17" s="20">
        <f t="shared" si="30"/>
        <v>100</v>
      </c>
      <c r="N17" s="19">
        <v>0</v>
      </c>
      <c r="O17" s="19">
        <v>0</v>
      </c>
      <c r="P17" s="20" t="str">
        <f t="shared" si="32"/>
        <v>-</v>
      </c>
      <c r="Q17" s="19">
        <v>0</v>
      </c>
      <c r="R17" s="19">
        <v>0</v>
      </c>
      <c r="S17" s="20" t="str">
        <f t="shared" si="34"/>
        <v>-</v>
      </c>
      <c r="T17" s="19">
        <v>0</v>
      </c>
      <c r="U17" s="19">
        <v>0</v>
      </c>
      <c r="V17" s="20" t="str">
        <f t="shared" si="36"/>
        <v>-</v>
      </c>
      <c r="W17" s="19">
        <v>0</v>
      </c>
      <c r="X17" s="19">
        <v>0</v>
      </c>
      <c r="Y17" s="20" t="str">
        <f t="shared" si="7"/>
        <v>-</v>
      </c>
      <c r="Z17" s="13" t="str">
        <f t="shared" si="8"/>
        <v>-</v>
      </c>
      <c r="AA17" s="13" t="str">
        <f t="shared" si="8"/>
        <v>-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456140546.06</v>
      </c>
      <c r="F18" s="28">
        <v>456140546.06</v>
      </c>
      <c r="G18" s="20">
        <f t="shared" si="1"/>
        <v>100</v>
      </c>
      <c r="H18" s="19">
        <v>504358813.82999998</v>
      </c>
      <c r="I18" s="19">
        <v>504358813.82999998</v>
      </c>
      <c r="J18" s="20">
        <f t="shared" si="28"/>
        <v>100</v>
      </c>
      <c r="K18" s="19">
        <v>571935591.89999998</v>
      </c>
      <c r="L18" s="19">
        <v>571935591.89999998</v>
      </c>
      <c r="M18" s="20">
        <f t="shared" si="30"/>
        <v>100</v>
      </c>
      <c r="N18" s="19">
        <v>555086376.88</v>
      </c>
      <c r="O18" s="19">
        <v>555086376.88</v>
      </c>
      <c r="P18" s="20">
        <f t="shared" si="32"/>
        <v>100</v>
      </c>
      <c r="Q18" s="19">
        <v>475366855.63999999</v>
      </c>
      <c r="R18" s="19">
        <v>475366855.63999999</v>
      </c>
      <c r="S18" s="20">
        <f t="shared" si="34"/>
        <v>100</v>
      </c>
      <c r="T18" s="19">
        <v>234209525.19</v>
      </c>
      <c r="U18" s="19">
        <v>234209525.19</v>
      </c>
      <c r="V18" s="20">
        <f t="shared" si="36"/>
        <v>100</v>
      </c>
      <c r="W18" s="19">
        <v>121415947.76000001</v>
      </c>
      <c r="X18" s="19">
        <v>121415947.76000001</v>
      </c>
      <c r="Y18" s="20">
        <f t="shared" si="7"/>
        <v>100</v>
      </c>
      <c r="Z18" s="13">
        <f t="shared" si="8"/>
        <v>-48.159261387211892</v>
      </c>
      <c r="AA18" s="13">
        <f t="shared" si="8"/>
        <v>-48.159261387211892</v>
      </c>
    </row>
    <row r="19" spans="1:27" x14ac:dyDescent="0.3">
      <c r="A19" t="s">
        <v>36</v>
      </c>
      <c r="B19" s="28">
        <v>376775388.81999999</v>
      </c>
      <c r="C19" s="28">
        <v>375352477.20999998</v>
      </c>
      <c r="D19" s="20">
        <f t="shared" si="0"/>
        <v>99.622344863220405</v>
      </c>
      <c r="E19" s="28">
        <v>248511172.59999999</v>
      </c>
      <c r="F19" s="28">
        <v>232933084.49000001</v>
      </c>
      <c r="G19" s="20">
        <f t="shared" si="1"/>
        <v>93.731433501754765</v>
      </c>
      <c r="H19" s="19">
        <v>208541138.81</v>
      </c>
      <c r="I19" s="19">
        <v>203871376.25</v>
      </c>
      <c r="J19" s="20">
        <f t="shared" si="28"/>
        <v>97.760747550029166</v>
      </c>
      <c r="K19" s="19">
        <v>283070509.67000002</v>
      </c>
      <c r="L19" s="19">
        <v>276482119.69</v>
      </c>
      <c r="M19" s="20">
        <f t="shared" si="30"/>
        <v>97.672526895266955</v>
      </c>
      <c r="N19" s="19">
        <v>277560848.23000002</v>
      </c>
      <c r="O19" s="19">
        <v>266187873.15000001</v>
      </c>
      <c r="P19" s="20">
        <f t="shared" si="32"/>
        <v>95.90252906613982</v>
      </c>
      <c r="Q19" s="19">
        <v>343231870.19</v>
      </c>
      <c r="R19" s="19">
        <v>336456342.73000002</v>
      </c>
      <c r="S19" s="20">
        <f t="shared" si="34"/>
        <v>98.025962024957266</v>
      </c>
      <c r="T19" s="19">
        <v>583019981.66999996</v>
      </c>
      <c r="U19" s="19">
        <v>574930263.42999995</v>
      </c>
      <c r="V19" s="20">
        <f t="shared" si="36"/>
        <v>98.612445800429029</v>
      </c>
      <c r="W19" s="19">
        <v>391100011.80000001</v>
      </c>
      <c r="X19" s="19">
        <v>385454100.10000002</v>
      </c>
      <c r="Y19" s="20">
        <f t="shared" si="7"/>
        <v>98.556402063498993</v>
      </c>
      <c r="Z19" s="13">
        <f t="shared" si="8"/>
        <v>-32.918249100187808</v>
      </c>
      <c r="AA19" s="13">
        <f t="shared" si="8"/>
        <v>-32.956373212917399</v>
      </c>
    </row>
    <row r="20" spans="1:27" x14ac:dyDescent="0.3">
      <c r="A20" t="s">
        <v>37</v>
      </c>
      <c r="B20" s="28">
        <f t="shared" ref="B20:C20" si="38">B14+B15+B16+B17+B18+B19</f>
        <v>1199396389.1699998</v>
      </c>
      <c r="C20" s="28">
        <f t="shared" si="38"/>
        <v>930115054.17999983</v>
      </c>
      <c r="D20" s="20">
        <f t="shared" si="0"/>
        <v>77.54859549174175</v>
      </c>
      <c r="E20" s="28">
        <f t="shared" ref="E20:F20" si="39">E14+E15+E16+E17+E18+E19</f>
        <v>1557228216.28</v>
      </c>
      <c r="F20" s="28">
        <f t="shared" si="39"/>
        <v>1248119699.79</v>
      </c>
      <c r="G20" s="20">
        <f t="shared" si="1"/>
        <v>80.150082482552435</v>
      </c>
      <c r="H20" s="19">
        <f t="shared" ref="H20:I20" si="40">H14+H15+H16+H17+H18+H19</f>
        <v>1591418292.7</v>
      </c>
      <c r="I20" s="19">
        <f t="shared" si="40"/>
        <v>1274266258.4300001</v>
      </c>
      <c r="J20" s="20">
        <f t="shared" si="28"/>
        <v>80.071107908913135</v>
      </c>
      <c r="K20" s="19">
        <f t="shared" ref="K20:L20" si="41">K14+K15+K16+K17+K18+K19</f>
        <v>1797404686.51</v>
      </c>
      <c r="L20" s="19">
        <f t="shared" si="41"/>
        <v>1401135073.8199999</v>
      </c>
      <c r="M20" s="20">
        <f t="shared" si="30"/>
        <v>77.953233589290789</v>
      </c>
      <c r="N20" s="19">
        <f t="shared" ref="N20:O20" si="42">N14+N15+N16+N17+N18+N19</f>
        <v>1744533962.2199998</v>
      </c>
      <c r="O20" s="19">
        <f t="shared" si="42"/>
        <v>1420382404.0300002</v>
      </c>
      <c r="P20" s="20">
        <f t="shared" si="32"/>
        <v>81.419017043525955</v>
      </c>
      <c r="Q20" s="19">
        <f t="shared" ref="Q20:R20" si="43">Q14+Q15+Q16+Q17+Q18+Q19</f>
        <v>1841109924.8200002</v>
      </c>
      <c r="R20" s="19">
        <f t="shared" si="43"/>
        <v>1407836704.6199999</v>
      </c>
      <c r="S20" s="20">
        <f t="shared" si="34"/>
        <v>76.46673811492488</v>
      </c>
      <c r="T20" s="19">
        <f t="shared" ref="T20:U20" si="44">T14+T15+T16+T17+T18+T19</f>
        <v>1871792825.6500001</v>
      </c>
      <c r="U20" s="19">
        <f t="shared" si="44"/>
        <v>1271238012.1900001</v>
      </c>
      <c r="V20" s="20">
        <f t="shared" si="36"/>
        <v>67.915529687349292</v>
      </c>
      <c r="W20" s="19">
        <f t="shared" ref="W20:X20" si="45">W14+W15+W16+W17+W18+W19</f>
        <v>1636832919.24</v>
      </c>
      <c r="X20" s="19">
        <f t="shared" si="45"/>
        <v>1208333018.27</v>
      </c>
      <c r="Y20" s="20">
        <f t="shared" si="7"/>
        <v>73.821402543091736</v>
      </c>
      <c r="Z20" s="13">
        <f t="shared" si="8"/>
        <v>-12.552666256128404</v>
      </c>
      <c r="AA20" s="13">
        <f t="shared" si="8"/>
        <v>-4.948325436841813</v>
      </c>
    </row>
    <row r="21" spans="1:27" x14ac:dyDescent="0.3">
      <c r="A21" t="s">
        <v>38</v>
      </c>
      <c r="B21" s="28">
        <f t="shared" ref="B21:C21" si="46">B20-B19</f>
        <v>822621000.3499999</v>
      </c>
      <c r="C21" s="28">
        <f t="shared" si="46"/>
        <v>554762576.96999979</v>
      </c>
      <c r="D21" s="20">
        <f t="shared" si="0"/>
        <v>67.438416565339978</v>
      </c>
      <c r="E21" s="28">
        <f t="shared" ref="E21:F21" si="47">E20-E19</f>
        <v>1308717043.6800001</v>
      </c>
      <c r="F21" s="28">
        <f t="shared" si="47"/>
        <v>1015186615.3</v>
      </c>
      <c r="G21" s="20">
        <f t="shared" si="1"/>
        <v>77.571131223704569</v>
      </c>
      <c r="H21" s="19">
        <f t="shared" ref="H21:I21" si="48">H20-H19</f>
        <v>1382877153.8900001</v>
      </c>
      <c r="I21" s="19">
        <f t="shared" si="48"/>
        <v>1070394882.1800001</v>
      </c>
      <c r="J21" s="20">
        <f t="shared" si="28"/>
        <v>77.403468498196318</v>
      </c>
      <c r="K21" s="19">
        <f t="shared" ref="K21:L21" si="49">K20-K19</f>
        <v>1514334176.8399999</v>
      </c>
      <c r="L21" s="19">
        <f t="shared" si="49"/>
        <v>1124652954.1299999</v>
      </c>
      <c r="M21" s="20">
        <f t="shared" si="30"/>
        <v>74.267157892245564</v>
      </c>
      <c r="N21" s="19">
        <f t="shared" ref="N21:O21" si="50">N20-N19</f>
        <v>1466973113.9899998</v>
      </c>
      <c r="O21" s="19">
        <f t="shared" si="50"/>
        <v>1154194530.8800001</v>
      </c>
      <c r="P21" s="20">
        <f t="shared" si="32"/>
        <v>78.678642428607475</v>
      </c>
      <c r="Q21" s="19">
        <f t="shared" ref="Q21:R21" si="51">Q20-Q19</f>
        <v>1497878054.6300001</v>
      </c>
      <c r="R21" s="19">
        <f t="shared" si="51"/>
        <v>1071380361.8899999</v>
      </c>
      <c r="S21" s="20">
        <f t="shared" si="34"/>
        <v>71.526541067767226</v>
      </c>
      <c r="T21" s="19">
        <f t="shared" ref="T21:U21" si="52">T20-T19</f>
        <v>1288772843.98</v>
      </c>
      <c r="U21" s="19">
        <f t="shared" si="52"/>
        <v>696307748.76000011</v>
      </c>
      <c r="V21" s="20">
        <f t="shared" si="36"/>
        <v>54.028741528232096</v>
      </c>
      <c r="W21" s="19">
        <f t="shared" ref="W21:X21" si="53">W20-W19</f>
        <v>1245732907.4400001</v>
      </c>
      <c r="X21" s="19">
        <f t="shared" si="53"/>
        <v>822878918.16999996</v>
      </c>
      <c r="Y21" s="20">
        <f t="shared" si="7"/>
        <v>66.055806445783674</v>
      </c>
      <c r="Z21" s="13">
        <f t="shared" si="8"/>
        <v>-3.3396061021183243</v>
      </c>
      <c r="AA21" s="13">
        <f t="shared" si="8"/>
        <v>18.177475352730241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 t="s">
        <v>361</v>
      </c>
      <c r="H22" s="99" t="s">
        <v>75</v>
      </c>
      <c r="I22" s="99" t="s">
        <v>76</v>
      </c>
      <c r="J22" s="18" t="s">
        <v>361</v>
      </c>
      <c r="K22" s="99" t="s">
        <v>75</v>
      </c>
      <c r="L22" s="99" t="s">
        <v>76</v>
      </c>
      <c r="M22" s="18" t="s">
        <v>361</v>
      </c>
      <c r="N22" s="99" t="s">
        <v>75</v>
      </c>
      <c r="O22" s="99" t="s">
        <v>76</v>
      </c>
      <c r="P22" s="18" t="s">
        <v>361</v>
      </c>
      <c r="Q22" s="99" t="s">
        <v>75</v>
      </c>
      <c r="R22" s="99" t="s">
        <v>76</v>
      </c>
      <c r="S22" s="18" t="s">
        <v>361</v>
      </c>
      <c r="T22" s="99" t="s">
        <v>75</v>
      </c>
      <c r="U22" s="99" t="s">
        <v>76</v>
      </c>
      <c r="V22" s="18" t="s">
        <v>361</v>
      </c>
      <c r="W22" s="99" t="s">
        <v>75</v>
      </c>
      <c r="X22" s="99" t="s">
        <v>76</v>
      </c>
      <c r="Y22" s="18" t="s">
        <v>361</v>
      </c>
    </row>
    <row r="23" spans="1:27" x14ac:dyDescent="0.3">
      <c r="A23" s="5" t="s">
        <v>39</v>
      </c>
      <c r="B23" s="27">
        <v>240896309.72999999</v>
      </c>
      <c r="C23" s="27">
        <v>228491499.24000001</v>
      </c>
      <c r="D23" s="20">
        <f>IF(B23&gt;0,C23/B23*100,"-")</f>
        <v>94.850560183382029</v>
      </c>
      <c r="E23" s="27">
        <v>225934532.53999999</v>
      </c>
      <c r="F23" s="27">
        <v>216895562.66999999</v>
      </c>
      <c r="G23" s="20">
        <f>IF(E23&gt;0,F23/E23*100,"-")</f>
        <v>95.999296889952078</v>
      </c>
      <c r="H23" s="102">
        <v>223254285.75999999</v>
      </c>
      <c r="I23" s="102">
        <v>212853842.68000001</v>
      </c>
      <c r="J23" s="20">
        <f>IF(H23&gt;0,I23/H23*100,"-")</f>
        <v>95.341436315726298</v>
      </c>
      <c r="K23" s="102">
        <v>213043658.77000001</v>
      </c>
      <c r="L23" s="102">
        <v>202317819.83000001</v>
      </c>
      <c r="M23" s="20">
        <f>IF(K23&gt;0,L23/K23*100,"-")</f>
        <v>94.965426804099579</v>
      </c>
      <c r="N23" s="102">
        <v>197652718.78999999</v>
      </c>
      <c r="O23" s="102">
        <v>184111504.49000001</v>
      </c>
      <c r="P23" s="20">
        <f>IF(N23&gt;0,O23/N23*100,"-")</f>
        <v>93.148986574585351</v>
      </c>
      <c r="Q23" s="102">
        <v>179086559.11000001</v>
      </c>
      <c r="R23" s="102">
        <v>169514128.74000001</v>
      </c>
      <c r="S23" s="20">
        <f>IF(Q23&gt;0,R23/Q23*100,"-")</f>
        <v>94.654858288878984</v>
      </c>
      <c r="T23" s="102">
        <v>179198258.83000001</v>
      </c>
      <c r="U23" s="102">
        <v>163135271.30000001</v>
      </c>
      <c r="V23" s="20">
        <f>IF(T23&gt;0,U23/T23*100,"-")</f>
        <v>91.036192184635851</v>
      </c>
      <c r="W23" s="102">
        <v>182674762.25</v>
      </c>
      <c r="X23" s="102">
        <v>172062226.50999999</v>
      </c>
      <c r="Y23" s="20">
        <f>IF(W23&gt;0,X23/W23*100,"-")</f>
        <v>94.190475132259266</v>
      </c>
      <c r="Z23" s="13">
        <f t="shared" si="8"/>
        <v>1.9400319192264277</v>
      </c>
      <c r="AA23" s="13">
        <f t="shared" si="8"/>
        <v>5.4721184075414442</v>
      </c>
    </row>
    <row r="24" spans="1:27" x14ac:dyDescent="0.3">
      <c r="A24" s="5" t="s">
        <v>40</v>
      </c>
      <c r="B24" s="27">
        <v>14064368.99</v>
      </c>
      <c r="C24" s="27">
        <v>12048614.51</v>
      </c>
      <c r="D24" s="20">
        <f t="shared" ref="D24:D55" si="54">IF(B24&gt;0,C24/B24*100,"-")</f>
        <v>85.667650774569154</v>
      </c>
      <c r="E24" s="27">
        <v>13474742.92</v>
      </c>
      <c r="F24" s="27">
        <v>11629282.289999999</v>
      </c>
      <c r="G24" s="20">
        <f t="shared" ref="G24:G55" si="55">IF(E24&gt;0,F24/E24*100,"-")</f>
        <v>86.304298041479811</v>
      </c>
      <c r="H24" s="102">
        <v>13255810.720000001</v>
      </c>
      <c r="I24" s="102">
        <v>11564154.130000001</v>
      </c>
      <c r="J24" s="20">
        <f t="shared" ref="J24:J55" si="56">IF(H24&gt;0,I24/H24*100,"-")</f>
        <v>87.23837699758586</v>
      </c>
      <c r="K24" s="102">
        <v>12417614.08</v>
      </c>
      <c r="L24" s="102">
        <v>10582706.51</v>
      </c>
      <c r="M24" s="20">
        <f t="shared" ref="M24:M55" si="57">IF(K24&gt;0,L24/K24*100,"-")</f>
        <v>85.223348397053741</v>
      </c>
      <c r="N24" s="102">
        <v>11324450.439999999</v>
      </c>
      <c r="O24" s="102">
        <v>9565871.9399999995</v>
      </c>
      <c r="P24" s="20">
        <f t="shared" ref="P24:P55" si="58">IF(N24&gt;0,O24/N24*100,"-")</f>
        <v>84.470959457879005</v>
      </c>
      <c r="Q24" s="102">
        <v>10399545.060000001</v>
      </c>
      <c r="R24" s="102">
        <v>9027495.7899999991</v>
      </c>
      <c r="S24" s="20">
        <f t="shared" ref="S24:S55" si="59">IF(Q24&gt;0,R24/Q24*100,"-")</f>
        <v>86.806641424370142</v>
      </c>
      <c r="T24" s="102">
        <v>10389622.380000001</v>
      </c>
      <c r="U24" s="102">
        <v>8549570.3599999994</v>
      </c>
      <c r="V24" s="20">
        <f t="shared" ref="V24:V55" si="60">IF(T24&gt;0,U24/T24*100,"-")</f>
        <v>82.28951974672249</v>
      </c>
      <c r="W24" s="102">
        <v>13498837.76</v>
      </c>
      <c r="X24" s="102">
        <v>11101945.720000001</v>
      </c>
      <c r="Y24" s="20">
        <f t="shared" ref="Y24:Y55" si="61">IF(W24&gt;0,X24/W24*100,"-")</f>
        <v>82.243715476731538</v>
      </c>
      <c r="Z24" s="13">
        <f t="shared" si="8"/>
        <v>29.926163495462845</v>
      </c>
      <c r="AA24" s="13">
        <f t="shared" si="8"/>
        <v>29.853843556180777</v>
      </c>
    </row>
    <row r="25" spans="1:27" x14ac:dyDescent="0.3">
      <c r="A25" s="5" t="s">
        <v>41</v>
      </c>
      <c r="B25" s="27">
        <v>346118762.66000003</v>
      </c>
      <c r="C25" s="27">
        <v>234205626.44</v>
      </c>
      <c r="D25" s="20">
        <f t="shared" si="54"/>
        <v>67.666261326048144</v>
      </c>
      <c r="E25" s="27">
        <v>347784495.93000001</v>
      </c>
      <c r="F25" s="27">
        <v>223725833.72</v>
      </c>
      <c r="G25" s="20">
        <f t="shared" si="55"/>
        <v>64.328869267659996</v>
      </c>
      <c r="H25" s="102">
        <v>355405554.37</v>
      </c>
      <c r="I25" s="102">
        <v>239917845.88</v>
      </c>
      <c r="J25" s="20">
        <f t="shared" si="56"/>
        <v>67.505373208160421</v>
      </c>
      <c r="K25" s="102">
        <v>352470312.58999997</v>
      </c>
      <c r="L25" s="102">
        <v>257362837.31999999</v>
      </c>
      <c r="M25" s="20">
        <f t="shared" si="57"/>
        <v>73.016883444413438</v>
      </c>
      <c r="N25" s="102">
        <v>364808923.51999998</v>
      </c>
      <c r="O25" s="102">
        <v>288680947.79000002</v>
      </c>
      <c r="P25" s="20">
        <f t="shared" si="58"/>
        <v>79.132096058547646</v>
      </c>
      <c r="Q25" s="102">
        <v>340060423.86000001</v>
      </c>
      <c r="R25" s="102">
        <v>281622457.49000001</v>
      </c>
      <c r="S25" s="20">
        <f t="shared" si="59"/>
        <v>82.815416828963777</v>
      </c>
      <c r="T25" s="102">
        <v>386300389.70999998</v>
      </c>
      <c r="U25" s="102">
        <v>293034208.82999998</v>
      </c>
      <c r="V25" s="20">
        <f t="shared" si="60"/>
        <v>75.856565676773982</v>
      </c>
      <c r="W25" s="102">
        <v>384265820.06999999</v>
      </c>
      <c r="X25" s="102">
        <v>297305116.54000002</v>
      </c>
      <c r="Y25" s="20">
        <f t="shared" si="61"/>
        <v>77.3696490845429</v>
      </c>
      <c r="Z25" s="13">
        <f t="shared" si="8"/>
        <v>-0.52668071122769788</v>
      </c>
      <c r="AA25" s="13">
        <f t="shared" si="8"/>
        <v>1.4574775167215108</v>
      </c>
    </row>
    <row r="26" spans="1:27" x14ac:dyDescent="0.3">
      <c r="A26" s="5" t="s">
        <v>42</v>
      </c>
      <c r="B26" s="27">
        <v>38951310.700000003</v>
      </c>
      <c r="C26" s="27">
        <v>22026897.739999998</v>
      </c>
      <c r="D26" s="20">
        <f t="shared" si="54"/>
        <v>56.549824239932434</v>
      </c>
      <c r="E26" s="27">
        <v>32399410.75</v>
      </c>
      <c r="F26" s="27">
        <v>11209514.01</v>
      </c>
      <c r="G26" s="20">
        <f t="shared" si="55"/>
        <v>34.597894685476646</v>
      </c>
      <c r="H26" s="102">
        <v>22602494.73</v>
      </c>
      <c r="I26" s="102">
        <v>5773463.2699999996</v>
      </c>
      <c r="J26" s="20">
        <f t="shared" si="56"/>
        <v>25.543478005270615</v>
      </c>
      <c r="K26" s="102">
        <v>26331752.84</v>
      </c>
      <c r="L26" s="102">
        <v>11754642.720000001</v>
      </c>
      <c r="M26" s="20">
        <f t="shared" si="57"/>
        <v>44.64056301692068</v>
      </c>
      <c r="N26" s="102">
        <v>61067084.420000002</v>
      </c>
      <c r="O26" s="102">
        <v>14493235.77</v>
      </c>
      <c r="P26" s="20">
        <f t="shared" si="58"/>
        <v>23.733302330794327</v>
      </c>
      <c r="Q26" s="102">
        <v>60648604.240000002</v>
      </c>
      <c r="R26" s="102">
        <v>24778774.82</v>
      </c>
      <c r="S26" s="20">
        <f t="shared" si="59"/>
        <v>40.856298558734977</v>
      </c>
      <c r="T26" s="102">
        <v>35837237.82</v>
      </c>
      <c r="U26" s="102">
        <v>15630636.07</v>
      </c>
      <c r="V26" s="20">
        <f t="shared" si="60"/>
        <v>43.6156272659967</v>
      </c>
      <c r="W26" s="102">
        <v>41650826.390000001</v>
      </c>
      <c r="X26" s="102">
        <v>25849187.699999999</v>
      </c>
      <c r="Y26" s="20">
        <f t="shared" si="61"/>
        <v>62.061644246766164</v>
      </c>
      <c r="Z26" s="13">
        <f t="shared" si="8"/>
        <v>16.222200492124855</v>
      </c>
      <c r="AA26" s="13">
        <f t="shared" si="8"/>
        <v>65.375149061352289</v>
      </c>
    </row>
    <row r="27" spans="1:27" x14ac:dyDescent="0.3">
      <c r="A27" s="5" t="s">
        <v>43</v>
      </c>
      <c r="B27" s="27">
        <v>11059877.470000001</v>
      </c>
      <c r="C27" s="27">
        <v>8016381.8799999999</v>
      </c>
      <c r="D27" s="20">
        <f t="shared" si="54"/>
        <v>72.481651824303611</v>
      </c>
      <c r="E27" s="27">
        <v>11749364.640000001</v>
      </c>
      <c r="F27" s="27">
        <v>7663219.1299999999</v>
      </c>
      <c r="G27" s="20">
        <f t="shared" si="55"/>
        <v>65.222412996793324</v>
      </c>
      <c r="H27" s="102">
        <v>11959501.4</v>
      </c>
      <c r="I27" s="102">
        <v>10221738.199999999</v>
      </c>
      <c r="J27" s="20">
        <f t="shared" si="56"/>
        <v>85.469601600615221</v>
      </c>
      <c r="K27" s="102">
        <v>10818933.109999999</v>
      </c>
      <c r="L27" s="102">
        <v>9557844.0199999996</v>
      </c>
      <c r="M27" s="20">
        <f t="shared" si="57"/>
        <v>88.343683455863413</v>
      </c>
      <c r="N27" s="102">
        <v>11526181.9</v>
      </c>
      <c r="O27" s="102">
        <v>8993783.6400000006</v>
      </c>
      <c r="P27" s="20">
        <f t="shared" si="58"/>
        <v>78.029166275781222</v>
      </c>
      <c r="Q27" s="102">
        <v>10102485.289999999</v>
      </c>
      <c r="R27" s="102">
        <v>8736575.8800000008</v>
      </c>
      <c r="S27" s="20">
        <f t="shared" si="59"/>
        <v>86.479471429153662</v>
      </c>
      <c r="T27" s="102">
        <v>8330239.1200000001</v>
      </c>
      <c r="U27" s="102">
        <v>7922037.8499999996</v>
      </c>
      <c r="V27" s="20">
        <f t="shared" si="60"/>
        <v>95.099765275405431</v>
      </c>
      <c r="W27" s="102">
        <v>7583188.2400000002</v>
      </c>
      <c r="X27" s="102">
        <v>6703975.0199999996</v>
      </c>
      <c r="Y27" s="20">
        <f t="shared" si="61"/>
        <v>88.405757681679276</v>
      </c>
      <c r="Z27" s="13">
        <f t="shared" si="8"/>
        <v>-8.9679404064933976</v>
      </c>
      <c r="AA27" s="13">
        <f t="shared" si="8"/>
        <v>-15.375624972556778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0</v>
      </c>
      <c r="F28" s="27">
        <v>0</v>
      </c>
      <c r="G28" s="20" t="str">
        <f t="shared" si="55"/>
        <v>-</v>
      </c>
      <c r="H28" s="102">
        <v>0</v>
      </c>
      <c r="I28" s="102">
        <v>0</v>
      </c>
      <c r="J28" s="20" t="str">
        <f t="shared" si="56"/>
        <v>-</v>
      </c>
      <c r="K28" s="102">
        <v>0</v>
      </c>
      <c r="L28" s="102">
        <v>0</v>
      </c>
      <c r="M28" s="20" t="str">
        <f t="shared" si="57"/>
        <v>-</v>
      </c>
      <c r="N28" s="102">
        <v>0</v>
      </c>
      <c r="O28" s="102">
        <v>0</v>
      </c>
      <c r="P28" s="20" t="str">
        <f t="shared" si="58"/>
        <v>-</v>
      </c>
      <c r="Q28" s="102">
        <v>0</v>
      </c>
      <c r="R28" s="102">
        <v>0</v>
      </c>
      <c r="S28" s="20" t="str">
        <f t="shared" si="59"/>
        <v>-</v>
      </c>
      <c r="T28" s="102">
        <v>0</v>
      </c>
      <c r="U28" s="102">
        <v>0</v>
      </c>
      <c r="V28" s="20" t="str">
        <f t="shared" si="60"/>
        <v>-</v>
      </c>
      <c r="W28" s="102">
        <v>0</v>
      </c>
      <c r="X28" s="102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1917397.45</v>
      </c>
      <c r="C29" s="27">
        <v>243099.87</v>
      </c>
      <c r="D29" s="20">
        <f t="shared" si="54"/>
        <v>12.678637389446825</v>
      </c>
      <c r="E29" s="27">
        <v>1575028.46</v>
      </c>
      <c r="F29" s="27">
        <v>986679.21</v>
      </c>
      <c r="G29" s="20">
        <f t="shared" si="55"/>
        <v>62.645167059393955</v>
      </c>
      <c r="H29" s="102">
        <v>2278594.2599999998</v>
      </c>
      <c r="I29" s="102">
        <v>1652366.98</v>
      </c>
      <c r="J29" s="20">
        <f t="shared" si="56"/>
        <v>72.516946479098038</v>
      </c>
      <c r="K29" s="102">
        <v>2369004.71</v>
      </c>
      <c r="L29" s="102">
        <v>1191297.2</v>
      </c>
      <c r="M29" s="20">
        <f t="shared" si="57"/>
        <v>50.286822772927287</v>
      </c>
      <c r="N29" s="102">
        <v>1545771.11</v>
      </c>
      <c r="O29" s="102">
        <v>403614.48</v>
      </c>
      <c r="P29" s="20">
        <f t="shared" si="58"/>
        <v>26.110882613144447</v>
      </c>
      <c r="Q29" s="102">
        <v>1524718.81</v>
      </c>
      <c r="R29" s="102">
        <v>1388763.79</v>
      </c>
      <c r="S29" s="20">
        <f t="shared" si="59"/>
        <v>91.083272593718448</v>
      </c>
      <c r="T29" s="102">
        <v>2020530.99</v>
      </c>
      <c r="U29" s="102">
        <v>442279.13</v>
      </c>
      <c r="V29" s="20">
        <f t="shared" si="60"/>
        <v>21.889252488030387</v>
      </c>
      <c r="W29" s="102">
        <v>7416593.1299999999</v>
      </c>
      <c r="X29" s="102">
        <v>2895905.59</v>
      </c>
      <c r="Y29" s="20">
        <f t="shared" si="61"/>
        <v>39.046305213725532</v>
      </c>
      <c r="Z29" s="13">
        <f t="shared" si="8"/>
        <v>267.06158760772087</v>
      </c>
      <c r="AA29" s="13">
        <f t="shared" si="8"/>
        <v>554.76876333730684</v>
      </c>
    </row>
    <row r="30" spans="1:27" x14ac:dyDescent="0.3">
      <c r="A30" s="5" t="s">
        <v>46</v>
      </c>
      <c r="B30" s="27">
        <v>32723638.170000002</v>
      </c>
      <c r="C30" s="27">
        <v>19722079.27</v>
      </c>
      <c r="D30" s="20">
        <f t="shared" si="54"/>
        <v>60.268602065404139</v>
      </c>
      <c r="E30" s="27">
        <v>33178103.239999998</v>
      </c>
      <c r="F30" s="27">
        <v>17397948.829999998</v>
      </c>
      <c r="G30" s="20">
        <f t="shared" si="55"/>
        <v>52.438045370311528</v>
      </c>
      <c r="H30" s="102">
        <v>16209388.34</v>
      </c>
      <c r="I30" s="102">
        <v>12366368.41</v>
      </c>
      <c r="J30" s="20">
        <f t="shared" si="56"/>
        <v>76.291394533891463</v>
      </c>
      <c r="K30" s="102">
        <v>12099317.5</v>
      </c>
      <c r="L30" s="102">
        <v>7810972.1500000004</v>
      </c>
      <c r="M30" s="20">
        <f t="shared" si="57"/>
        <v>64.55713018523565</v>
      </c>
      <c r="N30" s="102">
        <v>6553883.4400000004</v>
      </c>
      <c r="O30" s="102">
        <v>4365781.2699999996</v>
      </c>
      <c r="P30" s="20">
        <f t="shared" si="58"/>
        <v>66.613654483913123</v>
      </c>
      <c r="Q30" s="102">
        <v>4068769.78</v>
      </c>
      <c r="R30" s="102">
        <v>3854296.11</v>
      </c>
      <c r="S30" s="20">
        <f t="shared" si="59"/>
        <v>94.728783352298692</v>
      </c>
      <c r="T30" s="102">
        <v>9784418.5899999999</v>
      </c>
      <c r="U30" s="102">
        <v>4142838.02</v>
      </c>
      <c r="V30" s="20">
        <f t="shared" si="60"/>
        <v>42.341177269685886</v>
      </c>
      <c r="W30" s="102">
        <v>13563764.5</v>
      </c>
      <c r="X30" s="102">
        <v>2226205.91</v>
      </c>
      <c r="Y30" s="20">
        <f t="shared" si="61"/>
        <v>16.412891199931998</v>
      </c>
      <c r="Z30" s="13">
        <f t="shared" si="8"/>
        <v>38.626167464489072</v>
      </c>
      <c r="AA30" s="13">
        <f t="shared" si="8"/>
        <v>-46.263747236731213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19">
        <v>0</v>
      </c>
      <c r="I31" s="19">
        <v>0</v>
      </c>
      <c r="J31" s="20" t="str">
        <f t="shared" si="56"/>
        <v>-</v>
      </c>
      <c r="K31" s="19">
        <v>0</v>
      </c>
      <c r="L31" s="19">
        <v>0</v>
      </c>
      <c r="M31" s="20" t="str">
        <f t="shared" si="57"/>
        <v>-</v>
      </c>
      <c r="N31" s="19">
        <v>0</v>
      </c>
      <c r="O31" s="19">
        <v>0</v>
      </c>
      <c r="P31" s="20" t="str">
        <f t="shared" si="58"/>
        <v>-</v>
      </c>
      <c r="Q31" s="19">
        <v>0</v>
      </c>
      <c r="R31" s="19">
        <v>0</v>
      </c>
      <c r="S31" s="20" t="str">
        <f t="shared" si="59"/>
        <v>-</v>
      </c>
      <c r="T31" s="19">
        <v>0</v>
      </c>
      <c r="U31" s="19">
        <v>0</v>
      </c>
      <c r="V31" s="20" t="str">
        <f t="shared" si="60"/>
        <v>-</v>
      </c>
      <c r="W31" s="19">
        <v>0</v>
      </c>
      <c r="X31" s="19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45677517.119999997</v>
      </c>
      <c r="C32" s="27">
        <v>26150293.760000002</v>
      </c>
      <c r="D32" s="20">
        <f t="shared" si="54"/>
        <v>57.249814369945341</v>
      </c>
      <c r="E32" s="27">
        <v>44752279.289999999</v>
      </c>
      <c r="F32" s="27">
        <v>21695653</v>
      </c>
      <c r="G32" s="20">
        <f t="shared" si="55"/>
        <v>48.479436900654008</v>
      </c>
      <c r="H32" s="102">
        <v>46219528.5</v>
      </c>
      <c r="I32" s="102">
        <v>24194102.949999999</v>
      </c>
      <c r="J32" s="20">
        <f t="shared" si="56"/>
        <v>52.346061795070021</v>
      </c>
      <c r="K32" s="102">
        <v>43011222.25</v>
      </c>
      <c r="L32" s="102">
        <v>28088109.289999999</v>
      </c>
      <c r="M32" s="20">
        <f t="shared" si="57"/>
        <v>65.304141153533479</v>
      </c>
      <c r="N32" s="102">
        <v>33533001.84</v>
      </c>
      <c r="O32" s="102">
        <v>15316954.689999999</v>
      </c>
      <c r="P32" s="20">
        <f t="shared" si="58"/>
        <v>45.677254792409002</v>
      </c>
      <c r="Q32" s="102">
        <v>71116311.319999993</v>
      </c>
      <c r="R32" s="102">
        <v>28949707.93</v>
      </c>
      <c r="S32" s="20">
        <f t="shared" si="59"/>
        <v>40.707549917396371</v>
      </c>
      <c r="T32" s="102">
        <v>47518548.210000001</v>
      </c>
      <c r="U32" s="102">
        <v>30922652.68</v>
      </c>
      <c r="V32" s="20">
        <f t="shared" si="60"/>
        <v>65.074910418859361</v>
      </c>
      <c r="W32" s="102">
        <v>166876031.16</v>
      </c>
      <c r="X32" s="102">
        <v>149108330.47</v>
      </c>
      <c r="Y32" s="20">
        <f t="shared" si="61"/>
        <v>89.352754516935747</v>
      </c>
      <c r="Z32" s="13">
        <f t="shared" si="8"/>
        <v>251.18082821579532</v>
      </c>
      <c r="AA32" s="13">
        <f t="shared" si="8"/>
        <v>382.19773385237266</v>
      </c>
    </row>
    <row r="33" spans="1:27" x14ac:dyDescent="0.3">
      <c r="A33" s="5" t="s">
        <v>49</v>
      </c>
      <c r="B33" s="27">
        <v>4121201.87</v>
      </c>
      <c r="C33" s="27">
        <v>3474261.59</v>
      </c>
      <c r="D33" s="20">
        <f t="shared" si="54"/>
        <v>84.302145335093712</v>
      </c>
      <c r="E33" s="27">
        <v>813516.18</v>
      </c>
      <c r="F33" s="27">
        <v>478618.12</v>
      </c>
      <c r="G33" s="20">
        <f t="shared" si="55"/>
        <v>58.833263771102864</v>
      </c>
      <c r="H33" s="102">
        <v>1561193.42</v>
      </c>
      <c r="I33" s="102">
        <v>977310.64</v>
      </c>
      <c r="J33" s="20">
        <f t="shared" si="56"/>
        <v>62.600227971752531</v>
      </c>
      <c r="K33" s="102">
        <v>2462550.2400000002</v>
      </c>
      <c r="L33" s="102">
        <v>1751322.21</v>
      </c>
      <c r="M33" s="20">
        <f t="shared" si="57"/>
        <v>71.118232698472767</v>
      </c>
      <c r="N33" s="102">
        <v>3770056.51</v>
      </c>
      <c r="O33" s="102">
        <v>6000</v>
      </c>
      <c r="P33" s="20">
        <f t="shared" si="58"/>
        <v>0.15914880809041243</v>
      </c>
      <c r="Q33" s="102">
        <v>890354.41</v>
      </c>
      <c r="R33" s="102">
        <v>836259.23</v>
      </c>
      <c r="S33" s="20">
        <f t="shared" si="59"/>
        <v>93.924309309592786</v>
      </c>
      <c r="T33" s="102">
        <v>5118769.83</v>
      </c>
      <c r="U33" s="102">
        <v>368929.46</v>
      </c>
      <c r="V33" s="20">
        <f t="shared" si="60"/>
        <v>7.2073852166156112</v>
      </c>
      <c r="W33" s="102">
        <v>6123817.4100000001</v>
      </c>
      <c r="X33" s="102">
        <v>518716.15</v>
      </c>
      <c r="Y33" s="20">
        <f t="shared" si="61"/>
        <v>8.4704705459204739</v>
      </c>
      <c r="Z33" s="13">
        <f t="shared" si="8"/>
        <v>19.634553093394331</v>
      </c>
      <c r="AA33" s="13">
        <f t="shared" si="8"/>
        <v>40.600360296518488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54"/>
        <v>-</v>
      </c>
      <c r="E34" s="27">
        <v>0</v>
      </c>
      <c r="F34" s="27">
        <v>0</v>
      </c>
      <c r="G34" s="20" t="str">
        <f t="shared" si="55"/>
        <v>-</v>
      </c>
      <c r="H34" s="102">
        <v>0</v>
      </c>
      <c r="I34" s="102">
        <v>0</v>
      </c>
      <c r="J34" s="20" t="str">
        <f t="shared" si="56"/>
        <v>-</v>
      </c>
      <c r="K34" s="102">
        <v>0</v>
      </c>
      <c r="L34" s="102">
        <v>0</v>
      </c>
      <c r="M34" s="20" t="str">
        <f t="shared" si="57"/>
        <v>-</v>
      </c>
      <c r="N34" s="102">
        <v>0</v>
      </c>
      <c r="O34" s="102">
        <v>0</v>
      </c>
      <c r="P34" s="20" t="str">
        <f t="shared" si="58"/>
        <v>-</v>
      </c>
      <c r="Q34" s="102">
        <v>0</v>
      </c>
      <c r="R34" s="102">
        <v>0</v>
      </c>
      <c r="S34" s="20" t="str">
        <f t="shared" si="59"/>
        <v>-</v>
      </c>
      <c r="T34" s="102">
        <v>0</v>
      </c>
      <c r="U34" s="102">
        <v>0</v>
      </c>
      <c r="V34" s="20" t="str">
        <f t="shared" si="60"/>
        <v>-</v>
      </c>
      <c r="W34" s="102">
        <v>0</v>
      </c>
      <c r="X34" s="102">
        <v>0</v>
      </c>
      <c r="Y34" s="20" t="str">
        <f t="shared" si="6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161764.37</v>
      </c>
      <c r="C35" s="27">
        <v>161764.37</v>
      </c>
      <c r="D35" s="20">
        <f t="shared" si="54"/>
        <v>100</v>
      </c>
      <c r="E35" s="27">
        <v>69760.62</v>
      </c>
      <c r="F35" s="27">
        <v>0</v>
      </c>
      <c r="G35" s="20">
        <f t="shared" si="55"/>
        <v>0</v>
      </c>
      <c r="H35" s="102">
        <v>3389270.47</v>
      </c>
      <c r="I35" s="102">
        <v>3188109.71</v>
      </c>
      <c r="J35" s="20">
        <f t="shared" si="56"/>
        <v>94.064777013797894</v>
      </c>
      <c r="K35" s="102">
        <v>7780493.4100000001</v>
      </c>
      <c r="L35" s="102">
        <v>4524919.33</v>
      </c>
      <c r="M35" s="20">
        <f t="shared" si="57"/>
        <v>58.157228488674981</v>
      </c>
      <c r="N35" s="102">
        <v>1776609.16</v>
      </c>
      <c r="O35" s="102">
        <v>1729061.48</v>
      </c>
      <c r="P35" s="20">
        <f t="shared" si="58"/>
        <v>97.323683730190837</v>
      </c>
      <c r="Q35" s="102">
        <v>316098.71999999997</v>
      </c>
      <c r="R35" s="102">
        <v>287578.21999999997</v>
      </c>
      <c r="S35" s="20">
        <f t="shared" si="59"/>
        <v>90.977344039861975</v>
      </c>
      <c r="T35" s="102">
        <v>1082816.74</v>
      </c>
      <c r="U35" s="102">
        <v>0</v>
      </c>
      <c r="V35" s="20">
        <f t="shared" si="60"/>
        <v>0</v>
      </c>
      <c r="W35" s="102">
        <v>636087.1</v>
      </c>
      <c r="X35" s="102">
        <v>187004.06</v>
      </c>
      <c r="Y35" s="20">
        <f t="shared" si="61"/>
        <v>29.399127886731236</v>
      </c>
      <c r="Z35" s="13">
        <f t="shared" si="8"/>
        <v>-41.256255421392915</v>
      </c>
      <c r="AA35" s="13" t="str">
        <f t="shared" si="8"/>
        <v>-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54"/>
        <v>-</v>
      </c>
      <c r="E36" s="27">
        <v>0</v>
      </c>
      <c r="F36" s="27">
        <v>0</v>
      </c>
      <c r="G36" s="20" t="str">
        <f t="shared" si="55"/>
        <v>-</v>
      </c>
      <c r="H36" s="102">
        <v>0</v>
      </c>
      <c r="I36" s="102">
        <v>0</v>
      </c>
      <c r="J36" s="20" t="str">
        <f t="shared" si="56"/>
        <v>-</v>
      </c>
      <c r="K36" s="102">
        <v>0</v>
      </c>
      <c r="L36" s="102">
        <v>0</v>
      </c>
      <c r="M36" s="20" t="str">
        <f t="shared" si="57"/>
        <v>-</v>
      </c>
      <c r="N36" s="102">
        <v>60000</v>
      </c>
      <c r="O36" s="102">
        <v>60000</v>
      </c>
      <c r="P36" s="20">
        <f t="shared" si="58"/>
        <v>100</v>
      </c>
      <c r="Q36" s="102">
        <v>0</v>
      </c>
      <c r="R36" s="102">
        <v>0</v>
      </c>
      <c r="S36" s="20" t="str">
        <f t="shared" si="59"/>
        <v>-</v>
      </c>
      <c r="T36" s="102">
        <v>0</v>
      </c>
      <c r="U36" s="102">
        <v>0</v>
      </c>
      <c r="V36" s="20" t="str">
        <f t="shared" si="60"/>
        <v>-</v>
      </c>
      <c r="W36" s="102">
        <v>0</v>
      </c>
      <c r="X36" s="102">
        <v>0</v>
      </c>
      <c r="Y36" s="20" t="str">
        <f t="shared" si="61"/>
        <v>-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54"/>
        <v>-</v>
      </c>
      <c r="E37" s="27">
        <v>0</v>
      </c>
      <c r="F37" s="27">
        <v>0</v>
      </c>
      <c r="G37" s="20" t="str">
        <f t="shared" si="55"/>
        <v>-</v>
      </c>
      <c r="H37" s="102">
        <v>0</v>
      </c>
      <c r="I37" s="102">
        <v>0</v>
      </c>
      <c r="J37" s="20" t="str">
        <f t="shared" si="56"/>
        <v>-</v>
      </c>
      <c r="K37" s="102">
        <v>0</v>
      </c>
      <c r="L37" s="102">
        <v>0</v>
      </c>
      <c r="M37" s="20" t="str">
        <f t="shared" si="57"/>
        <v>-</v>
      </c>
      <c r="N37" s="102">
        <v>0</v>
      </c>
      <c r="O37" s="102">
        <v>0</v>
      </c>
      <c r="P37" s="20" t="str">
        <f t="shared" si="58"/>
        <v>-</v>
      </c>
      <c r="Q37" s="102">
        <v>0</v>
      </c>
      <c r="R37" s="102">
        <v>0</v>
      </c>
      <c r="S37" s="20" t="str">
        <f t="shared" si="59"/>
        <v>-</v>
      </c>
      <c r="T37" s="102">
        <v>0</v>
      </c>
      <c r="U37" s="102">
        <v>0</v>
      </c>
      <c r="V37" s="20" t="str">
        <f t="shared" si="60"/>
        <v>-</v>
      </c>
      <c r="W37" s="102">
        <v>0</v>
      </c>
      <c r="X37" s="102">
        <v>0</v>
      </c>
      <c r="Y37" s="20" t="str">
        <f t="shared" si="6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0</v>
      </c>
      <c r="F38" s="27">
        <v>0</v>
      </c>
      <c r="G38" s="20" t="str">
        <f t="shared" si="55"/>
        <v>-</v>
      </c>
      <c r="H38" s="102">
        <v>0</v>
      </c>
      <c r="I38" s="102">
        <v>0</v>
      </c>
      <c r="J38" s="20" t="str">
        <f t="shared" si="56"/>
        <v>-</v>
      </c>
      <c r="K38" s="102">
        <v>0</v>
      </c>
      <c r="L38" s="102">
        <v>0</v>
      </c>
      <c r="M38" s="20" t="str">
        <f t="shared" si="57"/>
        <v>-</v>
      </c>
      <c r="N38" s="102">
        <v>0</v>
      </c>
      <c r="O38" s="102">
        <v>0</v>
      </c>
      <c r="P38" s="20" t="str">
        <f t="shared" si="58"/>
        <v>-</v>
      </c>
      <c r="Q38" s="102">
        <v>0</v>
      </c>
      <c r="R38" s="102">
        <v>0</v>
      </c>
      <c r="S38" s="20" t="str">
        <f t="shared" si="59"/>
        <v>-</v>
      </c>
      <c r="T38" s="102">
        <v>0</v>
      </c>
      <c r="U38" s="102">
        <v>0</v>
      </c>
      <c r="V38" s="20" t="str">
        <f t="shared" si="60"/>
        <v>-</v>
      </c>
      <c r="W38" s="102">
        <v>0</v>
      </c>
      <c r="X38" s="102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9528974.1300000008</v>
      </c>
      <c r="C39" s="27">
        <v>9528974.1300000008</v>
      </c>
      <c r="D39" s="20">
        <f t="shared" si="54"/>
        <v>100</v>
      </c>
      <c r="E39" s="27">
        <v>12945987.640000001</v>
      </c>
      <c r="F39" s="27">
        <v>12945987.640000001</v>
      </c>
      <c r="G39" s="20">
        <f t="shared" si="55"/>
        <v>100</v>
      </c>
      <c r="H39" s="102">
        <v>0</v>
      </c>
      <c r="I39" s="102">
        <v>0</v>
      </c>
      <c r="J39" s="20" t="str">
        <f t="shared" si="56"/>
        <v>-</v>
      </c>
      <c r="K39" s="102">
        <v>0</v>
      </c>
      <c r="L39" s="102">
        <v>0</v>
      </c>
      <c r="M39" s="20" t="str">
        <f t="shared" si="57"/>
        <v>-</v>
      </c>
      <c r="N39" s="102">
        <v>0</v>
      </c>
      <c r="O39" s="102">
        <v>0</v>
      </c>
      <c r="P39" s="20" t="str">
        <f t="shared" si="58"/>
        <v>-</v>
      </c>
      <c r="Q39" s="102">
        <v>0</v>
      </c>
      <c r="R39" s="102">
        <v>0</v>
      </c>
      <c r="S39" s="20" t="str">
        <f t="shared" si="59"/>
        <v>-</v>
      </c>
      <c r="T39" s="102">
        <v>0</v>
      </c>
      <c r="U39" s="102">
        <v>0</v>
      </c>
      <c r="V39" s="20" t="str">
        <f t="shared" si="60"/>
        <v>-</v>
      </c>
      <c r="W39" s="102">
        <v>0</v>
      </c>
      <c r="X39" s="102">
        <v>0</v>
      </c>
      <c r="Y39" s="20" t="str">
        <f t="shared" si="61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v>8751723.8800000008</v>
      </c>
      <c r="C40" s="27">
        <v>0</v>
      </c>
      <c r="D40" s="20">
        <f t="shared" si="54"/>
        <v>0</v>
      </c>
      <c r="E40" s="27">
        <v>7532928.6799999997</v>
      </c>
      <c r="F40" s="27">
        <v>0</v>
      </c>
      <c r="G40" s="20">
        <f t="shared" si="55"/>
        <v>0</v>
      </c>
      <c r="H40" s="102">
        <v>7863980.2800000003</v>
      </c>
      <c r="I40" s="102">
        <v>7863980.2800000003</v>
      </c>
      <c r="J40" s="20">
        <f t="shared" si="56"/>
        <v>100</v>
      </c>
      <c r="K40" s="102">
        <v>8210079.6799999997</v>
      </c>
      <c r="L40" s="102">
        <v>8210079.6799999997</v>
      </c>
      <c r="M40" s="20">
        <f t="shared" si="57"/>
        <v>100</v>
      </c>
      <c r="N40" s="102">
        <v>8571226.8800000008</v>
      </c>
      <c r="O40" s="102">
        <v>8571226.8800000008</v>
      </c>
      <c r="P40" s="20">
        <f t="shared" si="58"/>
        <v>100</v>
      </c>
      <c r="Q40" s="102">
        <v>8947421.8800000008</v>
      </c>
      <c r="R40" s="102">
        <v>8947421.8800000008</v>
      </c>
      <c r="S40" s="20">
        <f t="shared" si="59"/>
        <v>100</v>
      </c>
      <c r="T40" s="102">
        <v>9343179.0199999996</v>
      </c>
      <c r="U40" s="102">
        <v>0</v>
      </c>
      <c r="V40" s="20">
        <f t="shared" si="60"/>
        <v>0</v>
      </c>
      <c r="W40" s="102">
        <v>9753983.9600000009</v>
      </c>
      <c r="X40" s="102">
        <v>0</v>
      </c>
      <c r="Y40" s="20">
        <f t="shared" si="61"/>
        <v>0</v>
      </c>
      <c r="Z40" s="13">
        <f t="shared" si="8"/>
        <v>4.396843291995495</v>
      </c>
      <c r="AA40" s="13" t="str">
        <f t="shared" si="8"/>
        <v>-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0</v>
      </c>
      <c r="F41" s="27">
        <v>0</v>
      </c>
      <c r="G41" s="20" t="str">
        <f t="shared" si="55"/>
        <v>-</v>
      </c>
      <c r="H41" s="102">
        <v>0</v>
      </c>
      <c r="I41" s="102">
        <v>0</v>
      </c>
      <c r="J41" s="20" t="str">
        <f t="shared" si="56"/>
        <v>-</v>
      </c>
      <c r="K41" s="102">
        <v>14899859.789999999</v>
      </c>
      <c r="L41" s="102">
        <v>14899859.789999999</v>
      </c>
      <c r="M41" s="20">
        <f t="shared" si="57"/>
        <v>100</v>
      </c>
      <c r="N41" s="102">
        <v>0</v>
      </c>
      <c r="O41" s="102"/>
      <c r="P41" s="20" t="str">
        <f t="shared" si="58"/>
        <v>-</v>
      </c>
      <c r="Q41" s="102">
        <v>0</v>
      </c>
      <c r="R41" s="102">
        <v>0</v>
      </c>
      <c r="S41" s="20" t="str">
        <f t="shared" si="59"/>
        <v>-</v>
      </c>
      <c r="T41" s="102">
        <v>0</v>
      </c>
      <c r="U41" s="102">
        <v>0</v>
      </c>
      <c r="V41" s="20" t="str">
        <f t="shared" si="60"/>
        <v>-</v>
      </c>
      <c r="W41" s="102">
        <v>0</v>
      </c>
      <c r="X41" s="102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8132848.25</v>
      </c>
      <c r="C42" s="27">
        <v>0</v>
      </c>
      <c r="D42" s="20">
        <f t="shared" si="54"/>
        <v>0</v>
      </c>
      <c r="E42" s="27">
        <v>9150834.1699999999</v>
      </c>
      <c r="F42" s="27">
        <v>0</v>
      </c>
      <c r="G42" s="20">
        <f t="shared" si="55"/>
        <v>0</v>
      </c>
      <c r="H42" s="102">
        <v>12242412.65</v>
      </c>
      <c r="I42" s="102">
        <v>12242412.65</v>
      </c>
      <c r="J42" s="20">
        <f t="shared" si="56"/>
        <v>100</v>
      </c>
      <c r="K42" s="102">
        <v>12605461.07</v>
      </c>
      <c r="L42" s="102">
        <v>12605461.07</v>
      </c>
      <c r="M42" s="20">
        <f t="shared" si="57"/>
        <v>100</v>
      </c>
      <c r="N42" s="102">
        <v>5919116.5899999999</v>
      </c>
      <c r="O42" s="102">
        <v>5919116.5899999999</v>
      </c>
      <c r="P42" s="20">
        <f t="shared" si="58"/>
        <v>100</v>
      </c>
      <c r="Q42" s="102">
        <v>8600079.3200000003</v>
      </c>
      <c r="R42" s="102">
        <v>8600079.3200000003</v>
      </c>
      <c r="S42" s="20">
        <f t="shared" si="59"/>
        <v>100</v>
      </c>
      <c r="T42" s="102">
        <v>8890616.9399999995</v>
      </c>
      <c r="U42" s="102">
        <v>0</v>
      </c>
      <c r="V42" s="20">
        <f t="shared" si="60"/>
        <v>0</v>
      </c>
      <c r="W42" s="102">
        <v>9013803.3399999999</v>
      </c>
      <c r="X42" s="102">
        <v>0</v>
      </c>
      <c r="Y42" s="20">
        <f t="shared" si="61"/>
        <v>0</v>
      </c>
      <c r="Z42" s="13">
        <f t="shared" si="8"/>
        <v>1.385577635740546</v>
      </c>
      <c r="AA42" s="13" t="str">
        <f t="shared" si="8"/>
        <v>-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102">
        <v>0</v>
      </c>
      <c r="I43" s="102">
        <v>0</v>
      </c>
      <c r="J43" s="20" t="str">
        <f t="shared" si="56"/>
        <v>-</v>
      </c>
      <c r="K43" s="102">
        <v>0</v>
      </c>
      <c r="L43" s="102">
        <v>0</v>
      </c>
      <c r="M43" s="20" t="str">
        <f t="shared" si="57"/>
        <v>-</v>
      </c>
      <c r="N43" s="102">
        <v>0</v>
      </c>
      <c r="O43" s="102">
        <v>0</v>
      </c>
      <c r="P43" s="20" t="str">
        <f t="shared" si="58"/>
        <v>-</v>
      </c>
      <c r="Q43" s="102">
        <v>0</v>
      </c>
      <c r="R43" s="102">
        <v>0</v>
      </c>
      <c r="S43" s="20" t="str">
        <f t="shared" si="59"/>
        <v>-</v>
      </c>
      <c r="T43" s="102">
        <v>0</v>
      </c>
      <c r="U43" s="102">
        <v>0</v>
      </c>
      <c r="V43" s="20" t="str">
        <f t="shared" si="60"/>
        <v>-</v>
      </c>
      <c r="W43" s="102">
        <v>0</v>
      </c>
      <c r="X43" s="102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101">
        <v>1484223.58</v>
      </c>
      <c r="F44" s="27">
        <v>0</v>
      </c>
      <c r="G44" s="20">
        <f t="shared" si="55"/>
        <v>0</v>
      </c>
      <c r="H44" s="102">
        <v>0</v>
      </c>
      <c r="I44" s="102">
        <v>0</v>
      </c>
      <c r="J44" s="20" t="str">
        <f t="shared" si="56"/>
        <v>-</v>
      </c>
      <c r="K44" s="102">
        <v>0</v>
      </c>
      <c r="L44" s="102">
        <v>0</v>
      </c>
      <c r="M44" s="20" t="str">
        <f t="shared" si="57"/>
        <v>-</v>
      </c>
      <c r="N44" s="102">
        <v>0</v>
      </c>
      <c r="O44" s="102">
        <v>0</v>
      </c>
      <c r="P44" s="20" t="str">
        <f t="shared" si="58"/>
        <v>-</v>
      </c>
      <c r="Q44" s="102">
        <v>0</v>
      </c>
      <c r="R44" s="102">
        <v>0</v>
      </c>
      <c r="S44" s="20" t="str">
        <f t="shared" si="59"/>
        <v>-</v>
      </c>
      <c r="T44" s="102">
        <v>0</v>
      </c>
      <c r="U44" s="102">
        <v>0</v>
      </c>
      <c r="V44" s="20" t="str">
        <f t="shared" si="60"/>
        <v>-</v>
      </c>
      <c r="W44" s="102">
        <v>0</v>
      </c>
      <c r="X44" s="102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456140546.06</v>
      </c>
      <c r="F45" s="27">
        <v>456140546.06</v>
      </c>
      <c r="G45" s="20">
        <f t="shared" si="55"/>
        <v>100</v>
      </c>
      <c r="H45" s="102">
        <v>504358813.82999998</v>
      </c>
      <c r="I45" s="102">
        <v>489108212.02999997</v>
      </c>
      <c r="J45" s="20">
        <f t="shared" si="56"/>
        <v>96.976239656805035</v>
      </c>
      <c r="K45" s="102">
        <v>571935591.89999998</v>
      </c>
      <c r="L45" s="102">
        <v>490382332.94999999</v>
      </c>
      <c r="M45" s="20">
        <f t="shared" si="57"/>
        <v>85.740831641710599</v>
      </c>
      <c r="N45" s="102">
        <v>555086376.88</v>
      </c>
      <c r="O45" s="102">
        <v>506424808.02999997</v>
      </c>
      <c r="P45" s="20">
        <f t="shared" si="58"/>
        <v>91.233514120178128</v>
      </c>
      <c r="Q45" s="102">
        <v>475366855.63999999</v>
      </c>
      <c r="R45" s="102">
        <v>475366855.63999999</v>
      </c>
      <c r="S45" s="20">
        <f t="shared" si="59"/>
        <v>100</v>
      </c>
      <c r="T45" s="102">
        <v>234209525.19</v>
      </c>
      <c r="U45" s="102">
        <v>234209525.19</v>
      </c>
      <c r="V45" s="20">
        <f t="shared" si="60"/>
        <v>100</v>
      </c>
      <c r="W45" s="102">
        <v>121415947.76000001</v>
      </c>
      <c r="X45" s="102">
        <v>121415947.76000001</v>
      </c>
      <c r="Y45" s="20">
        <f t="shared" si="61"/>
        <v>100</v>
      </c>
      <c r="Z45" s="13">
        <f t="shared" si="8"/>
        <v>-48.159261387211892</v>
      </c>
      <c r="AA45" s="13">
        <f t="shared" si="8"/>
        <v>-48.159261387211892</v>
      </c>
    </row>
    <row r="46" spans="1:27" x14ac:dyDescent="0.3">
      <c r="A46" s="5" t="s">
        <v>61</v>
      </c>
      <c r="B46" s="27">
        <v>349702128.26999998</v>
      </c>
      <c r="C46" s="27">
        <v>0</v>
      </c>
      <c r="D46" s="20">
        <f t="shared" si="54"/>
        <v>0</v>
      </c>
      <c r="E46" s="27">
        <v>211290529.93000001</v>
      </c>
      <c r="F46" s="27">
        <v>0</v>
      </c>
      <c r="G46" s="20">
        <f t="shared" si="55"/>
        <v>0</v>
      </c>
      <c r="H46" s="102">
        <v>177637179.81</v>
      </c>
      <c r="I46" s="102">
        <v>0</v>
      </c>
      <c r="J46" s="20">
        <f t="shared" si="56"/>
        <v>0</v>
      </c>
      <c r="K46" s="102">
        <v>248157177.94</v>
      </c>
      <c r="L46" s="102">
        <v>0</v>
      </c>
      <c r="M46" s="20">
        <f t="shared" si="57"/>
        <v>0</v>
      </c>
      <c r="N46" s="102">
        <v>249064212.37</v>
      </c>
      <c r="O46" s="102">
        <v>0</v>
      </c>
      <c r="P46" s="20">
        <f t="shared" si="58"/>
        <v>0</v>
      </c>
      <c r="Q46" s="102">
        <v>321384193.37</v>
      </c>
      <c r="R46" s="102">
        <v>0</v>
      </c>
      <c r="S46" s="20">
        <f t="shared" si="59"/>
        <v>0</v>
      </c>
      <c r="T46" s="102">
        <v>561444993.13</v>
      </c>
      <c r="U46" s="102">
        <v>0</v>
      </c>
      <c r="V46" s="20">
        <f t="shared" si="60"/>
        <v>0</v>
      </c>
      <c r="W46" s="102">
        <v>357423941.67000002</v>
      </c>
      <c r="X46" s="102">
        <v>0</v>
      </c>
      <c r="Y46" s="20">
        <f t="shared" si="61"/>
        <v>0</v>
      </c>
      <c r="Z46" s="13">
        <f t="shared" si="8"/>
        <v>-36.338564588955165</v>
      </c>
      <c r="AA46" s="13" t="str">
        <f t="shared" si="8"/>
        <v>-</v>
      </c>
    </row>
    <row r="47" spans="1:27" x14ac:dyDescent="0.3">
      <c r="A47" s="5" t="s">
        <v>62</v>
      </c>
      <c r="B47" s="27">
        <v>27073260.550000001</v>
      </c>
      <c r="C47" s="27">
        <v>0</v>
      </c>
      <c r="D47" s="20">
        <f t="shared" si="54"/>
        <v>0</v>
      </c>
      <c r="E47" s="27">
        <v>37220642.670000002</v>
      </c>
      <c r="F47" s="27">
        <v>0</v>
      </c>
      <c r="G47" s="20">
        <f t="shared" si="55"/>
        <v>0</v>
      </c>
      <c r="H47" s="102">
        <v>30903959</v>
      </c>
      <c r="I47" s="102">
        <v>0</v>
      </c>
      <c r="J47" s="20">
        <f t="shared" si="56"/>
        <v>0</v>
      </c>
      <c r="K47" s="102">
        <v>34913331.729999997</v>
      </c>
      <c r="L47" s="102">
        <v>0</v>
      </c>
      <c r="M47" s="20">
        <f t="shared" si="57"/>
        <v>0</v>
      </c>
      <c r="N47" s="102">
        <v>28496635.859999999</v>
      </c>
      <c r="O47" s="102">
        <v>0</v>
      </c>
      <c r="P47" s="20">
        <f t="shared" si="58"/>
        <v>0</v>
      </c>
      <c r="Q47" s="102">
        <v>21847676.82</v>
      </c>
      <c r="R47" s="102">
        <v>0</v>
      </c>
      <c r="S47" s="20">
        <f t="shared" si="59"/>
        <v>0</v>
      </c>
      <c r="T47" s="102">
        <v>21574988.539999999</v>
      </c>
      <c r="U47" s="102">
        <v>0</v>
      </c>
      <c r="V47" s="20">
        <f t="shared" si="60"/>
        <v>0</v>
      </c>
      <c r="W47" s="102">
        <v>33676070.130000003</v>
      </c>
      <c r="X47" s="102">
        <v>0</v>
      </c>
      <c r="Y47" s="20">
        <f t="shared" si="61"/>
        <v>0</v>
      </c>
      <c r="Z47" s="13">
        <f t="shared" si="8"/>
        <v>56.088472851629177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685731665.17000008</v>
      </c>
      <c r="C48" s="27">
        <f t="shared" si="62"/>
        <v>524754198.94999999</v>
      </c>
      <c r="D48" s="20">
        <f t="shared" si="54"/>
        <v>76.524714491623754</v>
      </c>
      <c r="E48" s="27">
        <f t="shared" ref="E48:F48" si="63">SUM(E23:E30)</f>
        <v>666095678.48000002</v>
      </c>
      <c r="F48" s="27">
        <f t="shared" si="63"/>
        <v>489508039.8599999</v>
      </c>
      <c r="G48" s="20">
        <f t="shared" si="55"/>
        <v>73.489148132147463</v>
      </c>
      <c r="H48" s="102">
        <f t="shared" ref="H48:I48" si="64">SUM(H23:H30)</f>
        <v>644965629.58000004</v>
      </c>
      <c r="I48" s="102">
        <f t="shared" si="64"/>
        <v>494349779.55000001</v>
      </c>
      <c r="J48" s="20">
        <f t="shared" si="56"/>
        <v>76.647461023918325</v>
      </c>
      <c r="K48" s="102">
        <f t="shared" ref="K48:L48" si="65">SUM(K23:K30)</f>
        <v>629550593.60000014</v>
      </c>
      <c r="L48" s="102">
        <f t="shared" si="65"/>
        <v>500578119.74999994</v>
      </c>
      <c r="M48" s="20">
        <f t="shared" si="57"/>
        <v>79.513564888806073</v>
      </c>
      <c r="N48" s="102">
        <f t="shared" ref="N48:O48" si="66">SUM(N23:N30)</f>
        <v>654479013.62</v>
      </c>
      <c r="O48" s="102">
        <f t="shared" si="66"/>
        <v>510614739.38</v>
      </c>
      <c r="P48" s="20">
        <f t="shared" si="58"/>
        <v>78.018504605018606</v>
      </c>
      <c r="Q48" s="102">
        <f t="shared" ref="Q48:R48" si="67">SUM(Q23:Q30)</f>
        <v>605891106.14999986</v>
      </c>
      <c r="R48" s="102">
        <f t="shared" si="67"/>
        <v>498922492.62</v>
      </c>
      <c r="S48" s="20">
        <f t="shared" si="59"/>
        <v>82.345241175479842</v>
      </c>
      <c r="T48" s="102">
        <f t="shared" ref="T48:U48" si="68">SUM(T23:T30)</f>
        <v>631860697.44000006</v>
      </c>
      <c r="U48" s="102">
        <f t="shared" si="68"/>
        <v>492856841.56</v>
      </c>
      <c r="V48" s="20">
        <f t="shared" si="60"/>
        <v>78.000870058356568</v>
      </c>
      <c r="W48" s="102">
        <f t="shared" ref="W48:X48" si="69">SUM(W23:W30)</f>
        <v>650653792.33999991</v>
      </c>
      <c r="X48" s="102">
        <f t="shared" si="69"/>
        <v>518144562.98999995</v>
      </c>
      <c r="Y48" s="20">
        <f t="shared" si="61"/>
        <v>79.634449086441791</v>
      </c>
      <c r="Z48" s="13">
        <f t="shared" si="8"/>
        <v>2.9742465350575742</v>
      </c>
      <c r="AA48" s="13">
        <f t="shared" si="8"/>
        <v>5.1308451659022722</v>
      </c>
    </row>
    <row r="49" spans="1:27" x14ac:dyDescent="0.3">
      <c r="A49" s="5" t="s">
        <v>64</v>
      </c>
      <c r="B49" s="27">
        <f t="shared" ref="B49:C49" si="70">SUM(B31:B35)</f>
        <v>49960483.359999992</v>
      </c>
      <c r="C49" s="27">
        <f t="shared" si="70"/>
        <v>29786319.720000003</v>
      </c>
      <c r="D49" s="20">
        <f t="shared" si="54"/>
        <v>59.619758890979647</v>
      </c>
      <c r="E49" s="27">
        <f t="shared" ref="E49:F49" si="71">SUM(E31:E35)</f>
        <v>45635556.089999996</v>
      </c>
      <c r="F49" s="27">
        <f t="shared" si="71"/>
        <v>22174271.120000001</v>
      </c>
      <c r="G49" s="20">
        <f t="shared" si="55"/>
        <v>48.589900112686465</v>
      </c>
      <c r="H49" s="102">
        <f t="shared" ref="H49:I49" si="72">SUM(H31:H35)</f>
        <v>51169992.390000001</v>
      </c>
      <c r="I49" s="102">
        <f t="shared" si="72"/>
        <v>28359523.300000001</v>
      </c>
      <c r="J49" s="20">
        <f t="shared" si="56"/>
        <v>55.422176114183316</v>
      </c>
      <c r="K49" s="102">
        <f t="shared" ref="K49:L49" si="73">SUM(K31:K35)</f>
        <v>53254265.900000006</v>
      </c>
      <c r="L49" s="102">
        <f t="shared" si="73"/>
        <v>34364350.829999998</v>
      </c>
      <c r="M49" s="20">
        <f t="shared" si="57"/>
        <v>64.528822713524619</v>
      </c>
      <c r="N49" s="102">
        <f t="shared" ref="N49:O49" si="74">SUM(N31:N35)</f>
        <v>39079667.509999998</v>
      </c>
      <c r="O49" s="102">
        <f t="shared" si="74"/>
        <v>17052016.169999998</v>
      </c>
      <c r="P49" s="20">
        <f t="shared" si="58"/>
        <v>43.633984771330518</v>
      </c>
      <c r="Q49" s="102">
        <f t="shared" ref="Q49:R49" si="75">SUM(Q31:Q35)</f>
        <v>72322764.449999988</v>
      </c>
      <c r="R49" s="102">
        <f t="shared" si="75"/>
        <v>30073545.379999999</v>
      </c>
      <c r="S49" s="20">
        <f t="shared" si="59"/>
        <v>41.582405773207419</v>
      </c>
      <c r="T49" s="102">
        <f t="shared" ref="T49:U49" si="76">SUM(T31:T35)</f>
        <v>53720134.780000001</v>
      </c>
      <c r="U49" s="102">
        <f t="shared" si="76"/>
        <v>31291582.140000001</v>
      </c>
      <c r="V49" s="20">
        <f t="shared" si="60"/>
        <v>58.24926215868291</v>
      </c>
      <c r="W49" s="102">
        <f t="shared" ref="W49:X49" si="77">SUM(W31:W35)</f>
        <v>173635935.66999999</v>
      </c>
      <c r="X49" s="102">
        <f t="shared" si="77"/>
        <v>149814050.68000001</v>
      </c>
      <c r="Y49" s="20">
        <f t="shared" si="61"/>
        <v>86.280555981640717</v>
      </c>
      <c r="Z49" s="13">
        <f t="shared" si="8"/>
        <v>223.22319439646049</v>
      </c>
      <c r="AA49" s="13">
        <f t="shared" si="8"/>
        <v>378.76789997298619</v>
      </c>
    </row>
    <row r="50" spans="1:27" x14ac:dyDescent="0.3">
      <c r="A50" s="5" t="s">
        <v>65</v>
      </c>
      <c r="B50" s="27">
        <f t="shared" ref="B50:C50" si="78">SUM(B36:B39)</f>
        <v>9528974.1300000008</v>
      </c>
      <c r="C50" s="27">
        <f t="shared" si="78"/>
        <v>9528974.1300000008</v>
      </c>
      <c r="D50" s="20">
        <f t="shared" si="54"/>
        <v>100</v>
      </c>
      <c r="E50" s="27">
        <f t="shared" ref="E50:F50" si="79">SUM(E36:E39)</f>
        <v>12945987.640000001</v>
      </c>
      <c r="F50" s="27">
        <f t="shared" si="79"/>
        <v>12945987.640000001</v>
      </c>
      <c r="G50" s="20">
        <f t="shared" si="55"/>
        <v>100</v>
      </c>
      <c r="H50" s="102">
        <f t="shared" ref="H50:I50" si="80">SUM(H36:H39)</f>
        <v>0</v>
      </c>
      <c r="I50" s="102">
        <f t="shared" si="80"/>
        <v>0</v>
      </c>
      <c r="J50" s="20" t="str">
        <f t="shared" si="56"/>
        <v>-</v>
      </c>
      <c r="K50" s="102">
        <f t="shared" ref="K50:L50" si="81">SUM(K36:K39)</f>
        <v>0</v>
      </c>
      <c r="L50" s="102">
        <f t="shared" si="81"/>
        <v>0</v>
      </c>
      <c r="M50" s="20" t="str">
        <f t="shared" si="57"/>
        <v>-</v>
      </c>
      <c r="N50" s="102">
        <f t="shared" ref="N50:O50" si="82">SUM(N36:N39)</f>
        <v>60000</v>
      </c>
      <c r="O50" s="102">
        <f t="shared" si="82"/>
        <v>60000</v>
      </c>
      <c r="P50" s="20">
        <f t="shared" si="58"/>
        <v>100</v>
      </c>
      <c r="Q50" s="102">
        <f t="shared" ref="Q50:R50" si="83">SUM(Q36:Q39)</f>
        <v>0</v>
      </c>
      <c r="R50" s="102">
        <f t="shared" si="83"/>
        <v>0</v>
      </c>
      <c r="S50" s="20" t="str">
        <f t="shared" si="59"/>
        <v>-</v>
      </c>
      <c r="T50" s="102">
        <f t="shared" ref="T50:U50" si="84">SUM(T36:T39)</f>
        <v>0</v>
      </c>
      <c r="U50" s="102">
        <f t="shared" si="84"/>
        <v>0</v>
      </c>
      <c r="V50" s="20" t="str">
        <f t="shared" si="60"/>
        <v>-</v>
      </c>
      <c r="W50" s="102">
        <f t="shared" ref="W50:X50" si="85">SUM(W36:W39)</f>
        <v>0</v>
      </c>
      <c r="X50" s="102">
        <f t="shared" si="85"/>
        <v>0</v>
      </c>
      <c r="Y50" s="20" t="str">
        <f t="shared" si="61"/>
        <v>-</v>
      </c>
      <c r="Z50" s="13" t="str">
        <f t="shared" si="8"/>
        <v>-</v>
      </c>
      <c r="AA50" s="13" t="str">
        <f t="shared" si="8"/>
        <v>-</v>
      </c>
    </row>
    <row r="51" spans="1:27" x14ac:dyDescent="0.3">
      <c r="A51" s="5" t="s">
        <v>66</v>
      </c>
      <c r="B51" s="27">
        <f t="shared" ref="B51" si="86">SUM(B40:B44)</f>
        <v>16884572.130000003</v>
      </c>
      <c r="C51" s="29">
        <v>12781538.5</v>
      </c>
      <c r="D51" s="20">
        <f t="shared" si="54"/>
        <v>75.699510781739889</v>
      </c>
      <c r="E51" s="27">
        <f t="shared" ref="E51" si="87">SUM(E40:E44)</f>
        <v>18167986.43</v>
      </c>
      <c r="F51" s="29">
        <v>13568688.960000001</v>
      </c>
      <c r="G51" s="20">
        <f t="shared" si="55"/>
        <v>74.684605320899067</v>
      </c>
      <c r="H51" s="102">
        <f t="shared" ref="H51:I51" si="88">SUM(H40:H44)</f>
        <v>20106392.93</v>
      </c>
      <c r="I51" s="102">
        <f t="shared" si="88"/>
        <v>20106392.93</v>
      </c>
      <c r="J51" s="20">
        <f t="shared" si="56"/>
        <v>100</v>
      </c>
      <c r="K51" s="102">
        <f t="shared" ref="K51:L51" si="89">SUM(K40:K44)</f>
        <v>35715400.539999999</v>
      </c>
      <c r="L51" s="102">
        <f t="shared" si="89"/>
        <v>35715400.539999999</v>
      </c>
      <c r="M51" s="20">
        <f t="shared" si="57"/>
        <v>100</v>
      </c>
      <c r="N51" s="102">
        <f t="shared" ref="N51:O51" si="90">SUM(N40:N44)</f>
        <v>14490343.470000001</v>
      </c>
      <c r="O51" s="102">
        <f t="shared" si="90"/>
        <v>14490343.470000001</v>
      </c>
      <c r="P51" s="20">
        <f t="shared" si="58"/>
        <v>100</v>
      </c>
      <c r="Q51" s="102">
        <f t="shared" ref="Q51:R51" si="91">SUM(Q40:Q44)</f>
        <v>17547501.200000003</v>
      </c>
      <c r="R51" s="102">
        <f t="shared" si="91"/>
        <v>17547501.200000003</v>
      </c>
      <c r="S51" s="20">
        <f t="shared" si="59"/>
        <v>100</v>
      </c>
      <c r="T51" s="102">
        <f t="shared" ref="T51" si="92">SUM(T40:T44)</f>
        <v>18233795.960000001</v>
      </c>
      <c r="U51" s="103">
        <v>18188589.280000001</v>
      </c>
      <c r="V51" s="20">
        <f t="shared" si="60"/>
        <v>99.752072030973849</v>
      </c>
      <c r="W51" s="102">
        <f t="shared" ref="W51" si="93">SUM(W40:W44)</f>
        <v>18767787.300000001</v>
      </c>
      <c r="X51" s="103">
        <v>18721569.350000001</v>
      </c>
      <c r="Y51" s="20">
        <f t="shared" si="61"/>
        <v>99.753737884699916</v>
      </c>
      <c r="Z51" s="13">
        <f t="shared" si="8"/>
        <v>2.928580209910379</v>
      </c>
      <c r="AA51" s="13">
        <f t="shared" si="8"/>
        <v>2.9302991111359091</v>
      </c>
    </row>
    <row r="52" spans="1:27" x14ac:dyDescent="0.3">
      <c r="A52" s="5" t="s">
        <v>67</v>
      </c>
      <c r="B52" s="27">
        <f t="shared" ref="B52:F52" si="94">B45</f>
        <v>0</v>
      </c>
      <c r="C52" s="27">
        <f t="shared" si="94"/>
        <v>0</v>
      </c>
      <c r="D52" s="20" t="str">
        <f t="shared" si="54"/>
        <v>-</v>
      </c>
      <c r="E52" s="27">
        <f t="shared" si="94"/>
        <v>456140546.06</v>
      </c>
      <c r="F52" s="27">
        <f t="shared" si="94"/>
        <v>456140546.06</v>
      </c>
      <c r="G52" s="20">
        <f t="shared" si="55"/>
        <v>100</v>
      </c>
      <c r="H52" s="102">
        <f t="shared" ref="H52:I52" si="95">H45</f>
        <v>504358813.82999998</v>
      </c>
      <c r="I52" s="102">
        <f t="shared" si="95"/>
        <v>489108212.02999997</v>
      </c>
      <c r="J52" s="20">
        <f t="shared" si="56"/>
        <v>96.976239656805035</v>
      </c>
      <c r="K52" s="102">
        <f t="shared" ref="K52:L52" si="96">K45</f>
        <v>571935591.89999998</v>
      </c>
      <c r="L52" s="102">
        <f t="shared" si="96"/>
        <v>490382332.94999999</v>
      </c>
      <c r="M52" s="20">
        <f t="shared" si="57"/>
        <v>85.740831641710599</v>
      </c>
      <c r="N52" s="102">
        <f t="shared" ref="N52:O52" si="97">N45</f>
        <v>555086376.88</v>
      </c>
      <c r="O52" s="102">
        <f t="shared" si="97"/>
        <v>506424808.02999997</v>
      </c>
      <c r="P52" s="20">
        <f t="shared" si="58"/>
        <v>91.233514120178128</v>
      </c>
      <c r="Q52" s="102">
        <f t="shared" ref="Q52:R52" si="98">Q45</f>
        <v>475366855.63999999</v>
      </c>
      <c r="R52" s="102">
        <f t="shared" si="98"/>
        <v>475366855.63999999</v>
      </c>
      <c r="S52" s="20">
        <f t="shared" si="59"/>
        <v>100</v>
      </c>
      <c r="T52" s="102">
        <f t="shared" ref="T52:U52" si="99">T45</f>
        <v>234209525.19</v>
      </c>
      <c r="U52" s="102">
        <f t="shared" si="99"/>
        <v>234209525.19</v>
      </c>
      <c r="V52" s="20">
        <f t="shared" si="60"/>
        <v>100</v>
      </c>
      <c r="W52" s="102">
        <f t="shared" ref="W52:X52" si="100">W45</f>
        <v>121415947.76000001</v>
      </c>
      <c r="X52" s="102">
        <f t="shared" si="100"/>
        <v>121415947.76000001</v>
      </c>
      <c r="Y52" s="20">
        <f t="shared" si="61"/>
        <v>100</v>
      </c>
      <c r="Z52" s="13">
        <f t="shared" si="8"/>
        <v>-48.159261387211892</v>
      </c>
      <c r="AA52" s="13">
        <f t="shared" si="8"/>
        <v>-48.159261387211892</v>
      </c>
    </row>
    <row r="53" spans="1:27" x14ac:dyDescent="0.3">
      <c r="A53" s="5" t="s">
        <v>68</v>
      </c>
      <c r="B53" s="27">
        <f>SUM(B46:B47)</f>
        <v>376775388.81999999</v>
      </c>
      <c r="C53" s="29">
        <v>365803321.37</v>
      </c>
      <c r="D53" s="20">
        <f t="shared" si="54"/>
        <v>97.087902295220843</v>
      </c>
      <c r="E53" s="27">
        <f>SUM(E46:E47)</f>
        <v>248511172.60000002</v>
      </c>
      <c r="F53" s="29">
        <v>221771612.25</v>
      </c>
      <c r="G53" s="20">
        <f t="shared" si="55"/>
        <v>89.240097308204483</v>
      </c>
      <c r="H53" s="102">
        <f>SUM(H46:H47)</f>
        <v>208541138.81</v>
      </c>
      <c r="I53" s="103">
        <v>191427051.97999999</v>
      </c>
      <c r="J53" s="20">
        <f t="shared" si="56"/>
        <v>91.793424104395768</v>
      </c>
      <c r="K53" s="102">
        <f>SUM(K46:K47)</f>
        <v>283070509.67000002</v>
      </c>
      <c r="L53" s="106">
        <v>260718683.50999999</v>
      </c>
      <c r="M53" s="20">
        <f t="shared" si="57"/>
        <v>92.103795557489363</v>
      </c>
      <c r="N53" s="102">
        <f>SUM(N46:N47)</f>
        <v>277560848.23000002</v>
      </c>
      <c r="O53" s="106">
        <v>256229150.27000001</v>
      </c>
      <c r="P53" s="20">
        <f t="shared" si="58"/>
        <v>92.31458683887449</v>
      </c>
      <c r="Q53" s="102">
        <f>SUM(Q46:Q47)</f>
        <v>343231870.19</v>
      </c>
      <c r="R53" s="106">
        <v>326235083.69</v>
      </c>
      <c r="S53" s="20">
        <f t="shared" si="59"/>
        <v>95.048016231537233</v>
      </c>
      <c r="T53" s="102">
        <f>SUM(T46:T47)</f>
        <v>583019981.66999996</v>
      </c>
      <c r="U53" s="106">
        <v>561697583.14999998</v>
      </c>
      <c r="V53" s="20">
        <f t="shared" si="60"/>
        <v>96.342767110841692</v>
      </c>
      <c r="W53" s="102">
        <f>SUM(W46:W47)</f>
        <v>391100011.80000001</v>
      </c>
      <c r="X53" s="106">
        <v>381238785.41000003</v>
      </c>
      <c r="Y53" s="20">
        <f t="shared" si="61"/>
        <v>97.478592152269528</v>
      </c>
      <c r="Z53" s="13">
        <f t="shared" si="8"/>
        <v>-32.918249100187808</v>
      </c>
      <c r="AA53" s="13">
        <f t="shared" si="8"/>
        <v>-32.12739437616716</v>
      </c>
    </row>
    <row r="54" spans="1:27" x14ac:dyDescent="0.3">
      <c r="A54" s="5" t="s">
        <v>69</v>
      </c>
      <c r="B54" s="19">
        <f t="shared" ref="B54:C54" si="101">SUM(B48:B53)</f>
        <v>1138881083.6100001</v>
      </c>
      <c r="C54" s="19">
        <f t="shared" si="101"/>
        <v>942654352.66999996</v>
      </c>
      <c r="D54" s="20">
        <f t="shared" si="54"/>
        <v>82.770217737043723</v>
      </c>
      <c r="E54" s="24">
        <f t="shared" ref="E54:F54" si="102">SUM(E48:E53)</f>
        <v>1447496927.3000002</v>
      </c>
      <c r="F54" s="19">
        <f t="shared" si="102"/>
        <v>1216109145.8899999</v>
      </c>
      <c r="G54" s="20">
        <f t="shared" si="55"/>
        <v>84.01462710932276</v>
      </c>
      <c r="H54" s="24">
        <f t="shared" ref="H54:I54" si="103">SUM(H48:H53)</f>
        <v>1429141967.54</v>
      </c>
      <c r="I54" s="19">
        <f t="shared" si="103"/>
        <v>1223350959.79</v>
      </c>
      <c r="J54" s="20">
        <f t="shared" si="56"/>
        <v>85.600380338404676</v>
      </c>
      <c r="K54" s="24">
        <f t="shared" ref="K54:L54" si="104">SUM(K48:K53)</f>
        <v>1573526361.6100001</v>
      </c>
      <c r="L54" s="19">
        <f t="shared" si="104"/>
        <v>1321758887.5799999</v>
      </c>
      <c r="M54" s="20">
        <f t="shared" si="57"/>
        <v>83.999793065278112</v>
      </c>
      <c r="N54" s="24">
        <f t="shared" ref="N54:O54" si="105">SUM(N48:N53)</f>
        <v>1540756249.71</v>
      </c>
      <c r="O54" s="19">
        <f t="shared" si="105"/>
        <v>1304871057.3199999</v>
      </c>
      <c r="P54" s="20">
        <f t="shared" si="58"/>
        <v>84.69029786934837</v>
      </c>
      <c r="Q54" s="24">
        <f t="shared" ref="Q54:R54" si="106">SUM(Q48:Q53)</f>
        <v>1514360097.6300001</v>
      </c>
      <c r="R54" s="19">
        <f t="shared" si="106"/>
        <v>1348145478.53</v>
      </c>
      <c r="S54" s="20">
        <f t="shared" si="59"/>
        <v>89.024102037545177</v>
      </c>
      <c r="T54" s="24">
        <f t="shared" ref="T54:U54" si="107">SUM(T48:T53)</f>
        <v>1521044135.04</v>
      </c>
      <c r="U54" s="19">
        <f t="shared" si="107"/>
        <v>1338244121.3200002</v>
      </c>
      <c r="V54" s="20">
        <f t="shared" si="60"/>
        <v>87.981938886001316</v>
      </c>
      <c r="W54" s="28">
        <f t="shared" ref="W54:X54" si="108">SUM(W48:W53)</f>
        <v>1355573474.8699999</v>
      </c>
      <c r="X54" s="28">
        <f t="shared" si="108"/>
        <v>1189334916.1900001</v>
      </c>
      <c r="Y54" s="20">
        <f t="shared" si="61"/>
        <v>87.736661880615358</v>
      </c>
      <c r="Z54" s="13">
        <f t="shared" si="8"/>
        <v>-10.878754689498109</v>
      </c>
      <c r="AA54" s="13">
        <f t="shared" si="8"/>
        <v>-11.127207865715931</v>
      </c>
    </row>
    <row r="55" spans="1:27" x14ac:dyDescent="0.3">
      <c r="A55" s="14" t="s">
        <v>70</v>
      </c>
      <c r="B55" s="15">
        <f t="shared" ref="B55:F55" si="109">B54-B53</f>
        <v>762105694.7900002</v>
      </c>
      <c r="C55" s="15">
        <f t="shared" si="109"/>
        <v>576851031.29999995</v>
      </c>
      <c r="D55" s="21">
        <f t="shared" si="54"/>
        <v>75.691736099538318</v>
      </c>
      <c r="E55" s="25">
        <f t="shared" si="109"/>
        <v>1198985754.7000003</v>
      </c>
      <c r="F55" s="15">
        <f t="shared" si="109"/>
        <v>994337533.63999987</v>
      </c>
      <c r="G55" s="21">
        <f t="shared" si="55"/>
        <v>82.931555253447883</v>
      </c>
      <c r="H55" s="25">
        <f t="shared" ref="H55:I55" si="110">H54-H53</f>
        <v>1220600828.73</v>
      </c>
      <c r="I55" s="15">
        <f t="shared" si="110"/>
        <v>1031923907.8099999</v>
      </c>
      <c r="J55" s="21">
        <f t="shared" si="56"/>
        <v>84.542291265170363</v>
      </c>
      <c r="K55" s="25">
        <f t="shared" ref="K55:L55" si="111">K54-K53</f>
        <v>1290455851.9400001</v>
      </c>
      <c r="L55" s="15">
        <f t="shared" si="111"/>
        <v>1061040204.0699999</v>
      </c>
      <c r="M55" s="21">
        <f t="shared" si="57"/>
        <v>82.222123482557791</v>
      </c>
      <c r="N55" s="25">
        <f t="shared" ref="N55:O55" si="112">N54-N53</f>
        <v>1263195401.48</v>
      </c>
      <c r="O55" s="15">
        <f t="shared" si="112"/>
        <v>1048641907.05</v>
      </c>
      <c r="P55" s="21">
        <f t="shared" si="58"/>
        <v>83.015019356576005</v>
      </c>
      <c r="Q55" s="25">
        <f t="shared" ref="Q55:R55" si="113">Q54-Q53</f>
        <v>1171128227.4400001</v>
      </c>
      <c r="R55" s="15">
        <f t="shared" si="113"/>
        <v>1021910394.8399999</v>
      </c>
      <c r="S55" s="21">
        <f t="shared" si="59"/>
        <v>87.25862556261842</v>
      </c>
      <c r="T55" s="25">
        <f t="shared" ref="T55:U55" si="114">T54-T53</f>
        <v>938024153.37</v>
      </c>
      <c r="U55" s="15">
        <f t="shared" si="114"/>
        <v>776546538.1700002</v>
      </c>
      <c r="V55" s="21">
        <f t="shared" si="60"/>
        <v>82.785345705665904</v>
      </c>
      <c r="W55" s="28">
        <f t="shared" ref="W55:X55" si="115">W54-W53</f>
        <v>964473463.06999993</v>
      </c>
      <c r="X55" s="28">
        <f t="shared" si="115"/>
        <v>808096130.77999997</v>
      </c>
      <c r="Y55" s="21">
        <f t="shared" si="61"/>
        <v>83.786248323283274</v>
      </c>
      <c r="Z55" s="16">
        <f t="shared" si="8"/>
        <v>2.8196832251042423</v>
      </c>
      <c r="AA55" s="16">
        <f t="shared" si="8"/>
        <v>4.0628077081315865</v>
      </c>
    </row>
    <row r="56" spans="1:27" x14ac:dyDescent="0.3">
      <c r="A56" s="5" t="s">
        <v>71</v>
      </c>
      <c r="B56" s="28">
        <f t="shared" ref="B56:C57" si="116">B14-B48</f>
        <v>95440450.599999905</v>
      </c>
      <c r="C56" s="28">
        <f t="shared" si="116"/>
        <v>7037287.5199999809</v>
      </c>
      <c r="D56" s="22"/>
      <c r="E56" s="28">
        <f t="shared" ref="E56:F57" si="117">E14-E48</f>
        <v>114955769.66000009</v>
      </c>
      <c r="F56" s="28">
        <f t="shared" si="117"/>
        <v>21851008.210000098</v>
      </c>
      <c r="G56" s="22"/>
      <c r="H56" s="28">
        <f t="shared" ref="H56:I57" si="118">H14-H48</f>
        <v>205643824.59000003</v>
      </c>
      <c r="I56" s="28">
        <f t="shared" si="118"/>
        <v>50674382.219999969</v>
      </c>
      <c r="J56" s="22"/>
      <c r="K56" s="28">
        <f t="shared" ref="K56:L56" si="119">K14-K48</f>
        <v>258422291.18999982</v>
      </c>
      <c r="L56" s="28">
        <f t="shared" si="119"/>
        <v>2089455.8500000238</v>
      </c>
      <c r="M56" s="22"/>
      <c r="N56" s="28">
        <f t="shared" ref="N56:O56" si="120">N14-N48</f>
        <v>223335608.04999995</v>
      </c>
      <c r="O56" s="28">
        <f t="shared" si="120"/>
        <v>68754023.25</v>
      </c>
      <c r="P56" s="22"/>
      <c r="Q56" s="28">
        <f t="shared" ref="Q56:R56" si="121">Q14-Q48</f>
        <v>386102519.00000012</v>
      </c>
      <c r="R56" s="28">
        <f t="shared" si="121"/>
        <v>74245618.960000038</v>
      </c>
      <c r="S56" s="22"/>
      <c r="T56" s="28">
        <f t="shared" ref="T56:U56" si="122">T14-T48</f>
        <v>283840590.31999993</v>
      </c>
      <c r="U56" s="28">
        <f t="shared" si="122"/>
        <v>-134919086.93000001</v>
      </c>
      <c r="V56" s="22"/>
      <c r="W56" s="28">
        <f t="shared" ref="W56:X57" si="123">W14-W48</f>
        <v>257339560.76000011</v>
      </c>
      <c r="X56" s="28">
        <f t="shared" si="123"/>
        <v>39192592.439999998</v>
      </c>
      <c r="Y56" s="22"/>
      <c r="Z56" s="13">
        <f t="shared" ref="Z56:AA59" si="124">IF(T56&gt;0,W56/T56*100-100,"-")</f>
        <v>-9.3365890798503273</v>
      </c>
      <c r="AA56" s="13" t="str">
        <f t="shared" si="124"/>
        <v>-</v>
      </c>
    </row>
    <row r="57" spans="1:27" x14ac:dyDescent="0.3">
      <c r="A57" s="5" t="s">
        <v>72</v>
      </c>
      <c r="B57" s="28">
        <f t="shared" si="116"/>
        <v>-28018839.569999993</v>
      </c>
      <c r="C57" s="28">
        <f t="shared" si="116"/>
        <v>-16344203.350000001</v>
      </c>
      <c r="D57" s="22"/>
      <c r="E57" s="28">
        <f t="shared" si="117"/>
        <v>-1060510.099999994</v>
      </c>
      <c r="F57" s="28">
        <f t="shared" si="117"/>
        <v>12566762.41</v>
      </c>
      <c r="G57" s="22"/>
      <c r="H57" s="28">
        <f t="shared" si="118"/>
        <v>-24281776.5</v>
      </c>
      <c r="I57" s="28">
        <f t="shared" si="118"/>
        <v>-7347616.7200000025</v>
      </c>
      <c r="J57" s="22"/>
      <c r="K57" s="28">
        <f t="shared" ref="K57:L57" si="125">K15-K49</f>
        <v>-13728425.540000007</v>
      </c>
      <c r="L57" s="28">
        <f t="shared" si="125"/>
        <v>785576.00999999791</v>
      </c>
      <c r="M57" s="22"/>
      <c r="N57" s="28">
        <f t="shared" ref="N57:O57" si="126">N15-N49</f>
        <v>-5007552.07</v>
      </c>
      <c r="O57" s="28">
        <f t="shared" si="126"/>
        <v>2687375.200000003</v>
      </c>
      <c r="P57" s="22"/>
      <c r="Q57" s="28">
        <f t="shared" ref="Q57:R57" si="127">Q15-Q49</f>
        <v>-41807270.609999985</v>
      </c>
      <c r="R57" s="28">
        <f t="shared" si="127"/>
        <v>-7230230.7099999972</v>
      </c>
      <c r="S57" s="22"/>
      <c r="T57" s="28">
        <f t="shared" ref="T57:U57" si="128">T15-T49</f>
        <v>85141896.25</v>
      </c>
      <c r="U57" s="28">
        <f t="shared" si="128"/>
        <v>72868886.799999997</v>
      </c>
      <c r="V57" s="22"/>
      <c r="W57" s="28">
        <f t="shared" si="123"/>
        <v>42687670.909999996</v>
      </c>
      <c r="X57" s="28">
        <f t="shared" si="123"/>
        <v>-5688235.7000000179</v>
      </c>
      <c r="Y57" s="22"/>
      <c r="Z57" s="13">
        <f t="shared" si="124"/>
        <v>-49.862907933531019</v>
      </c>
      <c r="AA57" s="13">
        <f t="shared" si="124"/>
        <v>-107.80612405348289</v>
      </c>
    </row>
    <row r="58" spans="1:27" x14ac:dyDescent="0.3">
      <c r="A58" s="5" t="s">
        <v>357</v>
      </c>
      <c r="B58" s="28">
        <f t="shared" ref="B58:C58" si="129">SUM(B14:B16)-SUM(B48:B50)</f>
        <v>67421611.029999852</v>
      </c>
      <c r="C58" s="28">
        <f t="shared" si="129"/>
        <v>-18835889.960000038</v>
      </c>
      <c r="D58" s="22"/>
      <c r="E58" s="28">
        <f t="shared" ref="E58:F58" si="130">SUM(E14:E16)-SUM(E48:E50)</f>
        <v>113895259.56000006</v>
      </c>
      <c r="F58" s="28">
        <f t="shared" si="130"/>
        <v>21471782.980000138</v>
      </c>
      <c r="G58" s="22"/>
      <c r="H58" s="28">
        <f t="shared" ref="H58:I58" si="131">SUM(H14:H16)-SUM(H48:H50)</f>
        <v>181362048.09000003</v>
      </c>
      <c r="I58" s="28">
        <f t="shared" si="131"/>
        <v>43326765.5</v>
      </c>
      <c r="J58" s="22"/>
      <c r="K58" s="28">
        <f t="shared" ref="K58:L58" si="132">SUM(K14:K16)-SUM(K48:K50)</f>
        <v>244693865.64999986</v>
      </c>
      <c r="L58" s="28">
        <f t="shared" si="132"/>
        <v>2875031.8600000143</v>
      </c>
      <c r="M58" s="22"/>
      <c r="N58" s="28">
        <f t="shared" ref="N58:O58" si="133">SUM(N14:N16)-SUM(N48:N50)</f>
        <v>218268055.9799999</v>
      </c>
      <c r="O58" s="28">
        <f t="shared" si="133"/>
        <v>71381398.449999988</v>
      </c>
      <c r="P58" s="22"/>
      <c r="Q58" s="28">
        <f t="shared" ref="Q58:R58" si="134">SUM(Q14:Q16)-SUM(Q48:Q50)</f>
        <v>344297328.3900001</v>
      </c>
      <c r="R58" s="28">
        <f t="shared" si="134"/>
        <v>67017468.25</v>
      </c>
      <c r="S58" s="22"/>
      <c r="T58" s="28">
        <f t="shared" ref="T58:U58" si="135">SUM(T14:T16)-SUM(T48:T50)</f>
        <v>368982486.56999993</v>
      </c>
      <c r="U58" s="28">
        <f t="shared" si="135"/>
        <v>-62050200.129999995</v>
      </c>
      <c r="V58" s="22"/>
      <c r="W58" s="28">
        <f t="shared" ref="W58:X58" si="136">SUM(W14:W16)-SUM(W48:W50)</f>
        <v>300027231.6700002</v>
      </c>
      <c r="X58" s="28">
        <f t="shared" si="136"/>
        <v>33504356.74000001</v>
      </c>
      <c r="Y58" s="22"/>
      <c r="Z58" s="13">
        <f t="shared" si="124"/>
        <v>-18.687947913462338</v>
      </c>
      <c r="AA58" s="13" t="str">
        <f t="shared" si="124"/>
        <v>-</v>
      </c>
    </row>
    <row r="59" spans="1:27" x14ac:dyDescent="0.3">
      <c r="A59" s="5" t="s">
        <v>358</v>
      </c>
      <c r="B59" s="28">
        <f t="shared" ref="B59:C59" si="137">B21-B55</f>
        <v>60515305.559999704</v>
      </c>
      <c r="C59" s="28">
        <f t="shared" si="137"/>
        <v>-22088454.330000162</v>
      </c>
      <c r="D59" s="107"/>
      <c r="E59" s="28">
        <f t="shared" ref="E59:F59" si="138">E21-E55</f>
        <v>109731288.97999978</v>
      </c>
      <c r="F59" s="28">
        <f t="shared" si="138"/>
        <v>20849081.660000086</v>
      </c>
      <c r="G59" s="107"/>
      <c r="H59" s="28">
        <f t="shared" ref="H59:I59" si="139">H21-H55</f>
        <v>162276325.16000009</v>
      </c>
      <c r="I59" s="28">
        <f t="shared" si="139"/>
        <v>38470974.370000124</v>
      </c>
      <c r="J59" s="107"/>
      <c r="K59" s="28">
        <f t="shared" ref="K59:L59" si="140">K21-K55</f>
        <v>223878324.89999986</v>
      </c>
      <c r="L59" s="28">
        <f t="shared" si="140"/>
        <v>63612750.059999943</v>
      </c>
      <c r="M59" s="107"/>
      <c r="N59" s="28">
        <f t="shared" ref="N59:O59" si="141">N21-N55</f>
        <v>203777712.50999975</v>
      </c>
      <c r="O59" s="28">
        <f t="shared" si="141"/>
        <v>105552623.83000016</v>
      </c>
      <c r="P59" s="107"/>
      <c r="Q59" s="28">
        <f t="shared" ref="Q59:R59" si="142">Q21-Q55</f>
        <v>326749827.19000006</v>
      </c>
      <c r="R59" s="28">
        <f t="shared" si="142"/>
        <v>49469967.049999952</v>
      </c>
      <c r="S59" s="107"/>
      <c r="T59" s="28">
        <f t="shared" ref="T59:U59" si="143">T21-T55</f>
        <v>350748690.61000001</v>
      </c>
      <c r="U59" s="28">
        <f t="shared" si="143"/>
        <v>-80238789.410000086</v>
      </c>
      <c r="V59" s="107"/>
      <c r="W59" s="28">
        <f t="shared" ref="W59:X59" si="144">W21-W55</f>
        <v>281259444.37000012</v>
      </c>
      <c r="X59" s="28">
        <f t="shared" si="144"/>
        <v>14782787.389999986</v>
      </c>
      <c r="Y59" s="107"/>
      <c r="Z59" s="13">
        <f t="shared" si="124"/>
        <v>-19.811690848837827</v>
      </c>
      <c r="AA59" s="13" t="str">
        <f t="shared" si="124"/>
        <v>-</v>
      </c>
    </row>
    <row r="60" spans="1:27" x14ac:dyDescent="0.3">
      <c r="A60" s="5" t="s">
        <v>359</v>
      </c>
      <c r="C60" s="6">
        <f>SUM(C14:C16)/SUM(B14:B16)*100</f>
        <v>67.093887662569202</v>
      </c>
      <c r="D60" s="107"/>
      <c r="F60" s="6">
        <f>SUM(F14:F16)/SUM(E14:E16)*100</f>
        <v>65.122585521448329</v>
      </c>
      <c r="G60" s="107"/>
      <c r="I60" s="6">
        <f>SUM(I14:I16)/SUM(H14:H16)*100</f>
        <v>64.505706130398792</v>
      </c>
      <c r="J60" s="107"/>
      <c r="L60" s="6">
        <f>SUM(L14:L16)/SUM(K14:K16)*100</f>
        <v>57.98579425033941</v>
      </c>
      <c r="M60" s="107"/>
      <c r="O60" s="6">
        <f>SUM(O14:O16)/SUM(N14:N16)*100</f>
        <v>65.699842932108595</v>
      </c>
      <c r="P60" s="107"/>
      <c r="R60" s="6">
        <f>SUM(R14:R16)/SUM(Q14:Q16)*100</f>
        <v>58.289191046388623</v>
      </c>
      <c r="S60" s="107"/>
      <c r="U60" s="6">
        <f>SUM(U14:U16)/SUM(T14:T16)*100</f>
        <v>43.818916829025397</v>
      </c>
      <c r="V60" s="107"/>
      <c r="X60" s="6">
        <f>SUM(X14:X16)/SUM(W14:W16)*100</f>
        <v>62.390144022166879</v>
      </c>
      <c r="Y60" s="107"/>
    </row>
    <row r="61" spans="1:27" x14ac:dyDescent="0.3">
      <c r="A61" s="5" t="s">
        <v>360</v>
      </c>
      <c r="C61" s="6">
        <f>SUM(C48:C50)/SUM(B48:B50)*100</f>
        <v>75.691559947550118</v>
      </c>
      <c r="D61" s="107"/>
      <c r="F61" s="6">
        <f>SUM(F48:F50)/SUM(E48:E50)*100</f>
        <v>72.394754870323624</v>
      </c>
      <c r="G61" s="107"/>
      <c r="I61" s="6">
        <f>SUM(I48:I50)/SUM(H48:H50)*100</f>
        <v>75.087279885316107</v>
      </c>
      <c r="J61" s="107"/>
      <c r="L61" s="6">
        <f>SUM(L48:L50)/SUM(K48:K50)*100</f>
        <v>78.344854043910019</v>
      </c>
      <c r="M61" s="107"/>
      <c r="O61" s="6">
        <f>SUM(O48:O50)/SUM(N48:N50)*100</f>
        <v>76.083123178035038</v>
      </c>
      <c r="P61" s="107"/>
      <c r="R61" s="6">
        <f>SUM(R48:R50)/SUM(Q48:Q50)*100</f>
        <v>77.998410373413577</v>
      </c>
      <c r="S61" s="107"/>
      <c r="U61" s="6">
        <f>SUM(U48:U50)/SUM(T48:T50)*100</f>
        <v>76.453191085103583</v>
      </c>
      <c r="V61" s="107"/>
      <c r="X61" s="6">
        <f>SUM(X48:X50)/SUM(W48:W50)*100</f>
        <v>81.034445895933402</v>
      </c>
      <c r="Y61" s="107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J2" sqref="J2:J28"/>
    </sheetView>
  </sheetViews>
  <sheetFormatPr defaultRowHeight="14.4" x14ac:dyDescent="0.3"/>
  <cols>
    <col min="1" max="1" width="51.6640625" style="32" bestFit="1" customWidth="1"/>
    <col min="2" max="12" width="12.6640625" bestFit="1" customWidth="1"/>
  </cols>
  <sheetData>
    <row r="1" spans="1:10" x14ac:dyDescent="0.3">
      <c r="A1" s="73"/>
      <c r="B1" s="98">
        <v>2015</v>
      </c>
      <c r="C1" s="98">
        <v>2016</v>
      </c>
      <c r="D1" s="69">
        <v>2017</v>
      </c>
      <c r="E1" s="69">
        <v>2018</v>
      </c>
      <c r="F1" s="69">
        <v>2019</v>
      </c>
      <c r="G1" s="69">
        <v>2020</v>
      </c>
      <c r="H1" s="69">
        <v>2021</v>
      </c>
      <c r="I1" s="69">
        <v>2022</v>
      </c>
      <c r="J1" s="69">
        <v>2023</v>
      </c>
    </row>
    <row r="2" spans="1:10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2" t="s">
        <v>213</v>
      </c>
      <c r="B3" s="1">
        <v>771793.88</v>
      </c>
      <c r="C3" s="1">
        <v>450464.24</v>
      </c>
      <c r="D3" s="1">
        <v>682828.08</v>
      </c>
      <c r="E3" s="1">
        <v>3911068.07</v>
      </c>
      <c r="F3" s="1">
        <v>6728332.5099999998</v>
      </c>
      <c r="G3" s="1">
        <v>9529816.2300000004</v>
      </c>
      <c r="H3" s="1">
        <v>10800523.390000001</v>
      </c>
      <c r="I3" s="1">
        <v>13706125.380000001</v>
      </c>
      <c r="J3" s="1">
        <v>23977858.530000001</v>
      </c>
    </row>
    <row r="4" spans="1:10" x14ac:dyDescent="0.3">
      <c r="A4" s="32" t="s">
        <v>214</v>
      </c>
      <c r="B4" s="1">
        <v>1752222631.6099999</v>
      </c>
      <c r="C4" s="1">
        <v>2015905207.3900001</v>
      </c>
      <c r="D4" s="1">
        <v>2070631907.3499999</v>
      </c>
      <c r="E4" s="1">
        <v>2028559776.6700001</v>
      </c>
      <c r="F4" s="1">
        <v>2024980433.3499999</v>
      </c>
      <c r="G4" s="1">
        <v>2013566382.5599999</v>
      </c>
      <c r="H4" s="1">
        <v>2042624987.9200001</v>
      </c>
      <c r="I4" s="1">
        <v>2041653990.71</v>
      </c>
      <c r="J4" s="1">
        <v>2145134907.6300001</v>
      </c>
    </row>
    <row r="5" spans="1:10" x14ac:dyDescent="0.3">
      <c r="A5" s="32" t="s">
        <v>228</v>
      </c>
      <c r="B5" s="1">
        <v>275653003.76999998</v>
      </c>
      <c r="C5" s="1">
        <v>283080337.25</v>
      </c>
      <c r="D5" s="1">
        <v>288233211.33999997</v>
      </c>
      <c r="E5" s="1">
        <v>229543403</v>
      </c>
      <c r="F5" s="1">
        <v>231258450</v>
      </c>
      <c r="G5" s="1">
        <v>240766299</v>
      </c>
      <c r="H5" s="1">
        <v>267177861</v>
      </c>
      <c r="I5" s="1">
        <v>277931671</v>
      </c>
      <c r="J5" s="1">
        <v>271321332</v>
      </c>
    </row>
    <row r="6" spans="1:10" x14ac:dyDescent="0.3">
      <c r="A6" s="32" t="s">
        <v>229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2" t="s">
        <v>231</v>
      </c>
      <c r="B8" s="1">
        <v>21375.64</v>
      </c>
      <c r="C8" s="1">
        <v>21375.64</v>
      </c>
      <c r="D8" s="1">
        <v>21375.64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x14ac:dyDescent="0.3">
      <c r="A9" s="32" t="s">
        <v>215</v>
      </c>
      <c r="B9" s="1">
        <v>1009232135.96</v>
      </c>
      <c r="C9" s="1">
        <v>846697937.65999997</v>
      </c>
      <c r="D9" s="1">
        <v>621201054.45000005</v>
      </c>
      <c r="E9" s="1">
        <v>640421315.79999995</v>
      </c>
      <c r="F9" s="1">
        <v>355606099.26999998</v>
      </c>
      <c r="G9" s="1">
        <v>353974696.69</v>
      </c>
      <c r="H9" s="1">
        <v>449281782.66000003</v>
      </c>
      <c r="I9" s="1">
        <v>602423547.83000004</v>
      </c>
      <c r="J9" s="1">
        <v>408337166.13</v>
      </c>
    </row>
    <row r="10" spans="1:10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2" t="s">
        <v>216</v>
      </c>
      <c r="B11" s="1">
        <v>88300974.870000005</v>
      </c>
      <c r="C11" s="1">
        <v>70178874.849999994</v>
      </c>
      <c r="D11" s="1">
        <v>54055587.579999998</v>
      </c>
      <c r="E11" s="1">
        <v>28818294.27</v>
      </c>
      <c r="F11" s="1">
        <v>20554472.280000001</v>
      </c>
      <c r="G11" s="1">
        <v>17019361.239999998</v>
      </c>
      <c r="H11" s="1">
        <v>42485101.380000003</v>
      </c>
      <c r="I11" s="1">
        <v>39976863.25</v>
      </c>
      <c r="J11" s="1">
        <v>345958758.06999999</v>
      </c>
    </row>
    <row r="12" spans="1:10" x14ac:dyDescent="0.3">
      <c r="A12" s="32" t="s">
        <v>217</v>
      </c>
      <c r="B12" s="1">
        <v>372634.06</v>
      </c>
      <c r="C12" s="1">
        <v>8923</v>
      </c>
      <c r="D12" s="1">
        <v>2173.62</v>
      </c>
      <c r="E12" s="1">
        <v>144361.76</v>
      </c>
      <c r="F12" s="1">
        <v>33560.1</v>
      </c>
      <c r="G12" s="1">
        <v>44621.599999999999</v>
      </c>
      <c r="H12" s="1">
        <v>133769.99</v>
      </c>
      <c r="I12" s="1">
        <v>231430.41</v>
      </c>
      <c r="J12" s="1">
        <v>450423.62</v>
      </c>
    </row>
    <row r="13" spans="1:10" x14ac:dyDescent="0.3">
      <c r="A13" s="10" t="s">
        <v>218</v>
      </c>
      <c r="B13" s="11">
        <f t="shared" ref="B13:E13" si="0">SUM(B2:B12)</f>
        <v>3126574549.79</v>
      </c>
      <c r="C13" s="11">
        <f t="shared" si="0"/>
        <v>3216343120.0299997</v>
      </c>
      <c r="D13" s="11">
        <f t="shared" si="0"/>
        <v>3034828138.0599995</v>
      </c>
      <c r="E13" s="11">
        <f t="shared" si="0"/>
        <v>2931398219.5700002</v>
      </c>
      <c r="F13" s="11">
        <f t="shared" ref="F13:J13" si="1">SUM(F2:F12)</f>
        <v>2639161347.5099998</v>
      </c>
      <c r="G13" s="11">
        <f t="shared" ref="G13:I13" si="2">SUM(G2:G12)</f>
        <v>2634901177.3199997</v>
      </c>
      <c r="H13" s="11">
        <f t="shared" si="2"/>
        <v>2812504026.3400002</v>
      </c>
      <c r="I13" s="11">
        <f t="shared" si="2"/>
        <v>2975923628.5799999</v>
      </c>
      <c r="J13" s="11">
        <f t="shared" si="1"/>
        <v>3195180445.9800005</v>
      </c>
    </row>
    <row r="14" spans="1:10" x14ac:dyDescent="0.3">
      <c r="A14" s="32" t="s">
        <v>219</v>
      </c>
      <c r="B14" s="1">
        <v>981140841.50999999</v>
      </c>
      <c r="C14" s="1">
        <v>1028176083.51</v>
      </c>
      <c r="D14" s="1">
        <v>472672678.88</v>
      </c>
      <c r="E14" s="1">
        <v>84717182.349999994</v>
      </c>
      <c r="F14" s="1">
        <v>119597078.13</v>
      </c>
      <c r="G14" s="1">
        <v>119597078.13</v>
      </c>
      <c r="H14" s="1">
        <v>119597078.13</v>
      </c>
      <c r="I14" s="1">
        <v>119597078.13</v>
      </c>
      <c r="J14" s="1">
        <v>119597078.13</v>
      </c>
    </row>
    <row r="15" spans="1:10" x14ac:dyDescent="0.3">
      <c r="A15" s="32" t="s">
        <v>220</v>
      </c>
      <c r="B15" s="1">
        <v>188417294.44</v>
      </c>
      <c r="C15" s="1">
        <v>353883073.83999997</v>
      </c>
      <c r="D15" s="1">
        <v>770334491.27999997</v>
      </c>
      <c r="E15" s="1">
        <v>892271711.19000006</v>
      </c>
      <c r="F15" s="1">
        <v>788327302.64999998</v>
      </c>
      <c r="G15" s="1">
        <v>1005104546.6799999</v>
      </c>
      <c r="H15" s="1">
        <v>1005816850.58</v>
      </c>
      <c r="I15" s="1">
        <v>985866326.11000001</v>
      </c>
      <c r="J15" s="1">
        <v>970895374.38</v>
      </c>
    </row>
    <row r="16" spans="1:10" x14ac:dyDescent="0.3">
      <c r="A16" s="32" t="s">
        <v>235</v>
      </c>
      <c r="B16" s="1">
        <v>109173016.36</v>
      </c>
      <c r="C16" s="1">
        <v>112138007.76000001</v>
      </c>
      <c r="D16" s="1">
        <v>12027432.869999999</v>
      </c>
      <c r="E16" s="1">
        <v>14933537.82</v>
      </c>
      <c r="F16" s="1">
        <v>4080645.95</v>
      </c>
      <c r="G16" s="1">
        <v>237449.17</v>
      </c>
      <c r="H16" s="1">
        <v>488152.7</v>
      </c>
      <c r="I16" s="1">
        <v>919583.94</v>
      </c>
      <c r="J16" s="1">
        <v>428978.7</v>
      </c>
    </row>
    <row r="17" spans="1:12" x14ac:dyDescent="0.3">
      <c r="A17" s="32" t="s">
        <v>221</v>
      </c>
      <c r="B17" s="1">
        <v>0</v>
      </c>
      <c r="C17" s="1">
        <v>-187162071.19999999</v>
      </c>
      <c r="D17" s="1">
        <v>-263072726.25</v>
      </c>
      <c r="E17" s="1">
        <v>-71112550.890000001</v>
      </c>
      <c r="F17" s="1">
        <v>-323591280.97000003</v>
      </c>
      <c r="G17" s="1">
        <v>23902994.289999999</v>
      </c>
      <c r="H17" s="1">
        <v>131943716.09</v>
      </c>
      <c r="I17" s="1">
        <v>79807530.909999996</v>
      </c>
      <c r="J17" s="1">
        <v>94627197.959999993</v>
      </c>
    </row>
    <row r="18" spans="1:12" x14ac:dyDescent="0.3">
      <c r="A18" s="32" t="s">
        <v>362</v>
      </c>
      <c r="B18" s="1"/>
      <c r="C18" s="1"/>
      <c r="D18" s="1"/>
      <c r="E18" s="1"/>
      <c r="F18" s="1"/>
      <c r="G18" s="1">
        <v>-540131075.83000004</v>
      </c>
      <c r="H18" s="1">
        <v>-489928141.74000001</v>
      </c>
      <c r="I18" s="1">
        <v>-325928412.94</v>
      </c>
      <c r="J18" s="1">
        <v>-210721349.59999999</v>
      </c>
      <c r="K18" s="1"/>
    </row>
    <row r="19" spans="1:12" x14ac:dyDescent="0.3">
      <c r="A19" s="32" t="s">
        <v>363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  <c r="K19" s="1"/>
    </row>
    <row r="20" spans="1:12" x14ac:dyDescent="0.3">
      <c r="A20" s="32" t="s">
        <v>222</v>
      </c>
      <c r="B20" s="1">
        <v>25416904.09</v>
      </c>
      <c r="C20" s="1">
        <v>36110237.420000002</v>
      </c>
      <c r="D20" s="1">
        <v>104689258.73</v>
      </c>
      <c r="E20" s="1">
        <v>127474337.95</v>
      </c>
      <c r="F20" s="1">
        <f>120336522.79+13367457.44</f>
        <v>133703980.23</v>
      </c>
      <c r="G20" s="1">
        <f>114781193.57+12161903.81</f>
        <v>126943097.38</v>
      </c>
      <c r="H20" s="1">
        <f>177669987.58+10896011.9</f>
        <v>188565999.48000002</v>
      </c>
      <c r="I20" s="1">
        <f>169437566.75+10120794.44</f>
        <v>179558361.19</v>
      </c>
      <c r="J20" s="1">
        <f>155653563.78+8775196.67</f>
        <v>164428760.44999999</v>
      </c>
    </row>
    <row r="21" spans="1:12" x14ac:dyDescent="0.3">
      <c r="A21" s="32" t="s">
        <v>209</v>
      </c>
      <c r="B21" s="1">
        <v>318469591.14999998</v>
      </c>
      <c r="C21" s="1">
        <v>318709814.89999998</v>
      </c>
      <c r="D21" s="1">
        <v>311736541.04000002</v>
      </c>
      <c r="E21" s="1">
        <v>301050386.68000001</v>
      </c>
      <c r="F21" s="1">
        <v>344943512.42000002</v>
      </c>
      <c r="G21" s="1">
        <v>298832788.01999998</v>
      </c>
      <c r="H21" s="1">
        <v>231488241.11000001</v>
      </c>
      <c r="I21" s="1">
        <v>212364706.72999999</v>
      </c>
      <c r="J21" s="1">
        <v>194040630.97999999</v>
      </c>
    </row>
    <row r="22" spans="1:12" x14ac:dyDescent="0.3">
      <c r="A22" s="32" t="s">
        <v>223</v>
      </c>
      <c r="B22" s="1">
        <v>131654114.65000001</v>
      </c>
      <c r="C22" s="1">
        <v>193616627.25</v>
      </c>
      <c r="D22" s="1">
        <v>189262323.25999999</v>
      </c>
      <c r="E22" s="1">
        <v>174372489.47</v>
      </c>
      <c r="F22" s="1">
        <v>163652580.40000001</v>
      </c>
      <c r="G22" s="1">
        <v>150710313.13</v>
      </c>
      <c r="H22" s="1">
        <v>169323127.84</v>
      </c>
      <c r="I22" s="1">
        <v>174854762.06</v>
      </c>
      <c r="J22" s="1">
        <v>164460678.31999999</v>
      </c>
    </row>
    <row r="23" spans="1:12" x14ac:dyDescent="0.3">
      <c r="A23" s="32" t="s">
        <v>224</v>
      </c>
      <c r="B23" s="1">
        <v>26691170.670000002</v>
      </c>
      <c r="C23" s="1">
        <v>27831110.260000002</v>
      </c>
      <c r="D23" s="1">
        <v>26199773.489999998</v>
      </c>
      <c r="E23" s="1">
        <v>24208553.73</v>
      </c>
      <c r="F23" s="1">
        <v>20782854.379999999</v>
      </c>
      <c r="G23" s="1">
        <v>56839013.229999997</v>
      </c>
      <c r="H23" s="1">
        <v>73040040.379999995</v>
      </c>
      <c r="I23" s="1">
        <v>58180374.539999999</v>
      </c>
      <c r="J23" s="1">
        <v>41547749.689999998</v>
      </c>
    </row>
    <row r="24" spans="1:12" x14ac:dyDescent="0.3">
      <c r="A24" s="32" t="s">
        <v>225</v>
      </c>
      <c r="B24" s="1">
        <v>190037211.16999999</v>
      </c>
      <c r="C24" s="1">
        <v>175657710.33000001</v>
      </c>
      <c r="D24" s="1">
        <v>130963164.98</v>
      </c>
      <c r="E24" s="1">
        <v>131883833.56</v>
      </c>
      <c r="F24" s="1">
        <v>114929495.23999999</v>
      </c>
      <c r="G24" s="1">
        <v>108749208.43000001</v>
      </c>
      <c r="H24" s="1">
        <v>98886293.430000007</v>
      </c>
      <c r="I24" s="1">
        <v>105311720.45999999</v>
      </c>
      <c r="J24" s="1">
        <v>94522169.260000005</v>
      </c>
      <c r="K24" s="1"/>
      <c r="L24" s="1"/>
    </row>
    <row r="25" spans="1:12" x14ac:dyDescent="0.3">
      <c r="A25" s="32" t="s">
        <v>226</v>
      </c>
      <c r="B25" s="1">
        <v>1264747422.1099999</v>
      </c>
      <c r="C25" s="1">
        <v>1269520533.72</v>
      </c>
      <c r="D25" s="1">
        <v>1292042632.6500001</v>
      </c>
      <c r="E25" s="1">
        <v>1266532275.53</v>
      </c>
      <c r="F25" s="1">
        <v>1276815825.23</v>
      </c>
      <c r="G25" s="1">
        <v>1284353213.8599999</v>
      </c>
      <c r="H25" s="1">
        <v>1283770821.04</v>
      </c>
      <c r="I25" s="1">
        <v>1386311181.3900001</v>
      </c>
      <c r="J25" s="1">
        <v>1561782156.4100001</v>
      </c>
    </row>
    <row r="26" spans="1:12" x14ac:dyDescent="0.3">
      <c r="A26" s="72" t="s">
        <v>227</v>
      </c>
      <c r="B26" s="3">
        <f>SUM(B14:B25)-B16</f>
        <v>3126574549.7899995</v>
      </c>
      <c r="C26" s="3">
        <f>SUM(C14:C25)-C16</f>
        <v>3216343120.0299997</v>
      </c>
      <c r="D26" s="3">
        <f t="shared" ref="D26:E26" si="3">SUM(D14:D25)-D16</f>
        <v>3034828138.0599999</v>
      </c>
      <c r="E26" s="3">
        <f t="shared" si="3"/>
        <v>2931398219.5700002</v>
      </c>
      <c r="F26" s="3">
        <f t="shared" ref="F26:J26" si="4">SUM(F14:F25)-F16</f>
        <v>2639161347.7100005</v>
      </c>
      <c r="G26" s="3">
        <f t="shared" ref="G26" si="5">SUM(G14:G25)-G16</f>
        <v>2634901177.3199997</v>
      </c>
      <c r="H26" s="3">
        <f t="shared" ref="H26" si="6">SUM(H14:H25)-H16</f>
        <v>2812504026.3400002</v>
      </c>
      <c r="I26" s="3">
        <f t="shared" ref="I26" si="7">SUM(I14:I25)-I16</f>
        <v>2975923628.5800004</v>
      </c>
      <c r="J26" s="3">
        <f t="shared" si="4"/>
        <v>3195180445.9800005</v>
      </c>
    </row>
    <row r="27" spans="1:12" x14ac:dyDescent="0.3">
      <c r="A27" s="10" t="s">
        <v>267</v>
      </c>
      <c r="B27" s="11">
        <f>B14+B15+B17+B18+B19</f>
        <v>1169558135.95</v>
      </c>
      <c r="C27" s="11">
        <f>C14+C15+C17+C18+C19</f>
        <v>1194897086.1499999</v>
      </c>
      <c r="D27" s="11">
        <f>D14+D15+D17+D18+D19</f>
        <v>979934443.90999985</v>
      </c>
      <c r="E27" s="11">
        <f>E14+E15+E17+E18+E19</f>
        <v>905876342.6500001</v>
      </c>
      <c r="F27" s="11">
        <f t="shared" ref="F27:J27" si="8">F14+F15+F17+F18+F19</f>
        <v>584333099.80999994</v>
      </c>
      <c r="G27" s="11">
        <f t="shared" ref="G27:I27" si="9">G14+G15+G17+G18+G19</f>
        <v>608473543.26999986</v>
      </c>
      <c r="H27" s="11">
        <f t="shared" si="9"/>
        <v>767429503.05999994</v>
      </c>
      <c r="I27" s="11">
        <f t="shared" si="9"/>
        <v>859342522.21000004</v>
      </c>
      <c r="J27" s="11">
        <f t="shared" si="8"/>
        <v>974398300.87</v>
      </c>
    </row>
    <row r="28" spans="1:12" x14ac:dyDescent="0.3">
      <c r="E28" s="6">
        <f>E27/E26*100</f>
        <v>30.902534381114581</v>
      </c>
      <c r="F28" s="6">
        <f t="shared" ref="F28:J28" si="10">F27/F26*100</f>
        <v>22.140863055493959</v>
      </c>
      <c r="G28" s="6">
        <f t="shared" si="10"/>
        <v>23.092841147419733</v>
      </c>
      <c r="H28" s="6">
        <f t="shared" si="10"/>
        <v>27.286343268232759</v>
      </c>
      <c r="I28" s="6">
        <f t="shared" si="10"/>
        <v>28.876497836070016</v>
      </c>
      <c r="J28" s="6">
        <f t="shared" si="10"/>
        <v>30.495877066847164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80" workbookViewId="0">
      <selection activeCell="K89" sqref="K89:K92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35" t="s">
        <v>210</v>
      </c>
      <c r="B1" s="135"/>
      <c r="C1" s="2" t="s">
        <v>211</v>
      </c>
      <c r="D1" s="108">
        <v>2016</v>
      </c>
      <c r="E1" s="2">
        <v>2017</v>
      </c>
      <c r="F1" s="104">
        <v>2018</v>
      </c>
      <c r="G1" s="115">
        <v>2019</v>
      </c>
      <c r="H1" s="116">
        <v>2020</v>
      </c>
      <c r="I1" s="118">
        <v>2021</v>
      </c>
      <c r="J1" s="129">
        <v>2022</v>
      </c>
      <c r="K1" s="2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38.299999999999997</v>
      </c>
      <c r="E3" s="7">
        <v>35.75</v>
      </c>
      <c r="F3" s="7">
        <v>32.93</v>
      </c>
      <c r="G3" s="7">
        <v>32.07</v>
      </c>
      <c r="H3" s="7">
        <v>28.27</v>
      </c>
      <c r="I3" s="7">
        <v>25.58</v>
      </c>
      <c r="J3" s="7">
        <v>29.57</v>
      </c>
      <c r="K3" s="7">
        <v>26.94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92.86</v>
      </c>
      <c r="E5" s="7">
        <v>90.32</v>
      </c>
      <c r="F5" s="7">
        <v>93.46</v>
      </c>
      <c r="G5" s="7">
        <v>105.03</v>
      </c>
      <c r="H5" s="7">
        <v>96.24</v>
      </c>
      <c r="I5" s="7">
        <v>108.25</v>
      </c>
      <c r="J5" s="7">
        <v>96.23</v>
      </c>
      <c r="K5" s="7">
        <v>105.12</v>
      </c>
    </row>
    <row r="6" spans="1:11" x14ac:dyDescent="0.3">
      <c r="A6" t="s">
        <v>83</v>
      </c>
      <c r="B6" t="s">
        <v>84</v>
      </c>
      <c r="D6" s="7">
        <v>93.1</v>
      </c>
      <c r="E6" s="7">
        <v>90.61</v>
      </c>
      <c r="F6" s="7">
        <v>94.16</v>
      </c>
      <c r="G6" s="7">
        <v>98.25</v>
      </c>
      <c r="H6" s="7">
        <v>97.14</v>
      </c>
      <c r="I6" s="7">
        <v>108.92</v>
      </c>
      <c r="J6" s="7">
        <v>96.88</v>
      </c>
      <c r="K6" s="7">
        <v>99.32</v>
      </c>
    </row>
    <row r="7" spans="1:11" x14ac:dyDescent="0.3">
      <c r="A7" t="s">
        <v>85</v>
      </c>
      <c r="B7" t="s">
        <v>86</v>
      </c>
      <c r="D7" s="7">
        <v>53.44</v>
      </c>
      <c r="E7" s="7">
        <v>52.69</v>
      </c>
      <c r="F7" s="7">
        <v>55.05</v>
      </c>
      <c r="G7" s="7">
        <v>68.11</v>
      </c>
      <c r="H7" s="7">
        <v>48.36</v>
      </c>
      <c r="I7" s="7">
        <v>50.6</v>
      </c>
      <c r="J7" s="7">
        <v>52.3</v>
      </c>
      <c r="K7" s="7">
        <v>57.13</v>
      </c>
    </row>
    <row r="8" spans="1:11" x14ac:dyDescent="0.3">
      <c r="A8" t="s">
        <v>87</v>
      </c>
      <c r="B8" t="s">
        <v>88</v>
      </c>
      <c r="D8" s="7">
        <v>53.58</v>
      </c>
      <c r="E8" s="7">
        <v>52.86</v>
      </c>
      <c r="F8" s="7">
        <v>55.46</v>
      </c>
      <c r="G8" s="7">
        <v>63.71</v>
      </c>
      <c r="H8" s="7">
        <v>48.81</v>
      </c>
      <c r="I8" s="7">
        <v>50.91</v>
      </c>
      <c r="J8" s="7">
        <v>52.66</v>
      </c>
      <c r="K8" s="7">
        <v>53.98</v>
      </c>
    </row>
    <row r="9" spans="1:11" x14ac:dyDescent="0.3">
      <c r="A9" t="s">
        <v>89</v>
      </c>
      <c r="B9" t="s">
        <v>90</v>
      </c>
      <c r="D9" s="7">
        <v>65.47</v>
      </c>
      <c r="E9" s="7">
        <v>61.17</v>
      </c>
      <c r="F9" s="7">
        <v>74.78</v>
      </c>
      <c r="G9" s="7">
        <v>74.319999999999993</v>
      </c>
      <c r="H9" s="7">
        <v>84.06</v>
      </c>
      <c r="I9" s="117">
        <v>100</v>
      </c>
      <c r="J9" s="30">
        <v>58.92</v>
      </c>
      <c r="K9" s="30">
        <v>123.04</v>
      </c>
    </row>
    <row r="10" spans="1:11" x14ac:dyDescent="0.3">
      <c r="A10" t="s">
        <v>91</v>
      </c>
      <c r="B10" t="s">
        <v>92</v>
      </c>
      <c r="D10" s="7">
        <v>65.62</v>
      </c>
      <c r="E10" s="7">
        <v>61.33</v>
      </c>
      <c r="F10" s="7">
        <v>74.78</v>
      </c>
      <c r="G10" s="7">
        <v>71.3</v>
      </c>
      <c r="H10" s="7">
        <v>84.51</v>
      </c>
      <c r="I10" s="7">
        <v>100</v>
      </c>
      <c r="J10" s="30">
        <v>58.95</v>
      </c>
      <c r="K10" s="30">
        <v>103.78</v>
      </c>
    </row>
    <row r="11" spans="1:11" x14ac:dyDescent="0.3">
      <c r="A11" t="s">
        <v>93</v>
      </c>
      <c r="B11" t="s">
        <v>94</v>
      </c>
      <c r="D11" s="7">
        <v>28.98</v>
      </c>
      <c r="E11" s="7">
        <v>28.41</v>
      </c>
      <c r="F11" s="7">
        <v>35.090000000000003</v>
      </c>
      <c r="G11" s="7">
        <v>35.700000000000003</v>
      </c>
      <c r="H11" s="7">
        <v>33.270000000000003</v>
      </c>
      <c r="I11" s="117">
        <v>41.66</v>
      </c>
      <c r="J11" s="30">
        <v>32.47</v>
      </c>
      <c r="K11" s="30">
        <v>42.23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29.05</v>
      </c>
      <c r="E12" s="7">
        <v>29.94</v>
      </c>
      <c r="F12" s="7">
        <v>36.76</v>
      </c>
      <c r="G12" s="7">
        <v>35.9</v>
      </c>
      <c r="H12" s="7">
        <v>35.409999999999997</v>
      </c>
      <c r="I12" s="7">
        <v>41.66</v>
      </c>
      <c r="J12" s="7">
        <v>32.43</v>
      </c>
      <c r="K12" s="7">
        <v>35.619999999999997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100</v>
      </c>
      <c r="F14" s="7">
        <v>100</v>
      </c>
      <c r="G14" s="7">
        <v>100</v>
      </c>
      <c r="H14" s="7">
        <v>9.2100000000000009</v>
      </c>
      <c r="I14" s="130">
        <v>100</v>
      </c>
      <c r="J14" s="130">
        <v>100</v>
      </c>
      <c r="K14" s="130">
        <v>100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601.79999999999995</v>
      </c>
      <c r="G15" s="7">
        <v>258.95</v>
      </c>
      <c r="H15" s="7">
        <v>568.85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37.44</v>
      </c>
      <c r="E17" s="7">
        <v>35.58</v>
      </c>
      <c r="F17" s="7">
        <v>36.46</v>
      </c>
      <c r="G17" s="7">
        <v>35.74</v>
      </c>
      <c r="H17" s="7">
        <v>31.9</v>
      </c>
      <c r="I17" s="7">
        <v>31.58</v>
      </c>
      <c r="J17" s="7">
        <v>30.17</v>
      </c>
      <c r="K17" s="7">
        <v>29.95</v>
      </c>
    </row>
    <row r="18" spans="1:11" x14ac:dyDescent="0.3">
      <c r="A18" t="s">
        <v>105</v>
      </c>
      <c r="B18" t="s">
        <v>106</v>
      </c>
      <c r="D18" s="7">
        <v>13.53</v>
      </c>
      <c r="E18" s="7">
        <v>10.69</v>
      </c>
      <c r="F18" s="7">
        <v>10.37</v>
      </c>
      <c r="G18" s="7">
        <v>9.6</v>
      </c>
      <c r="H18" s="7">
        <v>10.98</v>
      </c>
      <c r="I18" s="7">
        <v>11.73</v>
      </c>
      <c r="J18" s="7">
        <v>14.39</v>
      </c>
      <c r="K18" s="7">
        <v>12.98</v>
      </c>
    </row>
    <row r="19" spans="1:11" x14ac:dyDescent="0.3">
      <c r="A19" t="s">
        <v>107</v>
      </c>
      <c r="B19" t="s">
        <v>108</v>
      </c>
      <c r="D19" s="7">
        <v>0.13</v>
      </c>
      <c r="E19" s="7">
        <v>7.0000000000000007E-2</v>
      </c>
      <c r="F19" s="7">
        <v>0.19</v>
      </c>
      <c r="G19" s="7">
        <v>0.16</v>
      </c>
      <c r="H19" s="7">
        <v>0.63</v>
      </c>
      <c r="I19" s="7">
        <v>0.28000000000000003</v>
      </c>
      <c r="J19" s="7">
        <v>0.76</v>
      </c>
      <c r="K19" s="7">
        <v>1.22</v>
      </c>
    </row>
    <row r="20" spans="1:11" x14ac:dyDescent="0.3">
      <c r="A20" t="s">
        <v>109</v>
      </c>
      <c r="B20" t="s">
        <v>110</v>
      </c>
      <c r="D20" s="7">
        <v>382.55</v>
      </c>
      <c r="E20" s="7">
        <v>353.2</v>
      </c>
      <c r="F20" s="7">
        <v>351.3</v>
      </c>
      <c r="G20" s="7">
        <v>342.48</v>
      </c>
      <c r="H20" s="7">
        <v>326.07</v>
      </c>
      <c r="I20" s="7">
        <v>304.89999999999998</v>
      </c>
      <c r="J20" s="7">
        <v>303.83</v>
      </c>
      <c r="K20" s="7">
        <v>310.67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22.24</v>
      </c>
      <c r="E22" s="7">
        <v>23.84</v>
      </c>
      <c r="F22" s="7">
        <v>26.48</v>
      </c>
      <c r="G22" s="7">
        <v>38.393999999999998</v>
      </c>
      <c r="H22" s="7">
        <v>41.51</v>
      </c>
      <c r="I22" s="7">
        <v>41.55</v>
      </c>
      <c r="J22" s="7">
        <v>44.02</v>
      </c>
      <c r="K22" s="7">
        <v>42.79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1.42</v>
      </c>
      <c r="E24" s="7">
        <v>1.5</v>
      </c>
      <c r="F24" s="7">
        <v>1.41</v>
      </c>
      <c r="G24" s="7">
        <v>1.22</v>
      </c>
      <c r="H24" s="7">
        <v>1.31</v>
      </c>
      <c r="I24" s="7">
        <v>1.02</v>
      </c>
      <c r="J24" s="7">
        <v>0.91</v>
      </c>
      <c r="K24" s="7">
        <v>0.84</v>
      </c>
    </row>
    <row r="25" spans="1:11" x14ac:dyDescent="0.3">
      <c r="A25" t="s">
        <v>117</v>
      </c>
      <c r="B25" t="s">
        <v>118</v>
      </c>
      <c r="D25" s="7">
        <v>4.68</v>
      </c>
      <c r="E25" s="7">
        <v>14.29</v>
      </c>
      <c r="F25" s="7">
        <v>19.079999999999998</v>
      </c>
      <c r="G25" s="7">
        <v>16.52</v>
      </c>
      <c r="H25" s="7">
        <v>25.57</v>
      </c>
      <c r="I25" s="7">
        <v>17.98</v>
      </c>
      <c r="J25" s="7">
        <v>10.16</v>
      </c>
      <c r="K25" s="7">
        <v>11.31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4.01</v>
      </c>
      <c r="I26" s="7">
        <v>6.42</v>
      </c>
      <c r="J26" s="7">
        <v>5.34</v>
      </c>
      <c r="K26" s="7">
        <v>6.23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6.77</v>
      </c>
      <c r="E28" s="7">
        <v>6.4</v>
      </c>
      <c r="F28" s="7">
        <v>6.86</v>
      </c>
      <c r="G28" s="7">
        <v>6.66</v>
      </c>
      <c r="H28" s="7">
        <v>5.38</v>
      </c>
      <c r="I28" s="7">
        <v>10.62</v>
      </c>
      <c r="J28" s="7">
        <v>7.68</v>
      </c>
      <c r="K28" s="7">
        <v>20.99</v>
      </c>
    </row>
    <row r="29" spans="1:11" x14ac:dyDescent="0.3">
      <c r="A29" t="s">
        <v>124</v>
      </c>
      <c r="B29" t="s">
        <v>125</v>
      </c>
      <c r="D29" s="7">
        <v>67.73</v>
      </c>
      <c r="E29" s="7">
        <v>66.95</v>
      </c>
      <c r="F29" s="7">
        <v>69.150000000000006</v>
      </c>
      <c r="G29" s="7">
        <v>65.47</v>
      </c>
      <c r="H29" s="7">
        <v>52.34</v>
      </c>
      <c r="I29" s="7">
        <v>112.73</v>
      </c>
      <c r="J29" s="7">
        <v>75.41</v>
      </c>
      <c r="K29" s="7">
        <v>265.35000000000002</v>
      </c>
    </row>
    <row r="30" spans="1:11" x14ac:dyDescent="0.3">
      <c r="A30" t="s">
        <v>126</v>
      </c>
      <c r="B30" t="s">
        <v>127</v>
      </c>
      <c r="D30" s="7">
        <v>6.11</v>
      </c>
      <c r="E30" s="7">
        <v>1.22</v>
      </c>
      <c r="F30" s="7">
        <v>2.34</v>
      </c>
      <c r="G30" s="7">
        <v>3.75</v>
      </c>
      <c r="H30" s="7">
        <v>5.88</v>
      </c>
      <c r="I30" s="7">
        <v>1.41</v>
      </c>
      <c r="J30" s="7">
        <v>8.1199999999999992</v>
      </c>
      <c r="K30" s="7">
        <v>9.74</v>
      </c>
    </row>
    <row r="31" spans="1:11" x14ac:dyDescent="0.3">
      <c r="A31" t="s">
        <v>128</v>
      </c>
      <c r="B31" t="s">
        <v>129</v>
      </c>
      <c r="D31" s="7">
        <v>73.84</v>
      </c>
      <c r="E31" s="7">
        <v>68.17</v>
      </c>
      <c r="F31" s="7">
        <v>71.48</v>
      </c>
      <c r="G31" s="7">
        <v>69.22</v>
      </c>
      <c r="H31" s="7">
        <v>58.22</v>
      </c>
      <c r="I31" s="7">
        <v>114.14</v>
      </c>
      <c r="J31" s="7">
        <v>83.53</v>
      </c>
      <c r="K31" s="7">
        <v>275.08999999999997</v>
      </c>
    </row>
    <row r="32" spans="1:11" x14ac:dyDescent="0.3">
      <c r="A32" t="s">
        <v>130</v>
      </c>
      <c r="B32" t="s">
        <v>131</v>
      </c>
      <c r="D32" s="7">
        <v>14.22</v>
      </c>
      <c r="E32" s="7">
        <v>0.64</v>
      </c>
      <c r="F32" s="7">
        <v>675.43</v>
      </c>
      <c r="G32" s="7">
        <v>418.23</v>
      </c>
      <c r="H32" s="7">
        <v>286.55</v>
      </c>
      <c r="I32" s="7">
        <v>915.81</v>
      </c>
      <c r="J32" s="7">
        <v>0</v>
      </c>
      <c r="K32" s="7">
        <v>0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0.01</v>
      </c>
      <c r="J33" s="7">
        <v>0.01</v>
      </c>
      <c r="K33" s="7">
        <v>0.01</v>
      </c>
    </row>
    <row r="34" spans="1:11" x14ac:dyDescent="0.3">
      <c r="A34" t="s">
        <v>134</v>
      </c>
      <c r="B34" t="s">
        <v>135</v>
      </c>
      <c r="D34" s="7">
        <v>14.65</v>
      </c>
      <c r="E34" s="7">
        <v>52</v>
      </c>
      <c r="F34" s="7">
        <v>18.71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48.98</v>
      </c>
      <c r="E36" s="7">
        <v>66.69</v>
      </c>
      <c r="F36" s="7">
        <v>61.06</v>
      </c>
      <c r="G36" s="7">
        <v>60.24</v>
      </c>
      <c r="H36" s="7">
        <v>64.45</v>
      </c>
      <c r="I36" s="7">
        <v>49.6</v>
      </c>
      <c r="J36" s="7">
        <v>58.89</v>
      </c>
      <c r="K36" s="7">
        <v>63.36</v>
      </c>
    </row>
    <row r="37" spans="1:11" x14ac:dyDescent="0.3">
      <c r="A37" t="s">
        <v>139</v>
      </c>
      <c r="B37" t="s">
        <v>140</v>
      </c>
      <c r="D37" s="7">
        <v>50.13</v>
      </c>
      <c r="E37" s="7">
        <v>55.31</v>
      </c>
      <c r="F37" s="7">
        <v>56.37</v>
      </c>
      <c r="G37" s="7">
        <v>56.01</v>
      </c>
      <c r="H37" s="7">
        <v>52.74</v>
      </c>
      <c r="I37" s="7">
        <v>56.75</v>
      </c>
      <c r="J37" s="7">
        <v>42.71</v>
      </c>
      <c r="K37" s="7">
        <v>42.82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41.91</v>
      </c>
      <c r="E39" s="7">
        <v>37.82</v>
      </c>
      <c r="F39" s="7">
        <v>35.94</v>
      </c>
      <c r="G39" s="7">
        <v>36.39</v>
      </c>
      <c r="H39" s="7">
        <v>28.48</v>
      </c>
      <c r="I39" s="7">
        <v>35.78</v>
      </c>
      <c r="J39" s="7">
        <v>48.31</v>
      </c>
      <c r="K39" s="7">
        <v>36.700000000000003</v>
      </c>
    </row>
    <row r="40" spans="1:11" x14ac:dyDescent="0.3">
      <c r="A40" t="s">
        <v>145</v>
      </c>
      <c r="B40" t="s">
        <v>146</v>
      </c>
      <c r="D40" s="7">
        <v>6.13</v>
      </c>
      <c r="E40" s="7">
        <v>6.93</v>
      </c>
      <c r="F40" s="7">
        <v>6.52</v>
      </c>
      <c r="G40" s="7">
        <v>19.46</v>
      </c>
      <c r="H40" s="7">
        <v>44.5</v>
      </c>
      <c r="I40" s="7">
        <v>26.63</v>
      </c>
      <c r="J40" s="7">
        <v>61.56</v>
      </c>
      <c r="K40" s="7">
        <v>69.790000000000006</v>
      </c>
    </row>
    <row r="41" spans="1:11" x14ac:dyDescent="0.3">
      <c r="A41" t="s">
        <v>147</v>
      </c>
      <c r="B41" t="s">
        <v>148</v>
      </c>
      <c r="D41" s="7">
        <v>99.91</v>
      </c>
      <c r="E41" s="7">
        <v>62.16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66.45</v>
      </c>
      <c r="E43" s="7">
        <v>62.52</v>
      </c>
      <c r="F43" s="7">
        <v>65.760000000000005</v>
      </c>
      <c r="G43" s="7">
        <v>72.180000000000007</v>
      </c>
      <c r="H43" s="7">
        <v>76.319999999999993</v>
      </c>
      <c r="I43" s="7">
        <v>75.53</v>
      </c>
      <c r="J43" s="7">
        <v>74.680000000000007</v>
      </c>
      <c r="K43" s="7">
        <v>81</v>
      </c>
    </row>
    <row r="44" spans="1:11" x14ac:dyDescent="0.3">
      <c r="A44" t="s">
        <v>152</v>
      </c>
      <c r="B44" t="s">
        <v>153</v>
      </c>
      <c r="D44" s="7">
        <v>31.03</v>
      </c>
      <c r="E44" s="7">
        <v>44.87</v>
      </c>
      <c r="F44" s="7">
        <v>56.48</v>
      </c>
      <c r="G44" s="7">
        <v>58.32</v>
      </c>
      <c r="H44" s="7">
        <v>52.32</v>
      </c>
      <c r="I44" s="7">
        <v>40.49</v>
      </c>
      <c r="J44" s="7">
        <v>47.58</v>
      </c>
      <c r="K44" s="7">
        <v>51.4</v>
      </c>
    </row>
    <row r="45" spans="1:11" x14ac:dyDescent="0.3">
      <c r="A45" t="s">
        <v>154</v>
      </c>
      <c r="B45" t="s">
        <v>155</v>
      </c>
      <c r="D45" s="7">
        <v>29.93</v>
      </c>
      <c r="E45" s="7">
        <v>31.94</v>
      </c>
      <c r="F45" s="7">
        <v>31.22</v>
      </c>
      <c r="G45" s="7">
        <v>58.42</v>
      </c>
      <c r="H45" s="7">
        <v>46.47</v>
      </c>
      <c r="I45" s="7">
        <v>62.54</v>
      </c>
      <c r="J45" s="7">
        <v>36.590000000000003</v>
      </c>
      <c r="K45" s="7">
        <v>58.02</v>
      </c>
    </row>
    <row r="46" spans="1:11" x14ac:dyDescent="0.3">
      <c r="A46" t="s">
        <v>156</v>
      </c>
      <c r="B46" t="s">
        <v>157</v>
      </c>
      <c r="D46" s="7">
        <v>58.33</v>
      </c>
      <c r="E46" s="7">
        <v>42.71</v>
      </c>
      <c r="F46" s="7">
        <v>88.28</v>
      </c>
      <c r="G46" s="7">
        <v>81.89</v>
      </c>
      <c r="H46" s="7">
        <v>78.09</v>
      </c>
      <c r="I46" s="7">
        <v>68.14</v>
      </c>
      <c r="J46" s="7">
        <v>64.02</v>
      </c>
      <c r="K46" s="7">
        <v>64.02</v>
      </c>
    </row>
    <row r="47" spans="1:11" x14ac:dyDescent="0.3">
      <c r="A47" t="s">
        <v>158</v>
      </c>
      <c r="B47" t="s">
        <v>159</v>
      </c>
      <c r="D47" s="7">
        <v>42.15</v>
      </c>
      <c r="E47" s="7">
        <v>98.47</v>
      </c>
      <c r="F47" s="7">
        <v>50.93</v>
      </c>
      <c r="G47" s="7">
        <v>50.38</v>
      </c>
      <c r="H47" s="7">
        <v>31.77</v>
      </c>
      <c r="I47" s="7">
        <v>14.23</v>
      </c>
      <c r="J47" s="7">
        <v>8.43</v>
      </c>
      <c r="K47" s="130">
        <v>8.43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5.3</v>
      </c>
      <c r="E50" s="7">
        <v>5.3</v>
      </c>
      <c r="F50" s="7">
        <v>5.3</v>
      </c>
      <c r="G50" s="7">
        <v>5.3</v>
      </c>
      <c r="H50" s="7">
        <v>5.3</v>
      </c>
      <c r="I50" s="7">
        <v>5.3</v>
      </c>
      <c r="J50" s="7">
        <v>5.3</v>
      </c>
      <c r="K50" s="7">
        <v>5.3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3.51</v>
      </c>
      <c r="E51" s="7">
        <v>3.51</v>
      </c>
      <c r="F51" s="7">
        <v>3.51</v>
      </c>
      <c r="G51" s="7">
        <v>3.51</v>
      </c>
      <c r="H51" s="7">
        <v>3.51</v>
      </c>
      <c r="I51" s="7">
        <v>3.51</v>
      </c>
      <c r="J51" s="7">
        <v>3.51</v>
      </c>
      <c r="K51" s="7">
        <v>3.51</v>
      </c>
    </row>
    <row r="52" spans="1:11" x14ac:dyDescent="0.3">
      <c r="A52" t="s">
        <v>167</v>
      </c>
      <c r="B52" t="s">
        <v>168</v>
      </c>
      <c r="D52" s="7">
        <v>472.56</v>
      </c>
      <c r="E52" s="7">
        <v>466.39</v>
      </c>
      <c r="F52" s="7">
        <v>466.39</v>
      </c>
      <c r="G52" s="7">
        <v>525.04</v>
      </c>
      <c r="H52" s="7">
        <v>466.4</v>
      </c>
      <c r="I52" s="7">
        <v>366.96</v>
      </c>
      <c r="J52" s="7">
        <v>337</v>
      </c>
      <c r="K52" s="7">
        <v>308.54000000000002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3">
      <c r="A54" t="s">
        <v>170</v>
      </c>
      <c r="B54" t="s">
        <v>171</v>
      </c>
      <c r="D54" s="7">
        <v>-172.35836212339487</v>
      </c>
      <c r="E54" s="7">
        <v>-88.175575347698327</v>
      </c>
      <c r="F54" s="7">
        <v>-65.731326003867679</v>
      </c>
      <c r="G54" s="7">
        <v>-97.708559869315252</v>
      </c>
      <c r="H54" s="7">
        <v>-95.338007707499685</v>
      </c>
      <c r="I54" s="7">
        <v>-61.699135015220193</v>
      </c>
      <c r="J54" s="7">
        <v>-56.185687672340038</v>
      </c>
      <c r="K54" s="7">
        <v>-42.793112035258794</v>
      </c>
    </row>
    <row r="55" spans="1:11" x14ac:dyDescent="0.3">
      <c r="A55" t="s">
        <v>172</v>
      </c>
      <c r="B55" t="s">
        <v>173</v>
      </c>
      <c r="D55" s="7">
        <v>4.3855791593388442</v>
      </c>
      <c r="E55" s="7">
        <v>2.9163620441868763</v>
      </c>
      <c r="F55" s="7">
        <v>3.4184620797783589</v>
      </c>
      <c r="G55" s="7">
        <v>1.0200876691331862</v>
      </c>
      <c r="H55" s="7">
        <v>0.82583277940183586</v>
      </c>
      <c r="I55" s="7">
        <v>1.0864881466238725</v>
      </c>
      <c r="J55" s="7">
        <v>0.66272779116481462</v>
      </c>
      <c r="K55" s="7">
        <v>0.81352310862366983</v>
      </c>
    </row>
    <row r="56" spans="1:11" x14ac:dyDescent="0.3">
      <c r="A56" t="s">
        <v>174</v>
      </c>
      <c r="B56" t="s">
        <v>175</v>
      </c>
      <c r="D56" s="7">
        <v>170.61566917119632</v>
      </c>
      <c r="E56" s="7">
        <v>127.52601265562117</v>
      </c>
      <c r="F56" s="7">
        <v>122.17845082079302</v>
      </c>
      <c r="G56" s="7">
        <v>169.23209646537057</v>
      </c>
      <c r="H56" s="7">
        <v>162.46577098054144</v>
      </c>
      <c r="I56" s="7">
        <v>131.6005470039685</v>
      </c>
      <c r="J56" s="7">
        <v>120.72807312760709</v>
      </c>
      <c r="K56" s="7">
        <v>110.16268171199064</v>
      </c>
    </row>
    <row r="57" spans="1:11" x14ac:dyDescent="0.3">
      <c r="A57" t="s">
        <v>176</v>
      </c>
      <c r="B57" t="s">
        <v>177</v>
      </c>
      <c r="D57" s="7">
        <v>97.357113792859693</v>
      </c>
      <c r="E57" s="7">
        <v>57.733200647890271</v>
      </c>
      <c r="F57" s="7">
        <v>40.134413103296318</v>
      </c>
      <c r="G57" s="7">
        <v>27.456375734811505</v>
      </c>
      <c r="H57" s="7">
        <v>32.046403947556421</v>
      </c>
      <c r="I57" s="7">
        <v>29.01209986462781</v>
      </c>
      <c r="J57" s="7">
        <v>34.794886753568129</v>
      </c>
      <c r="K57" s="7">
        <v>31.816907214644491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3.862892906426326</v>
      </c>
      <c r="E59" s="7">
        <v>0</v>
      </c>
      <c r="F59" s="7">
        <v>3.7321505233753189</v>
      </c>
      <c r="G59" s="7">
        <v>-86.515140762719739</v>
      </c>
      <c r="H59" s="7">
        <v>2.0785658509261138</v>
      </c>
      <c r="I59" s="7">
        <v>17.133750462013456</v>
      </c>
      <c r="J59" s="7">
        <v>15.396637806767563</v>
      </c>
      <c r="K59" s="7">
        <v>12.60304141837188</v>
      </c>
    </row>
    <row r="60" spans="1:11" x14ac:dyDescent="0.3">
      <c r="A60" t="s">
        <v>181</v>
      </c>
      <c r="B60" t="s">
        <v>182</v>
      </c>
      <c r="D60" s="7">
        <v>-3.862892906426326</v>
      </c>
      <c r="E60" s="7">
        <v>0</v>
      </c>
      <c r="F60" s="7">
        <v>-3.7321505233753189</v>
      </c>
      <c r="G60" s="7">
        <v>86.515140762719739</v>
      </c>
      <c r="H60" s="7">
        <v>-2.0785658509261138</v>
      </c>
      <c r="I60" s="7">
        <v>-17.133750462013456</v>
      </c>
      <c r="J60" s="7">
        <v>-15.396637806767563</v>
      </c>
      <c r="K60" s="7">
        <v>-12.60304141837188</v>
      </c>
    </row>
    <row r="61" spans="1:11" x14ac:dyDescent="0.3">
      <c r="A61" t="s">
        <v>183</v>
      </c>
      <c r="B61" t="s">
        <v>184</v>
      </c>
      <c r="D61" s="7">
        <v>30.712949128736138</v>
      </c>
      <c r="E61" s="7">
        <v>36.102860882038001</v>
      </c>
      <c r="F61" s="7">
        <v>37.596809611307933</v>
      </c>
      <c r="G61" s="7">
        <v>108.71100625765524</v>
      </c>
      <c r="H61" s="7">
        <v>102.22804827259088</v>
      </c>
      <c r="I61" s="7">
        <v>67.166228293897149</v>
      </c>
      <c r="J61" s="7">
        <v>50.747046687331419</v>
      </c>
      <c r="K61" s="7">
        <v>39.114418348195429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1.6902504471738693</v>
      </c>
      <c r="E62" s="7">
        <v>1.6905115804398692</v>
      </c>
      <c r="F62" s="7">
        <v>1.5522711527917179</v>
      </c>
      <c r="G62" s="7">
        <v>1.49</v>
      </c>
      <c r="H62" s="7">
        <v>1.5</v>
      </c>
      <c r="I62" s="7">
        <v>3.4</v>
      </c>
      <c r="J62" s="7">
        <v>5.76</v>
      </c>
      <c r="K62" s="7">
        <v>2.52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4.53</v>
      </c>
      <c r="E64" s="7">
        <v>4.0199999999999996</v>
      </c>
      <c r="F64" s="7">
        <v>1.88</v>
      </c>
      <c r="G64" s="7">
        <v>1.8</v>
      </c>
      <c r="H64" s="7">
        <v>3.01</v>
      </c>
      <c r="I64" s="7">
        <v>1.56</v>
      </c>
      <c r="J64" s="7">
        <v>2.19</v>
      </c>
      <c r="K64" s="7">
        <v>4.9400000000000004</v>
      </c>
    </row>
    <row r="65" spans="1:11" x14ac:dyDescent="0.3">
      <c r="A65" s="8" t="s">
        <v>190</v>
      </c>
      <c r="B65" s="8" t="s">
        <v>191</v>
      </c>
      <c r="C65" s="9"/>
      <c r="D65" s="7">
        <v>0.71</v>
      </c>
      <c r="E65" s="7">
        <v>0.39</v>
      </c>
      <c r="F65" s="7">
        <v>0</v>
      </c>
      <c r="G65" s="7">
        <v>0.44</v>
      </c>
      <c r="H65" s="7">
        <v>0.16</v>
      </c>
      <c r="I65" s="7">
        <v>0.51</v>
      </c>
      <c r="J65" s="7">
        <v>0.04</v>
      </c>
      <c r="K65" s="7">
        <v>0.4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0.68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26.28</v>
      </c>
      <c r="E68" s="7">
        <v>22.67</v>
      </c>
      <c r="F68" s="30">
        <v>33.159999999999997</v>
      </c>
      <c r="G68" s="30">
        <v>23.63</v>
      </c>
      <c r="H68" s="30">
        <v>17.53</v>
      </c>
      <c r="I68" s="30">
        <v>43.05</v>
      </c>
      <c r="J68" s="30">
        <v>25</v>
      </c>
      <c r="K68" s="30">
        <v>22.66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11.84</v>
      </c>
      <c r="E70" s="30">
        <v>13.86</v>
      </c>
      <c r="F70" s="7">
        <v>12.19</v>
      </c>
      <c r="G70" s="7">
        <v>12.11</v>
      </c>
      <c r="H70" s="7">
        <v>11.25</v>
      </c>
      <c r="I70" s="7">
        <v>8.68</v>
      </c>
      <c r="J70" s="7">
        <v>10.07</v>
      </c>
      <c r="K70" s="7">
        <v>11.65</v>
      </c>
    </row>
    <row r="71" spans="1:11" x14ac:dyDescent="0.3">
      <c r="A71" t="s">
        <v>200</v>
      </c>
      <c r="B71" t="s">
        <v>201</v>
      </c>
      <c r="D71" s="7">
        <v>13.49</v>
      </c>
      <c r="E71" s="30">
        <v>16.25</v>
      </c>
      <c r="F71" s="7">
        <v>16.079999999999998</v>
      </c>
      <c r="G71" s="7">
        <v>17.079999999999998</v>
      </c>
      <c r="H71" s="7">
        <v>15.09</v>
      </c>
      <c r="I71" s="7">
        <v>14.21</v>
      </c>
      <c r="J71" s="7">
        <v>14.59</v>
      </c>
      <c r="K71" s="7">
        <v>16.25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52.63</v>
      </c>
      <c r="E73" s="7">
        <v>47.23</v>
      </c>
      <c r="F73" s="7">
        <v>40.89</v>
      </c>
      <c r="G73" s="7">
        <v>33.47</v>
      </c>
      <c r="H73" s="7">
        <v>33.39</v>
      </c>
      <c r="I73" s="7">
        <v>29.95</v>
      </c>
      <c r="J73" s="7">
        <v>26.13</v>
      </c>
      <c r="K73" s="7">
        <v>53.5</v>
      </c>
    </row>
    <row r="74" spans="1:11" x14ac:dyDescent="0.3">
      <c r="B74" t="s">
        <v>203</v>
      </c>
      <c r="D74" s="7">
        <v>68.16</v>
      </c>
      <c r="E74" s="7">
        <v>63.17</v>
      </c>
      <c r="F74" s="7">
        <v>61.36</v>
      </c>
      <c r="G74" s="7">
        <v>55.6</v>
      </c>
      <c r="H74" s="7">
        <v>61.35</v>
      </c>
      <c r="I74" s="7">
        <v>51.28</v>
      </c>
      <c r="J74" s="7">
        <v>36.770000000000003</v>
      </c>
      <c r="K74" s="7">
        <v>65.75</v>
      </c>
    </row>
    <row r="75" spans="1:11" x14ac:dyDescent="0.3">
      <c r="B75" t="s">
        <v>204</v>
      </c>
      <c r="D75" s="7">
        <v>24.47</v>
      </c>
      <c r="E75" s="7">
        <v>23.44</v>
      </c>
      <c r="F75" s="7">
        <v>17.12</v>
      </c>
      <c r="G75" s="7">
        <v>11.01</v>
      </c>
      <c r="H75" s="7">
        <v>9.64</v>
      </c>
      <c r="I75" s="7">
        <v>11.31</v>
      </c>
      <c r="J75" s="7">
        <v>16.21</v>
      </c>
      <c r="K75" s="7">
        <v>44.3</v>
      </c>
    </row>
    <row r="76" spans="1:11" x14ac:dyDescent="0.3">
      <c r="A76" s="8" t="s">
        <v>37</v>
      </c>
      <c r="B76" s="8"/>
      <c r="C76" s="9">
        <v>47</v>
      </c>
      <c r="D76" s="7">
        <v>55.49029873910564</v>
      </c>
      <c r="E76" s="7">
        <v>57.821852492901712</v>
      </c>
      <c r="F76" s="30">
        <v>56.480584996300344</v>
      </c>
      <c r="G76" s="30">
        <v>55.613549803927334</v>
      </c>
      <c r="H76" s="30">
        <v>56.298836698900701</v>
      </c>
      <c r="I76" s="30">
        <v>54.456412667017673</v>
      </c>
      <c r="J76" s="30">
        <v>53.367260255334713</v>
      </c>
      <c r="K76" s="30">
        <v>59.547344727623887</v>
      </c>
    </row>
    <row r="77" spans="1:11" x14ac:dyDescent="0.3">
      <c r="A77" s="31" t="s">
        <v>338</v>
      </c>
      <c r="B77" s="31"/>
      <c r="C77" s="63"/>
      <c r="D77" s="30">
        <v>44.839527930198351</v>
      </c>
      <c r="E77" s="30">
        <v>53.717413053151311</v>
      </c>
      <c r="F77" s="30">
        <v>53.070852789532616</v>
      </c>
      <c r="G77" s="30">
        <v>51.093949867545895</v>
      </c>
      <c r="H77" s="30">
        <v>52.286852204308957</v>
      </c>
      <c r="I77" s="30">
        <v>48.91857063335565</v>
      </c>
      <c r="J77" s="30">
        <v>41.659411643653215</v>
      </c>
      <c r="K77" s="30">
        <v>53.54045292898433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5.244613091204771</v>
      </c>
      <c r="E79" s="7">
        <v>4.0439457690509588</v>
      </c>
      <c r="F79" s="30">
        <v>3.5943223443223449</v>
      </c>
      <c r="G79" s="30">
        <v>3.5271687321258343</v>
      </c>
      <c r="H79" s="30">
        <v>3.2319618366129994</v>
      </c>
      <c r="I79" s="30">
        <v>3.2030264817150065</v>
      </c>
      <c r="J79" s="30">
        <v>4.2225908611069212</v>
      </c>
      <c r="K79" s="30">
        <v>3.9810800157666533</v>
      </c>
    </row>
    <row r="80" spans="1:11" x14ac:dyDescent="0.3">
      <c r="A80">
        <v>9</v>
      </c>
      <c r="B80" t="s">
        <v>350</v>
      </c>
      <c r="D80" s="7">
        <v>21.398563490987939</v>
      </c>
      <c r="E80" s="7">
        <v>13.581112669471715</v>
      </c>
      <c r="F80" s="30">
        <v>11.687271062271064</v>
      </c>
      <c r="G80" s="30">
        <v>11.761201143946614</v>
      </c>
      <c r="H80" s="30">
        <v>12.379248658318428</v>
      </c>
      <c r="I80" s="30">
        <v>11.89155107187894</v>
      </c>
      <c r="J80" s="30">
        <v>16.64907253807872</v>
      </c>
      <c r="K80" s="30">
        <v>17.198791223229538</v>
      </c>
    </row>
    <row r="81" spans="1:11" x14ac:dyDescent="0.3">
      <c r="A81">
        <v>10</v>
      </c>
      <c r="B81" t="s">
        <v>206</v>
      </c>
      <c r="D81" s="7">
        <v>15.124000542078875</v>
      </c>
      <c r="E81" s="7">
        <v>11.302010285179991</v>
      </c>
      <c r="F81" s="30">
        <v>12.969322344322345</v>
      </c>
      <c r="G81" s="30">
        <v>12.976644423260247</v>
      </c>
      <c r="H81" s="30">
        <v>13.035181872391174</v>
      </c>
      <c r="I81" s="30">
        <v>13.694829760403533</v>
      </c>
      <c r="J81" s="30">
        <v>18.820690695219426</v>
      </c>
      <c r="K81" s="30">
        <v>26.304033635527524</v>
      </c>
    </row>
    <row r="82" spans="1:11" x14ac:dyDescent="0.3">
      <c r="A82">
        <v>12</v>
      </c>
      <c r="B82" t="s">
        <v>207</v>
      </c>
      <c r="D82" s="7">
        <v>6.5727063287708356</v>
      </c>
      <c r="E82" s="7">
        <v>4.2426367461430576</v>
      </c>
      <c r="F82" s="30">
        <v>4.4413919413919416</v>
      </c>
      <c r="G82" s="30">
        <v>3.956148713060057</v>
      </c>
      <c r="H82" s="30">
        <v>4.9850924269528916</v>
      </c>
      <c r="I82" s="30">
        <v>7.7805800756620425</v>
      </c>
      <c r="J82" s="30">
        <v>8.897602171618157</v>
      </c>
      <c r="K82" s="30">
        <v>11.260018394429117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63.997273850849766</v>
      </c>
      <c r="E84" s="7">
        <v>65.63</v>
      </c>
      <c r="F84" s="7">
        <v>59.2</v>
      </c>
      <c r="G84" s="7">
        <v>62.53</v>
      </c>
      <c r="H84" s="7">
        <v>58.92</v>
      </c>
      <c r="I84" s="7">
        <v>61.62</v>
      </c>
      <c r="J84" s="7">
        <v>49.23</v>
      </c>
      <c r="K84" s="7">
        <v>58.29</v>
      </c>
    </row>
    <row r="85" spans="1:11" x14ac:dyDescent="0.3">
      <c r="A85">
        <v>9</v>
      </c>
      <c r="B85" t="s">
        <v>350</v>
      </c>
      <c r="D85" s="7">
        <v>67.092712172234528</v>
      </c>
      <c r="E85" s="7">
        <v>62.58</v>
      </c>
      <c r="F85" s="7">
        <v>77.400000000000006</v>
      </c>
      <c r="G85" s="7">
        <v>84.99</v>
      </c>
      <c r="H85" s="7">
        <v>89.73</v>
      </c>
      <c r="I85" s="7">
        <v>88.95</v>
      </c>
      <c r="J85" s="7">
        <v>78.17</v>
      </c>
      <c r="K85" s="7">
        <v>83.81</v>
      </c>
    </row>
    <row r="86" spans="1:11" x14ac:dyDescent="0.3">
      <c r="A86">
        <v>10</v>
      </c>
      <c r="B86" t="s">
        <v>206</v>
      </c>
      <c r="D86" s="7">
        <v>52.190364197399106</v>
      </c>
      <c r="E86" s="7">
        <v>72</v>
      </c>
      <c r="F86" s="7">
        <v>66.849999999999994</v>
      </c>
      <c r="G86" s="7">
        <v>73.97</v>
      </c>
      <c r="H86" s="7">
        <v>75.2</v>
      </c>
      <c r="I86" s="7">
        <v>65.98</v>
      </c>
      <c r="J86" s="7">
        <v>75.17</v>
      </c>
      <c r="K86" s="7">
        <v>79.64</v>
      </c>
    </row>
    <row r="87" spans="1:11" x14ac:dyDescent="0.3">
      <c r="A87">
        <v>12</v>
      </c>
      <c r="B87" t="s">
        <v>207</v>
      </c>
      <c r="D87" s="7">
        <v>50.592804259814294</v>
      </c>
      <c r="E87" s="7">
        <v>47.94</v>
      </c>
      <c r="F87" s="7">
        <v>39.81</v>
      </c>
      <c r="G87" s="7">
        <v>54.21</v>
      </c>
      <c r="H87" s="7">
        <v>54.93</v>
      </c>
      <c r="I87" s="7">
        <v>55.1</v>
      </c>
      <c r="J87" s="7">
        <v>55.02</v>
      </c>
      <c r="K87" s="7">
        <v>62.6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89" priority="63" operator="greaterThan">
      <formula>$C3</formula>
    </cfRule>
  </conditionalFormatting>
  <conditionalFormatting sqref="D12">
    <cfRule type="cellIs" dxfId="88" priority="61" operator="lessThan">
      <formula>$C12</formula>
    </cfRule>
  </conditionalFormatting>
  <conditionalFormatting sqref="D15:F15 K15">
    <cfRule type="cellIs" dxfId="87" priority="59" operator="greaterThan">
      <formula>$C$15</formula>
    </cfRule>
  </conditionalFormatting>
  <conditionalFormatting sqref="E3:F3 K3">
    <cfRule type="cellIs" dxfId="86" priority="55" operator="greaterThan">
      <formula>$C3</formula>
    </cfRule>
  </conditionalFormatting>
  <conditionalFormatting sqref="D51:F51 K51">
    <cfRule type="cellIs" dxfId="85" priority="54" operator="greaterThan">
      <formula>$C51</formula>
    </cfRule>
  </conditionalFormatting>
  <conditionalFormatting sqref="D62:F62 K62">
    <cfRule type="cellIs" dxfId="84" priority="53" operator="greaterThan">
      <formula>$C62</formula>
    </cfRule>
  </conditionalFormatting>
  <conditionalFormatting sqref="D64:F64 K64">
    <cfRule type="cellIs" dxfId="83" priority="52" operator="greaterThan">
      <formula>$C64</formula>
    </cfRule>
  </conditionalFormatting>
  <conditionalFormatting sqref="E12:F12 K12">
    <cfRule type="cellIs" dxfId="82" priority="51" operator="lessThan">
      <formula>$C12</formula>
    </cfRule>
  </conditionalFormatting>
  <conditionalFormatting sqref="D76:F77">
    <cfRule type="cellIs" dxfId="81" priority="50" operator="lessThan">
      <formula>$C76</formula>
    </cfRule>
  </conditionalFormatting>
  <conditionalFormatting sqref="E76:F77 K76:K77">
    <cfRule type="cellIs" dxfId="80" priority="49" operator="lessThan">
      <formula>$C76</formula>
    </cfRule>
  </conditionalFormatting>
  <conditionalFormatting sqref="D65">
    <cfRule type="expression" dxfId="79" priority="40">
      <formula>D$65+D$66&gt;=$C$66</formula>
    </cfRule>
  </conditionalFormatting>
  <conditionalFormatting sqref="E65:F65 K65">
    <cfRule type="expression" dxfId="78" priority="39">
      <formula>E$65+E$66&gt;=$C$66</formula>
    </cfRule>
  </conditionalFormatting>
  <conditionalFormatting sqref="D66">
    <cfRule type="expression" dxfId="77" priority="38">
      <formula>D$65+D$66&gt;=$C$66</formula>
    </cfRule>
  </conditionalFormatting>
  <conditionalFormatting sqref="E66:F66 K66">
    <cfRule type="expression" dxfId="76" priority="37">
      <formula>E$65+E$66&gt;=$C$66</formula>
    </cfRule>
  </conditionalFormatting>
  <conditionalFormatting sqref="G15">
    <cfRule type="cellIs" dxfId="75" priority="36" operator="greaterThan">
      <formula>$C$15</formula>
    </cfRule>
  </conditionalFormatting>
  <conditionalFormatting sqref="G3">
    <cfRule type="cellIs" dxfId="74" priority="35" operator="greaterThan">
      <formula>$C3</formula>
    </cfRule>
  </conditionalFormatting>
  <conditionalFormatting sqref="G51">
    <cfRule type="cellIs" dxfId="73" priority="34" operator="greaterThan">
      <formula>$C51</formula>
    </cfRule>
  </conditionalFormatting>
  <conditionalFormatting sqref="G62">
    <cfRule type="cellIs" dxfId="72" priority="33" operator="greaterThan">
      <formula>$C62</formula>
    </cfRule>
  </conditionalFormatting>
  <conditionalFormatting sqref="G64">
    <cfRule type="cellIs" dxfId="71" priority="32" operator="greaterThan">
      <formula>$C64</formula>
    </cfRule>
  </conditionalFormatting>
  <conditionalFormatting sqref="G12">
    <cfRule type="cellIs" dxfId="70" priority="31" operator="lessThan">
      <formula>$C12</formula>
    </cfRule>
  </conditionalFormatting>
  <conditionalFormatting sqref="G76:G77">
    <cfRule type="cellIs" dxfId="69" priority="30" operator="lessThan">
      <formula>$C76</formula>
    </cfRule>
  </conditionalFormatting>
  <conditionalFormatting sqref="G65">
    <cfRule type="expression" dxfId="68" priority="29">
      <formula>G$65+G$66&gt;=$C$66</formula>
    </cfRule>
  </conditionalFormatting>
  <conditionalFormatting sqref="G66">
    <cfRule type="expression" dxfId="67" priority="28">
      <formula>G$65+G$66&gt;=$C$66</formula>
    </cfRule>
  </conditionalFormatting>
  <conditionalFormatting sqref="H15">
    <cfRule type="cellIs" dxfId="66" priority="27" operator="greaterThan">
      <formula>$C$15</formula>
    </cfRule>
  </conditionalFormatting>
  <conditionalFormatting sqref="H3">
    <cfRule type="cellIs" dxfId="65" priority="26" operator="greaterThan">
      <formula>$C3</formula>
    </cfRule>
  </conditionalFormatting>
  <conditionalFormatting sqref="H51">
    <cfRule type="cellIs" dxfId="64" priority="25" operator="greaterThan">
      <formula>$C51</formula>
    </cfRule>
  </conditionalFormatting>
  <conditionalFormatting sqref="H62">
    <cfRule type="cellIs" dxfId="63" priority="24" operator="greaterThan">
      <formula>$C62</formula>
    </cfRule>
  </conditionalFormatting>
  <conditionalFormatting sqref="H64">
    <cfRule type="cellIs" dxfId="62" priority="23" operator="greaterThan">
      <formula>$C64</formula>
    </cfRule>
  </conditionalFormatting>
  <conditionalFormatting sqref="H12">
    <cfRule type="cellIs" dxfId="61" priority="22" operator="lessThan">
      <formula>$C12</formula>
    </cfRule>
  </conditionalFormatting>
  <conditionalFormatting sqref="H76:H77">
    <cfRule type="cellIs" dxfId="60" priority="21" operator="lessThan">
      <formula>$C76</formula>
    </cfRule>
  </conditionalFormatting>
  <conditionalFormatting sqref="H65">
    <cfRule type="expression" dxfId="59" priority="20">
      <formula>H$65+H$66&gt;=$C$66</formula>
    </cfRule>
  </conditionalFormatting>
  <conditionalFormatting sqref="H66">
    <cfRule type="expression" dxfId="58" priority="19">
      <formula>H$65+H$66&gt;=$C$66</formula>
    </cfRule>
  </conditionalFormatting>
  <conditionalFormatting sqref="I15">
    <cfRule type="cellIs" dxfId="57" priority="18" operator="greaterThan">
      <formula>$C$15</formula>
    </cfRule>
  </conditionalFormatting>
  <conditionalFormatting sqref="I3">
    <cfRule type="cellIs" dxfId="56" priority="17" operator="greaterThan">
      <formula>$C3</formula>
    </cfRule>
  </conditionalFormatting>
  <conditionalFormatting sqref="I51">
    <cfRule type="cellIs" dxfId="55" priority="16" operator="greaterThan">
      <formula>$C51</formula>
    </cfRule>
  </conditionalFormatting>
  <conditionalFormatting sqref="I62">
    <cfRule type="cellIs" dxfId="54" priority="15" operator="greaterThan">
      <formula>$C62</formula>
    </cfRule>
  </conditionalFormatting>
  <conditionalFormatting sqref="I64">
    <cfRule type="cellIs" dxfId="53" priority="14" operator="greaterThan">
      <formula>$C64</formula>
    </cfRule>
  </conditionalFormatting>
  <conditionalFormatting sqref="I12">
    <cfRule type="cellIs" dxfId="52" priority="13" operator="lessThan">
      <formula>$C12</formula>
    </cfRule>
  </conditionalFormatting>
  <conditionalFormatting sqref="I76:I77">
    <cfRule type="cellIs" dxfId="51" priority="12" operator="lessThan">
      <formula>$C76</formula>
    </cfRule>
  </conditionalFormatting>
  <conditionalFormatting sqref="I65">
    <cfRule type="expression" dxfId="50" priority="11">
      <formula>I$65+I$66&gt;=$C$66</formula>
    </cfRule>
  </conditionalFormatting>
  <conditionalFormatting sqref="I66">
    <cfRule type="expression" dxfId="49" priority="10">
      <formula>I$65+I$66&gt;=$C$66</formula>
    </cfRule>
  </conditionalFormatting>
  <conditionalFormatting sqref="J15">
    <cfRule type="cellIs" dxfId="48" priority="9" operator="greaterThan">
      <formula>$C$15</formula>
    </cfRule>
  </conditionalFormatting>
  <conditionalFormatting sqref="J3">
    <cfRule type="cellIs" dxfId="47" priority="8" operator="greaterThan">
      <formula>$C3</formula>
    </cfRule>
  </conditionalFormatting>
  <conditionalFormatting sqref="J51">
    <cfRule type="cellIs" dxfId="46" priority="7" operator="greaterThan">
      <formula>$C51</formula>
    </cfRule>
  </conditionalFormatting>
  <conditionalFormatting sqref="J62">
    <cfRule type="cellIs" dxfId="45" priority="6" operator="greaterThan">
      <formula>$C62</formula>
    </cfRule>
  </conditionalFormatting>
  <conditionalFormatting sqref="J64">
    <cfRule type="cellIs" dxfId="44" priority="5" operator="greaterThan">
      <formula>$C64</formula>
    </cfRule>
  </conditionalFormatting>
  <conditionalFormatting sqref="J12">
    <cfRule type="cellIs" dxfId="43" priority="4" operator="lessThan">
      <formula>$C12</formula>
    </cfRule>
  </conditionalFormatting>
  <conditionalFormatting sqref="J76:J77">
    <cfRule type="cellIs" dxfId="42" priority="3" operator="lessThan">
      <formula>$C76</formula>
    </cfRule>
  </conditionalFormatting>
  <conditionalFormatting sqref="J65">
    <cfRule type="expression" dxfId="41" priority="2">
      <formula>J$65+J$66&gt;=$C$66</formula>
    </cfRule>
  </conditionalFormatting>
  <conditionalFormatting sqref="J66">
    <cfRule type="expression" dxfId="40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1" width="9.88671875" bestFit="1" customWidth="1"/>
    <col min="2" max="2" width="9.5546875" bestFit="1" customWidth="1"/>
    <col min="3" max="3" width="50.6640625" bestFit="1" customWidth="1"/>
    <col min="4" max="4" width="7.44140625" customWidth="1"/>
    <col min="5" max="12" width="6.664062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7" t="s">
        <v>328</v>
      </c>
      <c r="E2" s="82">
        <f>Piano_indicatori!D3</f>
        <v>38.299999999999997</v>
      </c>
      <c r="F2" s="82">
        <f>Piano_indicatori!E3</f>
        <v>35.75</v>
      </c>
      <c r="G2" s="82">
        <f>Piano_indicatori!F3</f>
        <v>32.93</v>
      </c>
      <c r="H2" s="82">
        <f>Piano_indicatori!G3</f>
        <v>32.07</v>
      </c>
      <c r="I2" s="82">
        <f>Piano_indicatori!H3</f>
        <v>28.27</v>
      </c>
      <c r="J2" s="82">
        <f>Piano_indicatori!I3</f>
        <v>25.58</v>
      </c>
      <c r="K2" s="82">
        <f>Piano_indicatori!J3</f>
        <v>29.57</v>
      </c>
      <c r="L2" s="82">
        <f>Piano_indicatori!K3</f>
        <v>26.94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88" t="s">
        <v>329</v>
      </c>
      <c r="E3" s="83">
        <f>Piano_indicatori!D12</f>
        <v>29.05</v>
      </c>
      <c r="F3" s="83">
        <f>Piano_indicatori!E12</f>
        <v>29.94</v>
      </c>
      <c r="G3" s="83">
        <f>Piano_indicatori!F12</f>
        <v>36.76</v>
      </c>
      <c r="H3" s="83">
        <f>Piano_indicatori!G12</f>
        <v>35.9</v>
      </c>
      <c r="I3" s="83">
        <f>Piano_indicatori!H12</f>
        <v>35.409999999999997</v>
      </c>
      <c r="J3" s="83">
        <f>Piano_indicatori!I12</f>
        <v>41.66</v>
      </c>
      <c r="K3" s="83">
        <f>Piano_indicatori!J12</f>
        <v>32.43</v>
      </c>
      <c r="L3" s="83">
        <f>Piano_indicatori!K12</f>
        <v>35.619999999999997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7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601.79999999999995</v>
      </c>
      <c r="H4" s="84">
        <f>Piano_indicatori!G15</f>
        <v>258.95</v>
      </c>
      <c r="I4" s="84">
        <f>Piano_indicatori!H15</f>
        <v>568.85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89" t="s">
        <v>331</v>
      </c>
      <c r="E5" s="85">
        <f>Piano_indicatori!D51</f>
        <v>3.51</v>
      </c>
      <c r="F5" s="85">
        <f>Piano_indicatori!E51</f>
        <v>3.51</v>
      </c>
      <c r="G5" s="85">
        <f>Piano_indicatori!F51</f>
        <v>3.51</v>
      </c>
      <c r="H5" s="85">
        <f>Piano_indicatori!G51</f>
        <v>3.51</v>
      </c>
      <c r="I5" s="85">
        <f>Piano_indicatori!H51</f>
        <v>3.51</v>
      </c>
      <c r="J5" s="85">
        <f>Piano_indicatori!I51</f>
        <v>3.51</v>
      </c>
      <c r="K5" s="85">
        <f>Piano_indicatori!J51</f>
        <v>3.51</v>
      </c>
      <c r="L5" s="85">
        <f>Piano_indicatori!K51</f>
        <v>3.51</v>
      </c>
    </row>
    <row r="6" spans="1:12" ht="29.25" customHeight="1" x14ac:dyDescent="0.3">
      <c r="A6" s="75" t="s">
        <v>317</v>
      </c>
      <c r="B6" s="75" t="s">
        <v>185</v>
      </c>
      <c r="C6" s="91" t="s">
        <v>186</v>
      </c>
      <c r="D6" s="90" t="s">
        <v>332</v>
      </c>
      <c r="E6" s="109">
        <f>Piano_indicatori!D62</f>
        <v>1.6902504471738693</v>
      </c>
      <c r="F6" s="109">
        <f>Piano_indicatori!E62</f>
        <v>1.6905115804398692</v>
      </c>
      <c r="G6" s="109">
        <f>Piano_indicatori!F62</f>
        <v>1.5522711527917179</v>
      </c>
      <c r="H6" s="109">
        <f>Piano_indicatori!G62</f>
        <v>1.49</v>
      </c>
      <c r="I6" s="109">
        <f>Piano_indicatori!H62</f>
        <v>1.5</v>
      </c>
      <c r="J6" s="109">
        <f>Piano_indicatori!I62</f>
        <v>3.4</v>
      </c>
      <c r="K6" s="109">
        <f>Piano_indicatori!J62</f>
        <v>5.76</v>
      </c>
      <c r="L6" s="109">
        <f>Piano_indicatori!K62</f>
        <v>2.52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88" t="s">
        <v>333</v>
      </c>
      <c r="E7" s="110">
        <f>Piano_indicatori!D64</f>
        <v>4.53</v>
      </c>
      <c r="F7" s="110">
        <f>Piano_indicatori!E64</f>
        <v>4.0199999999999996</v>
      </c>
      <c r="G7" s="110">
        <f>Piano_indicatori!F64</f>
        <v>1.88</v>
      </c>
      <c r="H7" s="110">
        <f>Piano_indicatori!G64</f>
        <v>1.8</v>
      </c>
      <c r="I7" s="110">
        <f>Piano_indicatori!H64</f>
        <v>3.01</v>
      </c>
      <c r="J7" s="110">
        <f>Piano_indicatori!I64</f>
        <v>1.56</v>
      </c>
      <c r="K7" s="110">
        <f>Piano_indicatori!J64</f>
        <v>2.19</v>
      </c>
      <c r="L7" s="110">
        <f>Piano_indicatori!K64</f>
        <v>4.9400000000000004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7" t="s">
        <v>334</v>
      </c>
      <c r="E8" s="111">
        <f>Piano_indicatori!D65+Piano_indicatori!D66</f>
        <v>0.71</v>
      </c>
      <c r="F8" s="111">
        <f>Piano_indicatori!E65+Piano_indicatori!E66</f>
        <v>0.39</v>
      </c>
      <c r="G8" s="111">
        <f>Piano_indicatori!F65+Piano_indicatori!F66</f>
        <v>0.68</v>
      </c>
      <c r="H8" s="111">
        <f>Piano_indicatori!G65+Piano_indicatori!G66</f>
        <v>0.44</v>
      </c>
      <c r="I8" s="111">
        <f>Piano_indicatori!H65+Piano_indicatori!H66</f>
        <v>0.16</v>
      </c>
      <c r="J8" s="111">
        <f>Piano_indicatori!I65+Piano_indicatori!I66</f>
        <v>0.51</v>
      </c>
      <c r="K8" s="111">
        <f>Piano_indicatori!J65+Piano_indicatori!J66</f>
        <v>0.04</v>
      </c>
      <c r="L8" s="111">
        <f>Piano_indicatori!K65+Piano_indicatori!K66</f>
        <v>0.4</v>
      </c>
    </row>
    <row r="9" spans="1:12" ht="29.25" customHeight="1" x14ac:dyDescent="0.3">
      <c r="A9" s="76" t="s">
        <v>320</v>
      </c>
      <c r="B9" s="76"/>
      <c r="C9" s="81" t="s">
        <v>327</v>
      </c>
      <c r="D9" s="89" t="s">
        <v>335</v>
      </c>
      <c r="E9" s="86">
        <f>Piano_indicatori!D76</f>
        <v>55.49029873910564</v>
      </c>
      <c r="F9" s="86">
        <f>Piano_indicatori!E76</f>
        <v>57.821852492901712</v>
      </c>
      <c r="G9" s="86">
        <f>Piano_indicatori!F76</f>
        <v>56.480584996300344</v>
      </c>
      <c r="H9" s="86">
        <f>Piano_indicatori!G76</f>
        <v>55.613549803927334</v>
      </c>
      <c r="I9" s="86">
        <f>Piano_indicatori!H76</f>
        <v>56.298836698900701</v>
      </c>
      <c r="J9" s="86">
        <f>Piano_indicatori!I76</f>
        <v>54.456412667017673</v>
      </c>
      <c r="K9" s="86">
        <f>Piano_indicatori!J76</f>
        <v>53.367260255334713</v>
      </c>
      <c r="L9" s="86">
        <f>Piano_indicatori!K76</f>
        <v>59.547344727623887</v>
      </c>
    </row>
  </sheetData>
  <conditionalFormatting sqref="E2:G2 L2">
    <cfRule type="cellIs" dxfId="39" priority="40" operator="greaterThan">
      <formula>48</formula>
    </cfRule>
  </conditionalFormatting>
  <conditionalFormatting sqref="E3:G3 L3">
    <cfRule type="cellIs" dxfId="38" priority="39" operator="lessThan">
      <formula>22</formula>
    </cfRule>
  </conditionalFormatting>
  <conditionalFormatting sqref="E4:G4 L4">
    <cfRule type="cellIs" dxfId="37" priority="38" operator="greaterThan">
      <formula>0</formula>
    </cfRule>
  </conditionalFormatting>
  <conditionalFormatting sqref="E5:G5 L5">
    <cfRule type="cellIs" dxfId="36" priority="37" operator="greaterThan">
      <formula>16</formula>
    </cfRule>
  </conditionalFormatting>
  <conditionalFormatting sqref="E6:G6 L6">
    <cfRule type="cellIs" dxfId="35" priority="36" operator="greaterThan">
      <formula>1.2</formula>
    </cfRule>
  </conditionalFormatting>
  <conditionalFormatting sqref="E7:G7 L7">
    <cfRule type="cellIs" dxfId="34" priority="35" operator="greaterThan">
      <formula>1</formula>
    </cfRule>
  </conditionalFormatting>
  <conditionalFormatting sqref="E8:G8 L8">
    <cfRule type="cellIs" dxfId="33" priority="34" operator="greaterThan">
      <formula>0.6</formula>
    </cfRule>
  </conditionalFormatting>
  <conditionalFormatting sqref="E9:G9 L9">
    <cfRule type="cellIs" dxfId="32" priority="33" operator="lessThan">
      <formula>47</formula>
    </cfRule>
  </conditionalFormatting>
  <conditionalFormatting sqref="H2">
    <cfRule type="cellIs" dxfId="31" priority="32" operator="greaterThan">
      <formula>48</formula>
    </cfRule>
  </conditionalFormatting>
  <conditionalFormatting sqref="H3">
    <cfRule type="cellIs" dxfId="30" priority="31" operator="lessThan">
      <formula>22</formula>
    </cfRule>
  </conditionalFormatting>
  <conditionalFormatting sqref="H4">
    <cfRule type="cellIs" dxfId="29" priority="30" operator="greaterThan">
      <formula>0</formula>
    </cfRule>
  </conditionalFormatting>
  <conditionalFormatting sqref="H5">
    <cfRule type="cellIs" dxfId="28" priority="29" operator="greaterThan">
      <formula>16</formula>
    </cfRule>
  </conditionalFormatting>
  <conditionalFormatting sqref="H6">
    <cfRule type="cellIs" dxfId="27" priority="28" operator="greaterThan">
      <formula>1.2</formula>
    </cfRule>
  </conditionalFormatting>
  <conditionalFormatting sqref="H7">
    <cfRule type="cellIs" dxfId="26" priority="27" operator="greaterThan">
      <formula>1</formula>
    </cfRule>
  </conditionalFormatting>
  <conditionalFormatting sqref="H8">
    <cfRule type="cellIs" dxfId="25" priority="26" operator="greaterThan">
      <formula>0.6</formula>
    </cfRule>
  </conditionalFormatting>
  <conditionalFormatting sqref="H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A8" sqref="A8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6" width="10.33203125" customWidth="1"/>
  </cols>
  <sheetData>
    <row r="1" spans="1:21" ht="43.2" x14ac:dyDescent="0.3">
      <c r="A1" s="97" t="s">
        <v>336</v>
      </c>
      <c r="B1" s="97" t="s">
        <v>337</v>
      </c>
      <c r="C1" s="97" t="s">
        <v>351</v>
      </c>
      <c r="D1" s="97" t="s">
        <v>352</v>
      </c>
      <c r="E1" s="97" t="s">
        <v>353</v>
      </c>
      <c r="F1" s="97" t="s">
        <v>364</v>
      </c>
      <c r="G1" s="97" t="s">
        <v>354</v>
      </c>
    </row>
    <row r="2" spans="1:21" x14ac:dyDescent="0.3">
      <c r="A2" s="31">
        <v>2024</v>
      </c>
      <c r="B2" s="1">
        <v>628894</v>
      </c>
      <c r="C2" s="1">
        <v>1198594</v>
      </c>
      <c r="D2" s="97"/>
    </row>
    <row r="3" spans="1:21" x14ac:dyDescent="0.3">
      <c r="A3" s="31">
        <v>2023</v>
      </c>
      <c r="B3" s="1">
        <v>632499</v>
      </c>
      <c r="C3" s="1">
        <v>1204189</v>
      </c>
      <c r="D3" s="1">
        <v>-2217</v>
      </c>
      <c r="E3" s="1">
        <f>-2452+1064</f>
        <v>-1388</v>
      </c>
      <c r="G3" s="1">
        <f t="shared" ref="G3:G4" si="0">B2-B3-D3-E3-F3</f>
        <v>0</v>
      </c>
    </row>
    <row r="4" spans="1:21" x14ac:dyDescent="0.3">
      <c r="A4" s="31">
        <v>2022</v>
      </c>
      <c r="B4" s="1">
        <v>635439</v>
      </c>
      <c r="C4" s="1">
        <v>1203270</v>
      </c>
      <c r="D4" s="1">
        <v>-2452</v>
      </c>
      <c r="E4" s="1">
        <f>-3067+483</f>
        <v>-2584</v>
      </c>
      <c r="F4" s="1">
        <v>2096</v>
      </c>
      <c r="G4" s="1">
        <f t="shared" si="0"/>
        <v>0</v>
      </c>
    </row>
    <row r="5" spans="1:21" x14ac:dyDescent="0.3">
      <c r="A5" s="31">
        <v>2021</v>
      </c>
      <c r="B5" s="1">
        <v>637885</v>
      </c>
      <c r="C5" s="1">
        <v>1208819</v>
      </c>
      <c r="D5" s="1">
        <v>-2438</v>
      </c>
      <c r="E5" s="1">
        <v>-4533</v>
      </c>
      <c r="F5" s="1">
        <v>4525</v>
      </c>
      <c r="G5" s="1">
        <f>B4-B5-D5-E5-F5</f>
        <v>0</v>
      </c>
    </row>
    <row r="6" spans="1:21" x14ac:dyDescent="0.3">
      <c r="A6" s="31">
        <v>2020</v>
      </c>
      <c r="B6" s="1">
        <v>647422</v>
      </c>
      <c r="C6" s="1">
        <v>1222988</v>
      </c>
      <c r="D6" s="1">
        <v>-2143</v>
      </c>
      <c r="E6" s="1">
        <v>-4204</v>
      </c>
      <c r="F6" s="1">
        <v>-3190</v>
      </c>
      <c r="G6" s="1">
        <f t="shared" ref="G6:G11" si="1">B5-B6-D6-E6-F6</f>
        <v>0</v>
      </c>
    </row>
    <row r="7" spans="1:21" x14ac:dyDescent="0.3">
      <c r="A7" s="31">
        <v>2019</v>
      </c>
      <c r="B7" s="1">
        <v>652720</v>
      </c>
      <c r="C7" s="1">
        <v>1231602</v>
      </c>
      <c r="D7" s="1">
        <v>-1008</v>
      </c>
      <c r="E7" s="1">
        <v>-4765</v>
      </c>
      <c r="F7" s="1">
        <v>475</v>
      </c>
      <c r="G7" s="1">
        <f t="shared" si="1"/>
        <v>0</v>
      </c>
      <c r="L7" s="112"/>
      <c r="M7" s="113"/>
      <c r="N7" s="113"/>
      <c r="O7" s="113"/>
      <c r="P7" s="113"/>
      <c r="Q7" s="113"/>
      <c r="R7" s="113"/>
      <c r="S7" s="113"/>
      <c r="T7" s="113"/>
      <c r="U7" s="113"/>
    </row>
    <row r="8" spans="1:21" x14ac:dyDescent="0.3">
      <c r="A8" s="31">
        <v>2018</v>
      </c>
      <c r="B8" s="1">
        <v>655533</v>
      </c>
      <c r="C8" s="1">
        <v>1238675</v>
      </c>
      <c r="D8" s="1">
        <v>-1060</v>
      </c>
      <c r="E8" s="1">
        <v>-1753</v>
      </c>
      <c r="F8" s="1"/>
      <c r="G8" s="1">
        <f t="shared" si="1"/>
        <v>0</v>
      </c>
      <c r="L8" s="112"/>
      <c r="M8" s="113"/>
      <c r="N8" s="113"/>
      <c r="O8" s="113"/>
      <c r="P8" s="113"/>
      <c r="Q8" s="113"/>
      <c r="R8" s="113"/>
      <c r="S8" s="113"/>
      <c r="T8" s="113"/>
      <c r="U8" s="113"/>
    </row>
    <row r="9" spans="1:21" x14ac:dyDescent="0.3">
      <c r="A9" s="31">
        <v>2017</v>
      </c>
      <c r="B9" s="1">
        <v>658575</v>
      </c>
      <c r="C9" s="1">
        <v>1246163</v>
      </c>
      <c r="D9" s="1">
        <v>-1176</v>
      </c>
      <c r="E9" s="1">
        <v>-1866</v>
      </c>
      <c r="F9" s="1"/>
      <c r="G9" s="1">
        <f t="shared" si="1"/>
        <v>0</v>
      </c>
      <c r="L9" s="112"/>
      <c r="M9" s="113"/>
      <c r="N9" s="113"/>
      <c r="O9" s="113"/>
      <c r="P9" s="113"/>
      <c r="Q9" s="113"/>
      <c r="R9" s="113"/>
      <c r="S9" s="113"/>
      <c r="T9" s="113"/>
      <c r="U9" s="113"/>
    </row>
    <row r="10" spans="1:21" x14ac:dyDescent="0.3">
      <c r="A10" s="31">
        <v>2016</v>
      </c>
      <c r="B10" s="1">
        <v>659196</v>
      </c>
      <c r="C10" s="1">
        <v>1250836</v>
      </c>
      <c r="D10" s="1">
        <v>-666</v>
      </c>
      <c r="E10" s="1">
        <v>45</v>
      </c>
      <c r="F10" s="1"/>
      <c r="G10" s="1">
        <f t="shared" si="1"/>
        <v>0</v>
      </c>
      <c r="L10" s="112"/>
      <c r="M10" s="113"/>
      <c r="N10" s="113"/>
      <c r="O10" s="113"/>
      <c r="P10" s="113"/>
      <c r="Q10" s="113"/>
      <c r="R10" s="113"/>
      <c r="S10" s="113"/>
      <c r="T10" s="113"/>
      <c r="U10" s="113"/>
    </row>
    <row r="11" spans="1:21" x14ac:dyDescent="0.3">
      <c r="A11" s="31">
        <v>2015</v>
      </c>
      <c r="B11" s="1">
        <v>661091</v>
      </c>
      <c r="C11" s="1">
        <v>1255334</v>
      </c>
      <c r="D11" s="1">
        <v>-358</v>
      </c>
      <c r="E11" s="1">
        <v>-1537</v>
      </c>
      <c r="F11" s="1"/>
      <c r="G11" s="1">
        <f t="shared" si="1"/>
        <v>0</v>
      </c>
    </row>
    <row r="30" spans="1:4" x14ac:dyDescent="0.3">
      <c r="A30" s="114"/>
      <c r="B30" s="97"/>
      <c r="C30" s="97"/>
      <c r="D30" s="97"/>
    </row>
    <row r="31" spans="1:4" x14ac:dyDescent="0.3">
      <c r="A31" s="114"/>
      <c r="B31" s="97"/>
      <c r="C31" s="97"/>
      <c r="D31" s="97"/>
    </row>
    <row r="32" spans="1:4" x14ac:dyDescent="0.3">
      <c r="A32" s="114"/>
      <c r="B32" s="97"/>
      <c r="C32" s="97"/>
      <c r="D32" s="97"/>
    </row>
    <row r="33" spans="1:4" x14ac:dyDescent="0.3">
      <c r="A33" s="114"/>
      <c r="B33" s="97"/>
      <c r="C33" s="97"/>
      <c r="D33" s="97"/>
    </row>
    <row r="34" spans="1:4" x14ac:dyDescent="0.3">
      <c r="A34" s="114"/>
      <c r="B34" s="97"/>
      <c r="C34" s="97"/>
      <c r="D34" s="97"/>
    </row>
    <row r="35" spans="1:4" x14ac:dyDescent="0.3">
      <c r="A35" s="114"/>
      <c r="B35" s="97"/>
      <c r="C35" s="97"/>
      <c r="D35" s="97"/>
    </row>
    <row r="36" spans="1:4" x14ac:dyDescent="0.3">
      <c r="A36" s="114"/>
      <c r="B36" s="97"/>
      <c r="C36" s="97"/>
      <c r="D36" s="97"/>
    </row>
    <row r="37" spans="1:4" x14ac:dyDescent="0.3">
      <c r="A37" s="114"/>
      <c r="B37" s="97"/>
      <c r="C37" s="97"/>
      <c r="D37" s="97"/>
    </row>
    <row r="38" spans="1:4" x14ac:dyDescent="0.3">
      <c r="A38" s="114"/>
      <c r="B38" s="97"/>
      <c r="C38" s="97"/>
      <c r="D38" s="97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N1" sqref="N1:P1048576"/>
    </sheetView>
  </sheetViews>
  <sheetFormatPr defaultRowHeight="14.4" x14ac:dyDescent="0.3"/>
  <cols>
    <col min="1" max="1" width="55.6640625" bestFit="1" customWidth="1"/>
    <col min="2" max="9" width="14.109375" bestFit="1" customWidth="1"/>
    <col min="10" max="10" width="8.33203125" bestFit="1" customWidth="1"/>
    <col min="11" max="11" width="6.5546875" bestFit="1" customWidth="1"/>
    <col min="12" max="12" width="14.1093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385</v>
      </c>
      <c r="M1" s="42" t="s">
        <v>269</v>
      </c>
    </row>
    <row r="2" spans="1:13" x14ac:dyDescent="0.3">
      <c r="A2" s="55" t="s">
        <v>20</v>
      </c>
      <c r="B2" s="56">
        <f>Entrate_Uscite!B3</f>
        <v>488315593.11000001</v>
      </c>
      <c r="C2" s="56">
        <f>Entrate_Uscite!E3</f>
        <v>521394762.99000001</v>
      </c>
      <c r="D2" s="56">
        <f>Entrate_Uscite!H3</f>
        <v>533226756.99000001</v>
      </c>
      <c r="E2" s="56">
        <f>Entrate_Uscite!K3</f>
        <v>590101479.75999999</v>
      </c>
      <c r="F2" s="56">
        <f>Entrate_Uscite!N3</f>
        <v>512428897.95999998</v>
      </c>
      <c r="G2" s="56">
        <f>Entrate_Uscite!Q3</f>
        <v>528199467.57999998</v>
      </c>
      <c r="H2" s="56">
        <f>Entrate_Uscite!T3</f>
        <v>463584468.86000001</v>
      </c>
      <c r="I2" s="56">
        <f>Entrate_Uscite!W3</f>
        <v>479160318.48000002</v>
      </c>
      <c r="J2" s="56">
        <f>I2/I$21*100</f>
        <v>38.464129478981313</v>
      </c>
      <c r="K2" s="57">
        <f>IF(H2&gt;0,I2/H2*100-100,"-")</f>
        <v>3.3598730471498612</v>
      </c>
      <c r="L2" s="56">
        <f>Entrate_Uscite!X3</f>
        <v>315032306.39999998</v>
      </c>
      <c r="M2" s="58">
        <f>IF(I2&gt;0,L2/I2*100,"-")</f>
        <v>65.746743678472882</v>
      </c>
    </row>
    <row r="3" spans="1:13" x14ac:dyDescent="0.3">
      <c r="A3" s="55" t="s">
        <v>21</v>
      </c>
      <c r="B3" s="56">
        <f>Entrate_Uscite!B4</f>
        <v>175541920.53</v>
      </c>
      <c r="C3" s="56">
        <f>Entrate_Uscite!E4</f>
        <v>173813208.58000001</v>
      </c>
      <c r="D3" s="56">
        <f>Entrate_Uscite!H4</f>
        <v>199347816.72999999</v>
      </c>
      <c r="E3" s="56">
        <f>Entrate_Uscite!K4</f>
        <v>164154610.40000001</v>
      </c>
      <c r="F3" s="56">
        <f>Entrate_Uscite!N4</f>
        <v>285957656.58999997</v>
      </c>
      <c r="G3" s="56">
        <f>Entrate_Uscite!Q4</f>
        <v>376538680.80000001</v>
      </c>
      <c r="H3" s="56">
        <f>Entrate_Uscite!T4</f>
        <v>280795467.26999998</v>
      </c>
      <c r="I3" s="56">
        <f>Entrate_Uscite!W4</f>
        <v>276780592.48000002</v>
      </c>
      <c r="J3" s="56">
        <f t="shared" ref="J3:J21" si="0">I3/I$21*100</f>
        <v>22.218293410004584</v>
      </c>
      <c r="K3" s="57">
        <f t="shared" ref="K3:K21" si="1">IF(H3&gt;0,I3/H3*100-100,"-")</f>
        <v>-1.4298217948580572</v>
      </c>
      <c r="L3" s="56">
        <f>Entrate_Uscite!X4</f>
        <v>200011992.11000001</v>
      </c>
      <c r="M3" s="58">
        <f t="shared" ref="M3:M21" si="2">IF(I3&gt;0,L3/I3*100,"-")</f>
        <v>72.263734360078999</v>
      </c>
    </row>
    <row r="4" spans="1:13" x14ac:dyDescent="0.3">
      <c r="A4" s="55" t="s">
        <v>22</v>
      </c>
      <c r="B4" s="56">
        <f>Entrate_Uscite!B5</f>
        <v>117314602.13</v>
      </c>
      <c r="C4" s="56">
        <f>Entrate_Uscite!E5</f>
        <v>85843476.569999993</v>
      </c>
      <c r="D4" s="56">
        <f>Entrate_Uscite!H5</f>
        <v>118034880.45</v>
      </c>
      <c r="E4" s="56">
        <f>Entrate_Uscite!K5</f>
        <v>133716794.63</v>
      </c>
      <c r="F4" s="56">
        <f>Entrate_Uscite!N5</f>
        <v>79428067.120000005</v>
      </c>
      <c r="G4" s="56">
        <f>Entrate_Uscite!Q5</f>
        <v>87255476.769999996</v>
      </c>
      <c r="H4" s="56">
        <f>Entrate_Uscite!T5</f>
        <v>171321351.63</v>
      </c>
      <c r="I4" s="56">
        <f>Entrate_Uscite!W5</f>
        <v>152052442.13999999</v>
      </c>
      <c r="J4" s="56">
        <f t="shared" si="0"/>
        <v>12.205862206246927</v>
      </c>
      <c r="K4" s="57">
        <f t="shared" si="1"/>
        <v>-11.247231770395302</v>
      </c>
      <c r="L4" s="56">
        <f>Entrate_Uscite!X5</f>
        <v>42292856.920000002</v>
      </c>
      <c r="M4" s="58">
        <f t="shared" si="2"/>
        <v>27.814651527306278</v>
      </c>
    </row>
    <row r="5" spans="1:13" x14ac:dyDescent="0.3">
      <c r="A5" s="4" t="s">
        <v>31</v>
      </c>
      <c r="B5" s="43">
        <f>SUM(B2:B4)</f>
        <v>781172115.76999998</v>
      </c>
      <c r="C5" s="43">
        <f>SUM(C2:C4)</f>
        <v>781051448.1400001</v>
      </c>
      <c r="D5" s="43">
        <f>SUM(D2:D4)</f>
        <v>850609454.17000008</v>
      </c>
      <c r="E5" s="43">
        <f t="shared" ref="E5:I5" si="3">SUM(E2:E4)</f>
        <v>887972884.78999996</v>
      </c>
      <c r="F5" s="43">
        <f t="shared" si="3"/>
        <v>877814621.66999996</v>
      </c>
      <c r="G5" s="43">
        <f t="shared" ref="G5:H5" si="4">SUM(G2:G4)</f>
        <v>991993625.14999998</v>
      </c>
      <c r="H5" s="43">
        <f t="shared" si="4"/>
        <v>915701287.75999999</v>
      </c>
      <c r="I5" s="43">
        <f t="shared" si="3"/>
        <v>907993353.10000002</v>
      </c>
      <c r="J5" s="43">
        <f t="shared" si="0"/>
        <v>72.888285095232817</v>
      </c>
      <c r="K5" s="44">
        <f t="shared" si="1"/>
        <v>-0.8417520825874476</v>
      </c>
      <c r="L5" s="43">
        <f>SUM(L2:L4)</f>
        <v>557337155.42999995</v>
      </c>
      <c r="M5" s="45">
        <f>IF(I5&gt;0,L5/I5*100,"-")</f>
        <v>61.381193323407366</v>
      </c>
    </row>
    <row r="6" spans="1:13" x14ac:dyDescent="0.3">
      <c r="A6" s="55" t="s">
        <v>23</v>
      </c>
      <c r="B6" s="56">
        <f>Entrate_Uscite!B6</f>
        <v>2122999.6800000002</v>
      </c>
      <c r="C6" s="56">
        <f>Entrate_Uscite!E6</f>
        <v>2894462.98</v>
      </c>
      <c r="D6" s="56">
        <f>Entrate_Uscite!H6</f>
        <v>2648206.5499999998</v>
      </c>
      <c r="E6" s="56">
        <f>Entrate_Uscite!K6</f>
        <v>2707504.16</v>
      </c>
      <c r="F6" s="56">
        <f>Entrate_Uscite!N6</f>
        <v>2115980.39</v>
      </c>
      <c r="G6" s="56">
        <f>Entrate_Uscite!Q6</f>
        <v>2926780.17</v>
      </c>
      <c r="H6" s="56">
        <f>Entrate_Uscite!T6</f>
        <v>2921132.16</v>
      </c>
      <c r="I6" s="56">
        <f>Entrate_Uscite!W6</f>
        <v>2347379.85</v>
      </c>
      <c r="J6" s="56">
        <f t="shared" si="0"/>
        <v>0.18843363902330404</v>
      </c>
      <c r="K6" s="57">
        <f t="shared" si="1"/>
        <v>-19.641436216292249</v>
      </c>
      <c r="L6" s="56">
        <f>Entrate_Uscite!X6</f>
        <v>2345175.3199999998</v>
      </c>
      <c r="M6" s="58">
        <f t="shared" si="2"/>
        <v>99.906085502097142</v>
      </c>
    </row>
    <row r="7" spans="1:13" x14ac:dyDescent="0.3">
      <c r="A7" s="55" t="s">
        <v>24</v>
      </c>
      <c r="B7" s="56">
        <f>Entrate_Uscite!B7</f>
        <v>9342007.1199999992</v>
      </c>
      <c r="C7" s="56">
        <f>Entrate_Uscite!E7</f>
        <v>27212351.949999999</v>
      </c>
      <c r="D7" s="56">
        <f>Entrate_Uscite!H7</f>
        <v>14851314.890000001</v>
      </c>
      <c r="E7" s="56">
        <f>Entrate_Uscite!K7</f>
        <v>24815074.960000001</v>
      </c>
      <c r="F7" s="56">
        <f>Entrate_Uscite!N7</f>
        <v>21966505.52</v>
      </c>
      <c r="G7" s="56">
        <f>Entrate_Uscite!Q7</f>
        <v>18178382.710000001</v>
      </c>
      <c r="H7" s="56">
        <f>Entrate_Uscite!T7</f>
        <v>125056194.76000001</v>
      </c>
      <c r="I7" s="56">
        <f>Entrate_Uscite!W7</f>
        <v>203756845.38</v>
      </c>
      <c r="J7" s="56">
        <f t="shared" si="0"/>
        <v>16.356382990533934</v>
      </c>
      <c r="K7" s="57">
        <f t="shared" si="1"/>
        <v>62.932228804048719</v>
      </c>
      <c r="L7" s="56">
        <f>Entrate_Uscite!X7</f>
        <v>131612123.94</v>
      </c>
      <c r="M7" s="58">
        <f t="shared" si="2"/>
        <v>64.592737335792378</v>
      </c>
    </row>
    <row r="8" spans="1:13" x14ac:dyDescent="0.3">
      <c r="A8" s="55" t="s">
        <v>25</v>
      </c>
      <c r="B8" s="56">
        <f>Entrate_Uscite!B8</f>
        <v>23804.11</v>
      </c>
      <c r="C8" s="56">
        <f>Entrate_Uscite!E8</f>
        <v>307.54000000000002</v>
      </c>
      <c r="D8" s="56">
        <f>Entrate_Uscite!H8</f>
        <v>7056.39</v>
      </c>
      <c r="E8" s="56">
        <f>Entrate_Uscite!K8</f>
        <v>0</v>
      </c>
      <c r="F8" s="56">
        <f>Entrate_Uscite!N8</f>
        <v>590497.87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0"/>
        <v>0</v>
      </c>
      <c r="K8" s="57" t="str">
        <f t="shared" si="1"/>
        <v>-</v>
      </c>
      <c r="L8" s="56">
        <f>Entrate_Uscite!X8</f>
        <v>0</v>
      </c>
      <c r="M8" s="58" t="str">
        <f t="shared" si="2"/>
        <v>-</v>
      </c>
    </row>
    <row r="9" spans="1:13" x14ac:dyDescent="0.3">
      <c r="A9" s="55" t="s">
        <v>26</v>
      </c>
      <c r="B9" s="56">
        <f>Entrate_Uscite!B9</f>
        <v>340823.74</v>
      </c>
      <c r="C9" s="56">
        <f>Entrate_Uscite!E9</f>
        <v>1678547.05</v>
      </c>
      <c r="D9" s="56">
        <f>Entrate_Uscite!H9</f>
        <v>1547146.92</v>
      </c>
      <c r="E9" s="56">
        <f>Entrate_Uscite!K9</f>
        <v>1420414.26</v>
      </c>
      <c r="F9" s="56">
        <f>Entrate_Uscite!N9</f>
        <v>1580622.88</v>
      </c>
      <c r="G9" s="56">
        <f>Entrate_Uscite!Q9</f>
        <v>517350.04</v>
      </c>
      <c r="H9" s="56">
        <f>Entrate_Uscite!T9</f>
        <v>966758.93</v>
      </c>
      <c r="I9" s="56">
        <f>Entrate_Uscite!W9</f>
        <v>825369.63</v>
      </c>
      <c r="J9" s="56">
        <f t="shared" si="0"/>
        <v>6.6255745920379278E-2</v>
      </c>
      <c r="K9" s="57">
        <f t="shared" si="1"/>
        <v>-14.625083421779209</v>
      </c>
      <c r="L9" s="56">
        <f>Entrate_Uscite!X9</f>
        <v>806341.63</v>
      </c>
      <c r="M9" s="58">
        <f t="shared" si="2"/>
        <v>97.694608656729955</v>
      </c>
    </row>
    <row r="10" spans="1:13" x14ac:dyDescent="0.3">
      <c r="A10" s="55" t="s">
        <v>27</v>
      </c>
      <c r="B10" s="56">
        <f>Entrate_Uscite!B10</f>
        <v>10112009.140000001</v>
      </c>
      <c r="C10" s="56">
        <f>Entrate_Uscite!E10</f>
        <v>12789376.470000001</v>
      </c>
      <c r="D10" s="56">
        <f>Entrate_Uscite!H10</f>
        <v>7834491.1399999997</v>
      </c>
      <c r="E10" s="56">
        <f>Entrate_Uscite!K10</f>
        <v>10582846.98</v>
      </c>
      <c r="F10" s="56">
        <f>Entrate_Uscite!N10</f>
        <v>7818508.7800000003</v>
      </c>
      <c r="G10" s="56">
        <f>Entrate_Uscite!Q10</f>
        <v>8892980.9199999999</v>
      </c>
      <c r="H10" s="56">
        <f>Entrate_Uscite!T10</f>
        <v>9917945.1799999997</v>
      </c>
      <c r="I10" s="56">
        <f>Entrate_Uscite!W10</f>
        <v>9394011.7200000007</v>
      </c>
      <c r="J10" s="56">
        <f t="shared" si="0"/>
        <v>0.75409517272083926</v>
      </c>
      <c r="K10" s="57">
        <f t="shared" si="1"/>
        <v>-5.2826815483567628</v>
      </c>
      <c r="L10" s="56">
        <f>Entrate_Uscite!X10</f>
        <v>9362174.0899999999</v>
      </c>
      <c r="M10" s="58">
        <f t="shared" si="2"/>
        <v>99.66108590292454</v>
      </c>
    </row>
    <row r="11" spans="1:13" x14ac:dyDescent="0.3">
      <c r="A11" s="4" t="s">
        <v>32</v>
      </c>
      <c r="B11" s="46">
        <f>SUM(B6:B10)</f>
        <v>21941643.789999999</v>
      </c>
      <c r="C11" s="46">
        <f>SUM(C6:C10)</f>
        <v>44575045.990000002</v>
      </c>
      <c r="D11" s="46">
        <f>SUM(D6:D10)</f>
        <v>26888215.890000001</v>
      </c>
      <c r="E11" s="46">
        <f t="shared" ref="E11:I11" si="5">SUM(E6:E10)</f>
        <v>39525840.359999999</v>
      </c>
      <c r="F11" s="46">
        <f t="shared" si="5"/>
        <v>34072115.439999998</v>
      </c>
      <c r="G11" s="46">
        <f t="shared" ref="G11" si="6">SUM(G6:G10)</f>
        <v>30515493.840000004</v>
      </c>
      <c r="H11" s="46">
        <f t="shared" ref="H11" si="7">SUM(H6:H10)</f>
        <v>138862031.03</v>
      </c>
      <c r="I11" s="46">
        <f t="shared" si="5"/>
        <v>216323606.57999998</v>
      </c>
      <c r="J11" s="46">
        <f t="shared" si="0"/>
        <v>17.365167548198453</v>
      </c>
      <c r="K11" s="44">
        <f t="shared" si="1"/>
        <v>55.783121545489308</v>
      </c>
      <c r="L11" s="46">
        <f>SUM(L6:L10)</f>
        <v>144125814.97999999</v>
      </c>
      <c r="M11" s="45">
        <f>IF(I11&gt;0,L11/I11*100,"-")</f>
        <v>66.625098045737289</v>
      </c>
    </row>
    <row r="12" spans="1:13" x14ac:dyDescent="0.3">
      <c r="A12" s="55" t="s">
        <v>28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>Entrate_Uscite!Q11</f>
        <v>2080</v>
      </c>
      <c r="H12" s="56">
        <f>Entrate_Uscite!T11</f>
        <v>0</v>
      </c>
      <c r="I12" s="56">
        <f>Entrate_Uscite!W11</f>
        <v>0</v>
      </c>
      <c r="J12" s="56">
        <f t="shared" si="0"/>
        <v>0</v>
      </c>
      <c r="K12" s="57" t="str">
        <f t="shared" si="1"/>
        <v>-</v>
      </c>
      <c r="L12" s="56">
        <f>Entrate_Uscite!X11</f>
        <v>0</v>
      </c>
      <c r="M12" s="58" t="str">
        <f t="shared" si="2"/>
        <v>-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9528974.1300000008</v>
      </c>
      <c r="C14" s="56">
        <f>Entrate_Uscite!E13</f>
        <v>12945987.640000001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>Entrate_Uscite!Q13</f>
        <v>0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3" x14ac:dyDescent="0.3">
      <c r="A15" s="4" t="s">
        <v>33</v>
      </c>
      <c r="B15" s="43">
        <f>SUM(B12:B14)</f>
        <v>9528974.1300000008</v>
      </c>
      <c r="C15" s="43">
        <f>SUM(C12:C14)</f>
        <v>12945987.640000001</v>
      </c>
      <c r="D15" s="43">
        <f>SUM(D12:D14)</f>
        <v>0</v>
      </c>
      <c r="E15" s="43">
        <f t="shared" ref="E15:I15" si="8">SUM(E12:E14)</f>
        <v>0</v>
      </c>
      <c r="F15" s="43">
        <f t="shared" si="8"/>
        <v>0</v>
      </c>
      <c r="G15" s="43">
        <f t="shared" ref="G15" si="9">SUM(G12:G14)</f>
        <v>2080</v>
      </c>
      <c r="H15" s="43">
        <f t="shared" ref="H15" si="10">SUM(H12:H14)</f>
        <v>0</v>
      </c>
      <c r="I15" s="43">
        <f t="shared" si="8"/>
        <v>0</v>
      </c>
      <c r="J15" s="43">
        <f t="shared" si="0"/>
        <v>0</v>
      </c>
      <c r="K15" s="44" t="str">
        <f t="shared" si="1"/>
        <v>-</v>
      </c>
      <c r="L15" s="43">
        <f>SUM(L12:L14)</f>
        <v>0</v>
      </c>
      <c r="M15" s="45" t="str">
        <f t="shared" si="2"/>
        <v>-</v>
      </c>
    </row>
    <row r="16" spans="1:13" x14ac:dyDescent="0.3">
      <c r="A16" s="47" t="s">
        <v>348</v>
      </c>
      <c r="B16" s="48">
        <f>B5+B11+B15</f>
        <v>812642733.68999994</v>
      </c>
      <c r="C16" s="48">
        <f>C5+C11+C15</f>
        <v>838572481.7700001</v>
      </c>
      <c r="D16" s="48">
        <f>D5+D11+D15</f>
        <v>877497670.06000006</v>
      </c>
      <c r="E16" s="48">
        <f t="shared" ref="E16:H16" si="11">E5+E11+E15</f>
        <v>927498725.14999998</v>
      </c>
      <c r="F16" s="48">
        <f t="shared" si="11"/>
        <v>911886737.1099999</v>
      </c>
      <c r="G16" s="48">
        <f t="shared" si="11"/>
        <v>1022511198.99</v>
      </c>
      <c r="H16" s="48">
        <f t="shared" si="11"/>
        <v>1054563318.79</v>
      </c>
      <c r="I16" s="48">
        <f t="shared" ref="I16" si="12">I5+I11+I15</f>
        <v>1124316959.6800001</v>
      </c>
      <c r="J16" s="48">
        <f t="shared" si="0"/>
        <v>90.253452643431274</v>
      </c>
      <c r="K16" s="49">
        <f t="shared" si="1"/>
        <v>6.6144573443001065</v>
      </c>
      <c r="L16" s="48">
        <f t="shared" ref="L16" si="13">L5+L11+L15</f>
        <v>701462970.40999997</v>
      </c>
      <c r="M16" s="50">
        <f t="shared" si="2"/>
        <v>62.390144022166879</v>
      </c>
    </row>
    <row r="17" spans="1:13" x14ac:dyDescent="0.3">
      <c r="A17" s="4" t="s">
        <v>34</v>
      </c>
      <c r="B17" s="43">
        <f>Entrate_Uscite!B17</f>
        <v>9978266.6600000001</v>
      </c>
      <c r="C17" s="43">
        <f>Entrate_Uscite!E17</f>
        <v>14004015.85</v>
      </c>
      <c r="D17" s="43">
        <f>Entrate_Uscite!H17</f>
        <v>1020670</v>
      </c>
      <c r="E17" s="43">
        <f>Entrate_Uscite!K17</f>
        <v>14899859.789999999</v>
      </c>
      <c r="F17" s="43">
        <f>Entrate_Uscite!N17</f>
        <v>0</v>
      </c>
      <c r="G17" s="43">
        <f>Entrate_Uscite!Q17</f>
        <v>0</v>
      </c>
      <c r="H17" s="43">
        <f>Entrate_Uscite!T17</f>
        <v>0</v>
      </c>
      <c r="I17" s="43">
        <f>Entrate_Uscite!W17</f>
        <v>0</v>
      </c>
      <c r="J17" s="43">
        <f t="shared" si="0"/>
        <v>0</v>
      </c>
      <c r="K17" s="44" t="str">
        <f t="shared" si="1"/>
        <v>-</v>
      </c>
      <c r="L17" s="43">
        <f>Entrate_Uscite!X17</f>
        <v>0</v>
      </c>
      <c r="M17" s="45" t="str">
        <f t="shared" si="2"/>
        <v>-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456140546.06</v>
      </c>
      <c r="D18" s="43">
        <f>Entrate_Uscite!H18</f>
        <v>504358813.82999998</v>
      </c>
      <c r="E18" s="43">
        <f>Entrate_Uscite!K18</f>
        <v>571935591.89999998</v>
      </c>
      <c r="F18" s="43">
        <f>Entrate_Uscite!N18</f>
        <v>555086376.88</v>
      </c>
      <c r="G18" s="43">
        <f>Entrate_Uscite!Q18</f>
        <v>475366855.63999999</v>
      </c>
      <c r="H18" s="43">
        <f>Entrate_Uscite!T18</f>
        <v>234209525.19</v>
      </c>
      <c r="I18" s="43">
        <f>Entrate_Uscite!W18</f>
        <v>121415947.76000001</v>
      </c>
      <c r="J18" s="43">
        <f t="shared" si="0"/>
        <v>9.7465473565687208</v>
      </c>
      <c r="K18" s="44">
        <f t="shared" si="1"/>
        <v>-48.159261387211892</v>
      </c>
      <c r="L18" s="43">
        <f>Entrate_Uscite!X18</f>
        <v>121415947.76000001</v>
      </c>
      <c r="M18" s="45">
        <f t="shared" si="2"/>
        <v>100</v>
      </c>
    </row>
    <row r="19" spans="1:13" x14ac:dyDescent="0.3">
      <c r="A19" s="4" t="s">
        <v>36</v>
      </c>
      <c r="B19" s="43">
        <f>Entrate_Uscite!B19</f>
        <v>376775388.81999999</v>
      </c>
      <c r="C19" s="43">
        <f>Entrate_Uscite!E19</f>
        <v>248511172.59999999</v>
      </c>
      <c r="D19" s="43">
        <f>Entrate_Uscite!H19</f>
        <v>208541138.81</v>
      </c>
      <c r="E19" s="43">
        <f>Entrate_Uscite!K19</f>
        <v>283070509.67000002</v>
      </c>
      <c r="F19" s="43">
        <f>Entrate_Uscite!N19</f>
        <v>277560848.23000002</v>
      </c>
      <c r="G19" s="43">
        <f>Entrate_Uscite!Q19</f>
        <v>343231870.19</v>
      </c>
      <c r="H19" s="43">
        <f>Entrate_Uscite!T19</f>
        <v>583019981.66999996</v>
      </c>
      <c r="I19" s="43">
        <f>Entrate_Uscite!W19</f>
        <v>391100011.80000001</v>
      </c>
      <c r="J19" s="43"/>
      <c r="K19" s="44">
        <f t="shared" si="1"/>
        <v>-32.918249100187808</v>
      </c>
      <c r="L19" s="43">
        <f>Entrate_Uscite!X19</f>
        <v>385454100.10000002</v>
      </c>
      <c r="M19" s="45">
        <f t="shared" si="2"/>
        <v>98.556402063498993</v>
      </c>
    </row>
    <row r="20" spans="1:13" x14ac:dyDescent="0.3">
      <c r="A20" s="47" t="s">
        <v>37</v>
      </c>
      <c r="B20" s="48">
        <f>B5+B11+B15+B17+B18+B19</f>
        <v>1199396389.1699998</v>
      </c>
      <c r="C20" s="48">
        <f>C5+C11+C15+C17+C18+C19</f>
        <v>1557228216.28</v>
      </c>
      <c r="D20" s="48">
        <f>D5+D11+D15+D17+D18+D19</f>
        <v>1591418292.7</v>
      </c>
      <c r="E20" s="48">
        <f t="shared" ref="E20:I20" si="14">E5+E11+E15+E17+E18+E19</f>
        <v>1797404686.51</v>
      </c>
      <c r="F20" s="48">
        <f t="shared" si="14"/>
        <v>1744533962.2199998</v>
      </c>
      <c r="G20" s="48">
        <f t="shared" ref="G20:H20" si="15">G5+G11+G15+G17+G18+G19</f>
        <v>1841109924.8200002</v>
      </c>
      <c r="H20" s="48">
        <f t="shared" si="15"/>
        <v>1871792825.6500001</v>
      </c>
      <c r="I20" s="48">
        <f t="shared" si="14"/>
        <v>1636832919.24</v>
      </c>
      <c r="J20" s="48"/>
      <c r="K20" s="49">
        <f t="shared" si="1"/>
        <v>-12.552666256128404</v>
      </c>
      <c r="L20" s="48">
        <f>L5+L11+L15+L17+L18+L19</f>
        <v>1208333018.27</v>
      </c>
      <c r="M20" s="50">
        <f t="shared" si="2"/>
        <v>73.821402543091736</v>
      </c>
    </row>
    <row r="21" spans="1:13" x14ac:dyDescent="0.3">
      <c r="A21" s="38" t="s">
        <v>38</v>
      </c>
      <c r="B21" s="51">
        <f>B20-B19</f>
        <v>822621000.3499999</v>
      </c>
      <c r="C21" s="51">
        <f>C20-C19</f>
        <v>1308717043.6800001</v>
      </c>
      <c r="D21" s="51">
        <f>D20-D19</f>
        <v>1382877153.8900001</v>
      </c>
      <c r="E21" s="51">
        <f t="shared" ref="E21:I21" si="16">E20-E19</f>
        <v>1514334176.8399999</v>
      </c>
      <c r="F21" s="51">
        <f t="shared" si="16"/>
        <v>1466973113.9899998</v>
      </c>
      <c r="G21" s="51">
        <f t="shared" ref="G21:H21" si="17">G20-G19</f>
        <v>1497878054.6300001</v>
      </c>
      <c r="H21" s="51">
        <f t="shared" si="17"/>
        <v>1288772843.98</v>
      </c>
      <c r="I21" s="51">
        <f t="shared" si="16"/>
        <v>1245732907.4400001</v>
      </c>
      <c r="J21" s="51">
        <f t="shared" si="0"/>
        <v>100</v>
      </c>
      <c r="K21" s="52">
        <f t="shared" si="1"/>
        <v>-3.3396061021183243</v>
      </c>
      <c r="L21" s="51">
        <f>L20-L19</f>
        <v>822878918.16999996</v>
      </c>
      <c r="M21" s="53">
        <f t="shared" si="2"/>
        <v>66.055806445783674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N1" sqref="N1:P1048576"/>
    </sheetView>
  </sheetViews>
  <sheetFormatPr defaultRowHeight="14.4" x14ac:dyDescent="0.3"/>
  <cols>
    <col min="1" max="1" width="50.6640625" bestFit="1" customWidth="1"/>
    <col min="2" max="9" width="14.109375" bestFit="1" customWidth="1"/>
    <col min="10" max="10" width="8.5546875" customWidth="1"/>
    <col min="11" max="11" width="6.5546875" bestFit="1" customWidth="1"/>
    <col min="12" max="12" width="14.1093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386</v>
      </c>
      <c r="M1" s="42" t="s">
        <v>339</v>
      </c>
    </row>
    <row r="2" spans="1:13" x14ac:dyDescent="0.3">
      <c r="A2" s="59" t="s">
        <v>270</v>
      </c>
      <c r="B2" s="56">
        <f>Entrate_Uscite!B23</f>
        <v>240896309.72999999</v>
      </c>
      <c r="C2" s="56">
        <f>Entrate_Uscite!E23</f>
        <v>225934532.53999999</v>
      </c>
      <c r="D2" s="56">
        <f>Entrate_Uscite!H23</f>
        <v>223254285.75999999</v>
      </c>
      <c r="E2" s="56">
        <f>Entrate_Uscite!K23</f>
        <v>213043658.77000001</v>
      </c>
      <c r="F2" s="56">
        <f>Entrate_Uscite!N23</f>
        <v>197652718.78999999</v>
      </c>
      <c r="G2" s="56">
        <f>Entrate_Uscite!Q23</f>
        <v>179086559.11000001</v>
      </c>
      <c r="H2" s="56">
        <f>Entrate_Uscite!T23</f>
        <v>179198258.83000001</v>
      </c>
      <c r="I2" s="56">
        <f>Entrate_Uscite!W23</f>
        <v>182674762.25</v>
      </c>
      <c r="J2" s="56">
        <f>I2/I$31*100</f>
        <v>18.940361683828076</v>
      </c>
      <c r="K2" s="57">
        <f>IF(H2&gt;0,I2/H2*100-100,"-")</f>
        <v>1.9400319192264277</v>
      </c>
      <c r="L2" s="56">
        <f>Entrate_Uscite!X23</f>
        <v>172062226.50999999</v>
      </c>
      <c r="M2" s="58">
        <f>IF(I2&gt;0,L2/I2*100,"-")</f>
        <v>94.190475132259266</v>
      </c>
    </row>
    <row r="3" spans="1:13" x14ac:dyDescent="0.3">
      <c r="A3" s="59" t="s">
        <v>271</v>
      </c>
      <c r="B3" s="56">
        <f>Entrate_Uscite!B24</f>
        <v>14064368.99</v>
      </c>
      <c r="C3" s="56">
        <f>Entrate_Uscite!E24</f>
        <v>13474742.92</v>
      </c>
      <c r="D3" s="56">
        <f>Entrate_Uscite!H24</f>
        <v>13255810.720000001</v>
      </c>
      <c r="E3" s="56">
        <f>Entrate_Uscite!K24</f>
        <v>12417614.08</v>
      </c>
      <c r="F3" s="56">
        <f>Entrate_Uscite!N24</f>
        <v>11324450.439999999</v>
      </c>
      <c r="G3" s="56">
        <f>Entrate_Uscite!Q24</f>
        <v>10399545.060000001</v>
      </c>
      <c r="H3" s="56">
        <f>Entrate_Uscite!T24</f>
        <v>10389622.380000001</v>
      </c>
      <c r="I3" s="56">
        <f>Entrate_Uscite!W24</f>
        <v>13498837.76</v>
      </c>
      <c r="J3" s="56">
        <f t="shared" ref="J3:J31" si="0">I3/I$31*100</f>
        <v>1.3996069645122291</v>
      </c>
      <c r="K3" s="57">
        <f t="shared" ref="K3:K31" si="1">IF(H3&gt;0,I3/H3*100-100,"-")</f>
        <v>29.926163495462845</v>
      </c>
      <c r="L3" s="56">
        <f>Entrate_Uscite!X24</f>
        <v>11101945.720000001</v>
      </c>
      <c r="M3" s="58">
        <f>IF(I3&gt;0,L3/I3*100,"-")</f>
        <v>82.243715476731538</v>
      </c>
    </row>
    <row r="4" spans="1:13" x14ac:dyDescent="0.3">
      <c r="A4" s="59" t="s">
        <v>272</v>
      </c>
      <c r="B4" s="56">
        <f>Entrate_Uscite!B25</f>
        <v>346118762.66000003</v>
      </c>
      <c r="C4" s="56">
        <f>Entrate_Uscite!E25</f>
        <v>347784495.93000001</v>
      </c>
      <c r="D4" s="56">
        <f>Entrate_Uscite!H25</f>
        <v>355405554.37</v>
      </c>
      <c r="E4" s="56">
        <f>Entrate_Uscite!K25</f>
        <v>352470312.58999997</v>
      </c>
      <c r="F4" s="56">
        <f>Entrate_Uscite!N25</f>
        <v>364808923.51999998</v>
      </c>
      <c r="G4" s="56">
        <f>Entrate_Uscite!Q25</f>
        <v>340060423.86000001</v>
      </c>
      <c r="H4" s="56">
        <f>Entrate_Uscite!T25</f>
        <v>386300389.70999998</v>
      </c>
      <c r="I4" s="56">
        <f>Entrate_Uscite!W25</f>
        <v>384265820.06999999</v>
      </c>
      <c r="J4" s="56">
        <f t="shared" si="0"/>
        <v>39.842031407152426</v>
      </c>
      <c r="K4" s="57">
        <f t="shared" si="1"/>
        <v>-0.52668071122769788</v>
      </c>
      <c r="L4" s="56">
        <f>Entrate_Uscite!X25</f>
        <v>297305116.54000002</v>
      </c>
      <c r="M4" s="58">
        <f t="shared" ref="M4:M9" si="2">IF(I4&gt;0,L4/I4*100,"-")</f>
        <v>77.3696490845429</v>
      </c>
    </row>
    <row r="5" spans="1:13" x14ac:dyDescent="0.3">
      <c r="A5" s="59" t="s">
        <v>273</v>
      </c>
      <c r="B5" s="56">
        <f>Entrate_Uscite!B26</f>
        <v>38951310.700000003</v>
      </c>
      <c r="C5" s="56">
        <f>Entrate_Uscite!E26</f>
        <v>32399410.75</v>
      </c>
      <c r="D5" s="56">
        <f>Entrate_Uscite!H26</f>
        <v>22602494.73</v>
      </c>
      <c r="E5" s="56">
        <f>Entrate_Uscite!K26</f>
        <v>26331752.84</v>
      </c>
      <c r="F5" s="56">
        <f>Entrate_Uscite!N26</f>
        <v>61067084.420000002</v>
      </c>
      <c r="G5" s="56">
        <f>Entrate_Uscite!Q26</f>
        <v>60648604.240000002</v>
      </c>
      <c r="H5" s="56">
        <f>Entrate_Uscite!T26</f>
        <v>35837237.82</v>
      </c>
      <c r="I5" s="56">
        <f>Entrate_Uscite!W26</f>
        <v>41650826.390000001</v>
      </c>
      <c r="J5" s="56">
        <f t="shared" si="0"/>
        <v>4.3185041356578049</v>
      </c>
      <c r="K5" s="57">
        <f t="shared" si="1"/>
        <v>16.222200492124855</v>
      </c>
      <c r="L5" s="56">
        <f>Entrate_Uscite!X26</f>
        <v>25849187.699999999</v>
      </c>
      <c r="M5" s="58">
        <f t="shared" si="2"/>
        <v>62.061644246766164</v>
      </c>
    </row>
    <row r="6" spans="1:13" x14ac:dyDescent="0.3">
      <c r="A6" s="59" t="s">
        <v>274</v>
      </c>
      <c r="B6" s="56">
        <f>Entrate_Uscite!B27</f>
        <v>11059877.470000001</v>
      </c>
      <c r="C6" s="56">
        <f>Entrate_Uscite!E27</f>
        <v>11749364.640000001</v>
      </c>
      <c r="D6" s="56">
        <f>Entrate_Uscite!H27</f>
        <v>11959501.4</v>
      </c>
      <c r="E6" s="56">
        <f>Entrate_Uscite!K27</f>
        <v>10818933.109999999</v>
      </c>
      <c r="F6" s="56">
        <f>Entrate_Uscite!N27</f>
        <v>11526181.9</v>
      </c>
      <c r="G6" s="56">
        <f>Entrate_Uscite!Q27</f>
        <v>10102485.289999999</v>
      </c>
      <c r="H6" s="56">
        <f>Entrate_Uscite!T27</f>
        <v>8330239.1200000001</v>
      </c>
      <c r="I6" s="56">
        <f>Entrate_Uscite!W27</f>
        <v>7583188.2400000002</v>
      </c>
      <c r="J6" s="56">
        <f t="shared" si="0"/>
        <v>0.78625162125892778</v>
      </c>
      <c r="K6" s="57">
        <f t="shared" si="1"/>
        <v>-8.9679404064933976</v>
      </c>
      <c r="L6" s="56">
        <f>Entrate_Uscite!X27</f>
        <v>6703975.0199999996</v>
      </c>
      <c r="M6" s="58">
        <f t="shared" si="2"/>
        <v>88.405757681679276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1917397.45</v>
      </c>
      <c r="C8" s="56">
        <f>Entrate_Uscite!E29</f>
        <v>1575028.46</v>
      </c>
      <c r="D8" s="56">
        <f>Entrate_Uscite!H29</f>
        <v>2278594.2599999998</v>
      </c>
      <c r="E8" s="56">
        <f>Entrate_Uscite!K29</f>
        <v>2369004.71</v>
      </c>
      <c r="F8" s="56">
        <f>Entrate_Uscite!N29</f>
        <v>1545771.11</v>
      </c>
      <c r="G8" s="56">
        <f>Entrate_Uscite!Q29</f>
        <v>1524718.81</v>
      </c>
      <c r="H8" s="56">
        <f>Entrate_Uscite!T29</f>
        <v>2020530.99</v>
      </c>
      <c r="I8" s="56">
        <f>Entrate_Uscite!W29</f>
        <v>7416593.1299999999</v>
      </c>
      <c r="J8" s="56">
        <f t="shared" si="0"/>
        <v>0.76897845446077506</v>
      </c>
      <c r="K8" s="57">
        <f t="shared" si="1"/>
        <v>267.06158760772087</v>
      </c>
      <c r="L8" s="56">
        <f>Entrate_Uscite!X29</f>
        <v>2895905.59</v>
      </c>
      <c r="M8" s="58">
        <f t="shared" si="2"/>
        <v>39.046305213725532</v>
      </c>
    </row>
    <row r="9" spans="1:13" x14ac:dyDescent="0.3">
      <c r="A9" s="59" t="s">
        <v>277</v>
      </c>
      <c r="B9" s="56">
        <f>Entrate_Uscite!B30</f>
        <v>32723638.170000002</v>
      </c>
      <c r="C9" s="56">
        <f>Entrate_Uscite!E30</f>
        <v>33178103.239999998</v>
      </c>
      <c r="D9" s="56">
        <f>Entrate_Uscite!H30</f>
        <v>16209388.34</v>
      </c>
      <c r="E9" s="56">
        <f>Entrate_Uscite!K30</f>
        <v>12099317.5</v>
      </c>
      <c r="F9" s="56">
        <f>Entrate_Uscite!N30</f>
        <v>6553883.4400000004</v>
      </c>
      <c r="G9" s="56">
        <f>Entrate_Uscite!Q30</f>
        <v>4068769.78</v>
      </c>
      <c r="H9" s="56">
        <f>Entrate_Uscite!T30</f>
        <v>9784418.5899999999</v>
      </c>
      <c r="I9" s="56">
        <f>Entrate_Uscite!W30</f>
        <v>13563764.5</v>
      </c>
      <c r="J9" s="56">
        <f t="shared" si="0"/>
        <v>1.4063387972153636</v>
      </c>
      <c r="K9" s="57">
        <f t="shared" si="1"/>
        <v>38.626167464489072</v>
      </c>
      <c r="L9" s="56">
        <f>Entrate_Uscite!X30</f>
        <v>2226205.91</v>
      </c>
      <c r="M9" s="58">
        <f t="shared" si="2"/>
        <v>16.412891199931998</v>
      </c>
    </row>
    <row r="10" spans="1:13" x14ac:dyDescent="0.3">
      <c r="A10" s="4" t="s">
        <v>282</v>
      </c>
      <c r="B10" s="43">
        <f>SUM(B2:B9)</f>
        <v>685731665.17000008</v>
      </c>
      <c r="C10" s="43">
        <f>SUM(C2:C9)</f>
        <v>666095678.48000002</v>
      </c>
      <c r="D10" s="43">
        <f>SUM(D2:D9)</f>
        <v>644965629.58000004</v>
      </c>
      <c r="E10" s="43">
        <f t="shared" ref="E10:I10" si="3">SUM(E2:E9)</f>
        <v>629550593.60000014</v>
      </c>
      <c r="F10" s="43">
        <f t="shared" si="3"/>
        <v>654479013.62</v>
      </c>
      <c r="G10" s="43">
        <f t="shared" ref="G10:H10" si="4">SUM(G2:G9)</f>
        <v>605891106.14999986</v>
      </c>
      <c r="H10" s="43">
        <f t="shared" si="4"/>
        <v>631860697.44000006</v>
      </c>
      <c r="I10" s="43">
        <f t="shared" si="3"/>
        <v>650653792.33999991</v>
      </c>
      <c r="J10" s="43">
        <f t="shared" si="0"/>
        <v>67.462073064085587</v>
      </c>
      <c r="K10" s="44">
        <f t="shared" si="1"/>
        <v>2.9742465350575742</v>
      </c>
      <c r="L10" s="43">
        <f>SUM(L2:L9)</f>
        <v>518144562.98999995</v>
      </c>
      <c r="M10" s="45">
        <f t="shared" ref="M10:M17" si="5">IF(I10&gt;0,L10/I10*100,"-")</f>
        <v>79.634449086441791</v>
      </c>
    </row>
    <row r="11" spans="1:13" x14ac:dyDescent="0.3">
      <c r="A11" s="59" t="s">
        <v>278</v>
      </c>
      <c r="B11" s="56">
        <f>Entrate_Uscite!B32</f>
        <v>45677517.119999997</v>
      </c>
      <c r="C11" s="56">
        <f>Entrate_Uscite!E32</f>
        <v>44752279.289999999</v>
      </c>
      <c r="D11" s="56">
        <f>Entrate_Uscite!H32</f>
        <v>46219528.5</v>
      </c>
      <c r="E11" s="56">
        <f>Entrate_Uscite!K32</f>
        <v>43011222.25</v>
      </c>
      <c r="F11" s="56">
        <f>Entrate_Uscite!N32</f>
        <v>33533001.84</v>
      </c>
      <c r="G11" s="56">
        <f>Entrate_Uscite!Q32</f>
        <v>71116311.319999993</v>
      </c>
      <c r="H11" s="56">
        <f>Entrate_Uscite!T32</f>
        <v>47518548.210000001</v>
      </c>
      <c r="I11" s="56">
        <f>Entrate_Uscite!W32</f>
        <v>166876031.16</v>
      </c>
      <c r="J11" s="56">
        <f t="shared" si="0"/>
        <v>17.302293691816008</v>
      </c>
      <c r="K11" s="57">
        <f t="shared" si="1"/>
        <v>251.18082821579532</v>
      </c>
      <c r="L11" s="56">
        <f>Entrate_Uscite!X32</f>
        <v>149108330.47</v>
      </c>
      <c r="M11" s="58">
        <f t="shared" si="5"/>
        <v>89.352754516935747</v>
      </c>
    </row>
    <row r="12" spans="1:13" x14ac:dyDescent="0.3">
      <c r="A12" s="59" t="s">
        <v>279</v>
      </c>
      <c r="B12" s="56">
        <f>Entrate_Uscite!B33</f>
        <v>4121201.87</v>
      </c>
      <c r="C12" s="56">
        <f>Entrate_Uscite!E33</f>
        <v>813516.18</v>
      </c>
      <c r="D12" s="56">
        <f>Entrate_Uscite!H33</f>
        <v>1561193.42</v>
      </c>
      <c r="E12" s="56">
        <f>Entrate_Uscite!K33</f>
        <v>2462550.2400000002</v>
      </c>
      <c r="F12" s="56">
        <f>Entrate_Uscite!N33</f>
        <v>3770056.51</v>
      </c>
      <c r="G12" s="56">
        <f>Entrate_Uscite!Q33</f>
        <v>890354.41</v>
      </c>
      <c r="H12" s="56">
        <f>Entrate_Uscite!T33</f>
        <v>5118769.83</v>
      </c>
      <c r="I12" s="56">
        <f>Entrate_Uscite!W33</f>
        <v>6123817.4100000001</v>
      </c>
      <c r="J12" s="56">
        <f t="shared" si="0"/>
        <v>0.63493892206296432</v>
      </c>
      <c r="K12" s="57">
        <f t="shared" si="1"/>
        <v>19.634553093394331</v>
      </c>
      <c r="L12" s="56">
        <f>Entrate_Uscite!X33</f>
        <v>518716.15</v>
      </c>
      <c r="M12" s="58">
        <f t="shared" si="5"/>
        <v>8.4704705459204739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1"/>
        <v>-</v>
      </c>
      <c r="L13" s="56">
        <f>Entrate_Uscite!X34</f>
        <v>0</v>
      </c>
      <c r="M13" s="58" t="str">
        <f t="shared" si="5"/>
        <v>-</v>
      </c>
    </row>
    <row r="14" spans="1:13" x14ac:dyDescent="0.3">
      <c r="A14" s="59" t="s">
        <v>281</v>
      </c>
      <c r="B14" s="56">
        <f>Entrate_Uscite!B35</f>
        <v>161764.37</v>
      </c>
      <c r="C14" s="56">
        <f>Entrate_Uscite!E35</f>
        <v>69760.62</v>
      </c>
      <c r="D14" s="56">
        <f>Entrate_Uscite!H35</f>
        <v>3389270.47</v>
      </c>
      <c r="E14" s="56">
        <f>Entrate_Uscite!K35</f>
        <v>7780493.4100000001</v>
      </c>
      <c r="F14" s="56">
        <f>Entrate_Uscite!N35</f>
        <v>1776609.16</v>
      </c>
      <c r="G14" s="56">
        <f>Entrate_Uscite!Q35</f>
        <v>316098.71999999997</v>
      </c>
      <c r="H14" s="56">
        <f>Entrate_Uscite!T35</f>
        <v>1082816.74</v>
      </c>
      <c r="I14" s="56">
        <f>Entrate_Uscite!W35</f>
        <v>636087.1</v>
      </c>
      <c r="J14" s="56">
        <f t="shared" si="0"/>
        <v>6.5951747181854162E-2</v>
      </c>
      <c r="K14" s="57">
        <f t="shared" si="1"/>
        <v>-41.256255421392915</v>
      </c>
      <c r="L14" s="56">
        <f>Entrate_Uscite!X35</f>
        <v>187004.06</v>
      </c>
      <c r="M14" s="58">
        <f t="shared" si="5"/>
        <v>29.399127886731236</v>
      </c>
    </row>
    <row r="15" spans="1:13" x14ac:dyDescent="0.3">
      <c r="A15" s="4" t="s">
        <v>283</v>
      </c>
      <c r="B15" s="46">
        <f>SUM(B11:B14)</f>
        <v>49960483.359999992</v>
      </c>
      <c r="C15" s="46">
        <f>SUM(C11:C14)</f>
        <v>45635556.089999996</v>
      </c>
      <c r="D15" s="46">
        <f>SUM(D11:D14)</f>
        <v>51169992.390000001</v>
      </c>
      <c r="E15" s="46">
        <f t="shared" ref="E15:I15" si="6">SUM(E11:E14)</f>
        <v>53254265.900000006</v>
      </c>
      <c r="F15" s="46">
        <f t="shared" si="6"/>
        <v>39079667.509999998</v>
      </c>
      <c r="G15" s="46">
        <f t="shared" ref="G15" si="7">SUM(G11:G14)</f>
        <v>72322764.449999988</v>
      </c>
      <c r="H15" s="46">
        <f t="shared" ref="H15" si="8">SUM(H11:H14)</f>
        <v>53720134.780000001</v>
      </c>
      <c r="I15" s="46">
        <f t="shared" si="6"/>
        <v>173635935.66999999</v>
      </c>
      <c r="J15" s="46">
        <f t="shared" si="0"/>
        <v>18.003184361060825</v>
      </c>
      <c r="K15" s="44">
        <f t="shared" si="1"/>
        <v>223.22319439646049</v>
      </c>
      <c r="L15" s="46">
        <f>SUM(L11:L14)</f>
        <v>149814050.68000001</v>
      </c>
      <c r="M15" s="45">
        <f t="shared" si="5"/>
        <v>86.280555981640717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0</v>
      </c>
      <c r="D16" s="56">
        <f>Entrate_Uscite!H36</f>
        <v>0</v>
      </c>
      <c r="E16" s="56">
        <f>Entrate_Uscite!K36</f>
        <v>0</v>
      </c>
      <c r="F16" s="56">
        <f>Entrate_Uscite!N36</f>
        <v>60000</v>
      </c>
      <c r="G16" s="56">
        <f>Entrate_Uscite!Q36</f>
        <v>0</v>
      </c>
      <c r="H16" s="56">
        <f>Entrate_Uscite!T36</f>
        <v>0</v>
      </c>
      <c r="I16" s="56">
        <f>Entrate_Uscite!W36</f>
        <v>0</v>
      </c>
      <c r="J16" s="56">
        <f t="shared" si="0"/>
        <v>0</v>
      </c>
      <c r="K16" s="57" t="str">
        <f t="shared" si="1"/>
        <v>-</v>
      </c>
      <c r="L16" s="56">
        <f>Entrate_Uscite!X36</f>
        <v>0</v>
      </c>
      <c r="M16" s="58" t="str">
        <f t="shared" si="5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5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9">IF(I18&gt;0,L18/I18*100,"-")</f>
        <v>-</v>
      </c>
    </row>
    <row r="19" spans="1:13" x14ac:dyDescent="0.3">
      <c r="A19" s="59" t="s">
        <v>287</v>
      </c>
      <c r="B19" s="56">
        <f>Entrate_Uscite!B39</f>
        <v>9528974.1300000008</v>
      </c>
      <c r="C19" s="56">
        <f>Entrate_Uscite!E39</f>
        <v>12945987.640000001</v>
      </c>
      <c r="D19" s="56">
        <f>Entrate_Uscite!H39</f>
        <v>0</v>
      </c>
      <c r="E19" s="56">
        <f>Entrate_Uscite!K39</f>
        <v>0</v>
      </c>
      <c r="F19" s="56">
        <f>Entrate_Uscite!N39</f>
        <v>0</v>
      </c>
      <c r="G19" s="56">
        <f>Entrate_Uscite!Q39</f>
        <v>0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1"/>
        <v>-</v>
      </c>
      <c r="L19" s="56">
        <f>Entrate_Uscite!X39</f>
        <v>0</v>
      </c>
      <c r="M19" s="58" t="str">
        <f t="shared" si="9"/>
        <v>-</v>
      </c>
    </row>
    <row r="20" spans="1:13" x14ac:dyDescent="0.3">
      <c r="A20" s="4" t="s">
        <v>288</v>
      </c>
      <c r="B20" s="43">
        <f>SUM(B16:B19)</f>
        <v>9528974.1300000008</v>
      </c>
      <c r="C20" s="43">
        <f>SUM(C16:C19)</f>
        <v>12945987.640000001</v>
      </c>
      <c r="D20" s="43">
        <f>SUM(D16:D19)</f>
        <v>0</v>
      </c>
      <c r="E20" s="43">
        <f t="shared" ref="E20:I20" si="10">SUM(E16:E19)</f>
        <v>0</v>
      </c>
      <c r="F20" s="43">
        <f t="shared" si="10"/>
        <v>60000</v>
      </c>
      <c r="G20" s="43">
        <f t="shared" ref="G20:H20" si="11">SUM(G16:G19)</f>
        <v>0</v>
      </c>
      <c r="H20" s="43">
        <f t="shared" si="11"/>
        <v>0</v>
      </c>
      <c r="I20" s="43">
        <f t="shared" si="10"/>
        <v>0</v>
      </c>
      <c r="J20" s="43">
        <f t="shared" si="0"/>
        <v>0</v>
      </c>
      <c r="K20" s="44" t="str">
        <f t="shared" si="1"/>
        <v>-</v>
      </c>
      <c r="L20" s="43">
        <f>SUM(L16:L19)</f>
        <v>0</v>
      </c>
      <c r="M20" s="40" t="str">
        <f t="shared" si="9"/>
        <v>-</v>
      </c>
    </row>
    <row r="21" spans="1:13" x14ac:dyDescent="0.3">
      <c r="A21" s="47" t="s">
        <v>349</v>
      </c>
      <c r="B21" s="48">
        <f>B10+B15+B20</f>
        <v>745221122.66000009</v>
      </c>
      <c r="C21" s="48">
        <f>C10+C15+C20</f>
        <v>724677222.21000004</v>
      </c>
      <c r="D21" s="48">
        <f>D10+D15+D20</f>
        <v>696135621.97000003</v>
      </c>
      <c r="E21" s="48">
        <f t="shared" ref="E21:I21" si="12">E10+E15+E20</f>
        <v>682804859.50000012</v>
      </c>
      <c r="F21" s="48">
        <f t="shared" si="12"/>
        <v>693618681.13</v>
      </c>
      <c r="G21" s="48">
        <f t="shared" ref="G21:H21" si="13">G10+G15+G20</f>
        <v>678213870.5999999</v>
      </c>
      <c r="H21" s="48">
        <f t="shared" si="13"/>
        <v>685580832.22000003</v>
      </c>
      <c r="I21" s="48">
        <f t="shared" si="12"/>
        <v>824289728.00999987</v>
      </c>
      <c r="J21" s="48">
        <f>I21/I$31*100</f>
        <v>85.465257425146419</v>
      </c>
      <c r="K21" s="49">
        <f t="shared" si="1"/>
        <v>20.232318243326958</v>
      </c>
      <c r="L21" s="48">
        <f>L10+L15+L20</f>
        <v>667958613.66999996</v>
      </c>
      <c r="M21" s="50">
        <f>IF(I21&gt;0,L21/I21*100,"-")</f>
        <v>81.034445895933402</v>
      </c>
    </row>
    <row r="22" spans="1:13" x14ac:dyDescent="0.3">
      <c r="A22" s="59" t="s">
        <v>289</v>
      </c>
      <c r="B22" s="60">
        <f>Entrate_Uscite!B40</f>
        <v>8751723.8800000008</v>
      </c>
      <c r="C22" s="60">
        <f>Entrate_Uscite!E40</f>
        <v>7532928.6799999997</v>
      </c>
      <c r="D22" s="60">
        <f>Entrate_Uscite!H40</f>
        <v>7863980.2800000003</v>
      </c>
      <c r="E22" s="60">
        <f>Entrate_Uscite!K40</f>
        <v>8210079.6799999997</v>
      </c>
      <c r="F22" s="60">
        <f>Entrate_Uscite!N40</f>
        <v>8571226.8800000008</v>
      </c>
      <c r="G22" s="60">
        <f>Entrate_Uscite!Q40</f>
        <v>8947421.8800000008</v>
      </c>
      <c r="H22" s="60">
        <f>Entrate_Uscite!T40</f>
        <v>9343179.0199999996</v>
      </c>
      <c r="I22" s="60">
        <f>Entrate_Uscite!W40</f>
        <v>9753983.9600000009</v>
      </c>
      <c r="J22" s="60">
        <f t="shared" si="0"/>
        <v>1.0113273546119403</v>
      </c>
      <c r="K22" s="61">
        <f t="shared" si="1"/>
        <v>4.396843291995495</v>
      </c>
      <c r="L22" s="60">
        <f>Entrate_Uscite!X40</f>
        <v>0</v>
      </c>
      <c r="M22" s="58">
        <f t="shared" si="9"/>
        <v>0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14899859.789999999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9"/>
        <v>-</v>
      </c>
    </row>
    <row r="24" spans="1:13" x14ac:dyDescent="0.3">
      <c r="A24" s="59" t="s">
        <v>291</v>
      </c>
      <c r="B24" s="60">
        <f>Entrate_Uscite!B42</f>
        <v>8132848.25</v>
      </c>
      <c r="C24" s="60">
        <f>Entrate_Uscite!E42</f>
        <v>9150834.1699999999</v>
      </c>
      <c r="D24" s="60">
        <f>Entrate_Uscite!H42</f>
        <v>12242412.65</v>
      </c>
      <c r="E24" s="60">
        <f>Entrate_Uscite!K42</f>
        <v>12605461.07</v>
      </c>
      <c r="F24" s="60">
        <f>Entrate_Uscite!N42</f>
        <v>5919116.5899999999</v>
      </c>
      <c r="G24" s="60">
        <f>Entrate_Uscite!Q42</f>
        <v>8600079.3200000003</v>
      </c>
      <c r="H24" s="60">
        <f>Entrate_Uscite!T42</f>
        <v>8890616.9399999995</v>
      </c>
      <c r="I24" s="60">
        <f>Entrate_Uscite!W42</f>
        <v>9013803.3399999999</v>
      </c>
      <c r="J24" s="60">
        <f t="shared" si="0"/>
        <v>0.93458282525558634</v>
      </c>
      <c r="K24" s="61">
        <f t="shared" si="1"/>
        <v>1.385577635740546</v>
      </c>
      <c r="L24" s="60">
        <f>Entrate_Uscite!X42</f>
        <v>0</v>
      </c>
      <c r="M24" s="58">
        <f t="shared" si="9"/>
        <v>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9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1484223.58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9"/>
        <v>-</v>
      </c>
    </row>
    <row r="27" spans="1:13" x14ac:dyDescent="0.3">
      <c r="A27" s="4" t="s">
        <v>294</v>
      </c>
      <c r="B27" s="43">
        <f>SUM(B22:B26)</f>
        <v>16884572.130000003</v>
      </c>
      <c r="C27" s="43">
        <f>SUM(C22:C26)</f>
        <v>18167986.43</v>
      </c>
      <c r="D27" s="43">
        <f>SUM(D22:D26)</f>
        <v>20106392.93</v>
      </c>
      <c r="E27" s="43">
        <f t="shared" ref="E27:I27" si="14">SUM(E22:E26)</f>
        <v>35715400.539999999</v>
      </c>
      <c r="F27" s="43">
        <f t="shared" si="14"/>
        <v>14490343.470000001</v>
      </c>
      <c r="G27" s="43">
        <f t="shared" ref="G27" si="15">SUM(G22:G26)</f>
        <v>17547501.200000003</v>
      </c>
      <c r="H27" s="43">
        <f t="shared" ref="H27" si="16">SUM(H22:H26)</f>
        <v>18233795.960000001</v>
      </c>
      <c r="I27" s="43">
        <f t="shared" si="14"/>
        <v>18767787.300000001</v>
      </c>
      <c r="J27" s="43">
        <f t="shared" si="0"/>
        <v>1.9459101798675267</v>
      </c>
      <c r="K27" s="44">
        <f t="shared" si="1"/>
        <v>2.928580209910379</v>
      </c>
      <c r="L27" s="43">
        <f>SUM(L22:L26)</f>
        <v>0</v>
      </c>
      <c r="M27" s="45">
        <f>IF(I27&gt;0,L27/I27*100,"-")</f>
        <v>0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456140546.06</v>
      </c>
      <c r="D28" s="43">
        <f>Entrate_Uscite!H52</f>
        <v>504358813.82999998</v>
      </c>
      <c r="E28" s="43">
        <f>Entrate_Uscite!K52</f>
        <v>571935591.89999998</v>
      </c>
      <c r="F28" s="43">
        <f>Entrate_Uscite!N52</f>
        <v>555086376.88</v>
      </c>
      <c r="G28" s="43">
        <f>Entrate_Uscite!Q52</f>
        <v>475366855.63999999</v>
      </c>
      <c r="H28" s="43">
        <f>Entrate_Uscite!T52</f>
        <v>234209525.19</v>
      </c>
      <c r="I28" s="43">
        <f>Entrate_Uscite!W52</f>
        <v>121415947.76000001</v>
      </c>
      <c r="J28" s="43">
        <f t="shared" si="0"/>
        <v>12.588832394986055</v>
      </c>
      <c r="K28" s="44">
        <f t="shared" si="1"/>
        <v>-48.159261387211892</v>
      </c>
      <c r="L28" s="43">
        <f>Entrate_Uscite!X52</f>
        <v>121415947.76000001</v>
      </c>
      <c r="M28" s="45">
        <f>IF(I28&gt;0,L28/I28*100,"-")</f>
        <v>100</v>
      </c>
    </row>
    <row r="29" spans="1:13" x14ac:dyDescent="0.3">
      <c r="A29" s="4" t="s">
        <v>296</v>
      </c>
      <c r="B29" s="43">
        <f>Entrate_Uscite!B53</f>
        <v>376775388.81999999</v>
      </c>
      <c r="C29" s="43">
        <f>Entrate_Uscite!E53</f>
        <v>248511172.60000002</v>
      </c>
      <c r="D29" s="43">
        <f>Entrate_Uscite!H53</f>
        <v>208541138.81</v>
      </c>
      <c r="E29" s="43">
        <f>Entrate_Uscite!K53</f>
        <v>283070509.67000002</v>
      </c>
      <c r="F29" s="43">
        <f>Entrate_Uscite!N53</f>
        <v>277560848.23000002</v>
      </c>
      <c r="G29" s="43">
        <f>Entrate_Uscite!Q53</f>
        <v>343231870.19</v>
      </c>
      <c r="H29" s="43">
        <f>Entrate_Uscite!T53</f>
        <v>583019981.66999996</v>
      </c>
      <c r="I29" s="43">
        <f>Entrate_Uscite!W53</f>
        <v>391100011.80000001</v>
      </c>
      <c r="J29" s="43"/>
      <c r="K29" s="44">
        <f t="shared" si="1"/>
        <v>-32.918249100187808</v>
      </c>
      <c r="L29" s="43">
        <f>Entrate_Uscite!X53</f>
        <v>381238785.41000003</v>
      </c>
      <c r="M29" s="45">
        <f>IF(I29&gt;0,L29/I29*100,"-")</f>
        <v>97.478592152269528</v>
      </c>
    </row>
    <row r="30" spans="1:13" x14ac:dyDescent="0.3">
      <c r="A30" s="47" t="s">
        <v>69</v>
      </c>
      <c r="B30" s="48">
        <f>B10+B15+B20+B27+B28+B29</f>
        <v>1138881083.6100001</v>
      </c>
      <c r="C30" s="48">
        <f>C10+C15+C20+C27+C28+C29</f>
        <v>1447496927.3000002</v>
      </c>
      <c r="D30" s="48">
        <f>D10+D15+D20+D27+D28+D29</f>
        <v>1429141967.54</v>
      </c>
      <c r="E30" s="48">
        <f t="shared" ref="E30:I30" si="17">E10+E15+E20+E27+E28+E29</f>
        <v>1573526361.6100001</v>
      </c>
      <c r="F30" s="48">
        <f t="shared" si="17"/>
        <v>1540756249.71</v>
      </c>
      <c r="G30" s="48">
        <f t="shared" ref="G30:H30" si="18">G10+G15+G20+G27+G28+G29</f>
        <v>1514360097.6300001</v>
      </c>
      <c r="H30" s="48">
        <f t="shared" si="18"/>
        <v>1521044135.04</v>
      </c>
      <c r="I30" s="48">
        <f t="shared" si="17"/>
        <v>1355573474.8699999</v>
      </c>
      <c r="J30" s="48"/>
      <c r="K30" s="49">
        <f t="shared" si="1"/>
        <v>-10.878754689498109</v>
      </c>
      <c r="L30" s="48">
        <f>L10+L15+L20+L27+L28+L29</f>
        <v>1170613346.8399999</v>
      </c>
      <c r="M30" s="50">
        <f>IF(I30&gt;0,L30/I30*100,"-")</f>
        <v>86.355580759077796</v>
      </c>
    </row>
    <row r="31" spans="1:13" x14ac:dyDescent="0.3">
      <c r="A31" s="38" t="s">
        <v>70</v>
      </c>
      <c r="B31" s="51">
        <f>B30-B29</f>
        <v>762105694.7900002</v>
      </c>
      <c r="C31" s="51">
        <f>C30-C29</f>
        <v>1198985754.7000003</v>
      </c>
      <c r="D31" s="51">
        <f>D30-D29</f>
        <v>1220600828.73</v>
      </c>
      <c r="E31" s="51">
        <f t="shared" ref="E31:I31" si="19">E30-E29</f>
        <v>1290455851.9400001</v>
      </c>
      <c r="F31" s="51">
        <f t="shared" si="19"/>
        <v>1263195401.48</v>
      </c>
      <c r="G31" s="51">
        <f t="shared" ref="G31:H31" si="20">G30-G29</f>
        <v>1171128227.4400001</v>
      </c>
      <c r="H31" s="51">
        <f t="shared" si="20"/>
        <v>938024153.37</v>
      </c>
      <c r="I31" s="51">
        <f t="shared" si="19"/>
        <v>964473463.06999993</v>
      </c>
      <c r="J31" s="51">
        <f t="shared" si="0"/>
        <v>100</v>
      </c>
      <c r="K31" s="52">
        <f t="shared" si="1"/>
        <v>2.8196832251042423</v>
      </c>
      <c r="L31" s="51">
        <f>L30-L29</f>
        <v>789374561.42999983</v>
      </c>
      <c r="M31" s="53">
        <f>IF(I31&gt;0,L31/I31*100,"-")</f>
        <v>81.845130182986509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D17" sqref="D17"/>
    </sheetView>
  </sheetViews>
  <sheetFormatPr defaultRowHeight="14.4" x14ac:dyDescent="0.3"/>
  <cols>
    <col min="1" max="1" width="41.88671875" customWidth="1"/>
    <col min="2" max="2" width="11.33203125" bestFit="1" customWidth="1"/>
    <col min="3" max="9" width="11.5546875" bestFit="1" customWidth="1"/>
    <col min="10" max="11" width="12.218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95440450.599999905</v>
      </c>
      <c r="C2" s="64">
        <f>Entrate_Uscite!E56</f>
        <v>114955769.66000009</v>
      </c>
      <c r="D2" s="64">
        <f>Entrate_Uscite!H56</f>
        <v>205643824.59000003</v>
      </c>
      <c r="E2" s="64">
        <f>Entrate_Uscite!K56</f>
        <v>258422291.18999982</v>
      </c>
      <c r="F2" s="64">
        <f>Entrate_Uscite!N56</f>
        <v>223335608.04999995</v>
      </c>
      <c r="G2" s="64">
        <f>Entrate_Uscite!Q56</f>
        <v>386102519.00000012</v>
      </c>
      <c r="H2" s="64">
        <f>Entrate_Uscite!T56</f>
        <v>283840590.31999993</v>
      </c>
      <c r="I2" s="64">
        <f>Entrate_Uscite!W56</f>
        <v>257339560.76000011</v>
      </c>
      <c r="J2" s="64">
        <f>I2-H2</f>
        <v>-26501029.559999824</v>
      </c>
      <c r="K2" s="64">
        <f>Entrate_Uscite!X56</f>
        <v>39192592.439999998</v>
      </c>
    </row>
    <row r="3" spans="1:11" x14ac:dyDescent="0.3">
      <c r="A3" s="62" t="s">
        <v>72</v>
      </c>
      <c r="B3" s="65">
        <f>Entrate_Uscite!B57</f>
        <v>-28018839.569999993</v>
      </c>
      <c r="C3" s="65">
        <f>Entrate_Uscite!E57</f>
        <v>-1060510.099999994</v>
      </c>
      <c r="D3" s="65">
        <f>Entrate_Uscite!H57</f>
        <v>-24281776.5</v>
      </c>
      <c r="E3" s="65">
        <f>Entrate_Uscite!K57</f>
        <v>-13728425.540000007</v>
      </c>
      <c r="F3" s="65">
        <f>Entrate_Uscite!N57</f>
        <v>-5007552.07</v>
      </c>
      <c r="G3" s="65">
        <f>Entrate_Uscite!Q57</f>
        <v>-41807270.609999985</v>
      </c>
      <c r="H3" s="65">
        <f>Entrate_Uscite!T57</f>
        <v>85141896.25</v>
      </c>
      <c r="I3" s="65">
        <f>Entrate_Uscite!W57</f>
        <v>42687670.909999996</v>
      </c>
      <c r="J3" s="64">
        <f t="shared" ref="J3:J6" si="0">I3-H3</f>
        <v>-42454225.340000004</v>
      </c>
      <c r="K3" s="64">
        <f>Entrate_Uscite!X57</f>
        <v>-5688235.7000000179</v>
      </c>
    </row>
    <row r="4" spans="1:11" x14ac:dyDescent="0.3">
      <c r="A4" s="62" t="s">
        <v>301</v>
      </c>
      <c r="B4" s="65">
        <f>Entrate_Uscite!B16-Entrate_Uscite!B50</f>
        <v>0</v>
      </c>
      <c r="C4" s="65">
        <f>Entrate_Uscite!E16-Entrate_Uscite!E50</f>
        <v>0</v>
      </c>
      <c r="D4" s="65">
        <f>Entrate_Uscite!H16-Entrate_Uscite!H50</f>
        <v>0</v>
      </c>
      <c r="E4" s="65">
        <f>Entrate_Uscite!K16-Entrate_Uscite!K50</f>
        <v>0</v>
      </c>
      <c r="F4" s="65">
        <f>Entrate_Uscite!N16-Entrate_Uscite!N50</f>
        <v>-60000</v>
      </c>
      <c r="G4" s="65">
        <f>Entrate_Uscite!Q16-Entrate_Uscite!Q50</f>
        <v>2080</v>
      </c>
      <c r="H4" s="65">
        <f>Entrate_Uscite!T16-Entrate_Uscite!T50</f>
        <v>0</v>
      </c>
      <c r="I4" s="65">
        <f>Entrate_Uscite!W16-Entrate_Uscite!W50</f>
        <v>0</v>
      </c>
      <c r="J4" s="64">
        <f t="shared" si="0"/>
        <v>0</v>
      </c>
      <c r="K4" s="65">
        <f>Entrate_Uscite!X16-Entrate_Uscite!X50</f>
        <v>0</v>
      </c>
    </row>
    <row r="5" spans="1:11" x14ac:dyDescent="0.3">
      <c r="A5" s="47" t="s">
        <v>299</v>
      </c>
      <c r="B5" s="66">
        <f>Entrate_Uscite!B58</f>
        <v>67421611.029999852</v>
      </c>
      <c r="C5" s="66">
        <f>Entrate_Uscite!E58</f>
        <v>113895259.56000006</v>
      </c>
      <c r="D5" s="66">
        <f>Entrate_Uscite!H58</f>
        <v>181362048.09000003</v>
      </c>
      <c r="E5" s="66">
        <f>Entrate_Uscite!K58</f>
        <v>244693865.64999986</v>
      </c>
      <c r="F5" s="66">
        <f>Entrate_Uscite!N58</f>
        <v>218268055.9799999</v>
      </c>
      <c r="G5" s="66">
        <f>Entrate_Uscite!Q58</f>
        <v>344297328.3900001</v>
      </c>
      <c r="H5" s="66">
        <f>Entrate_Uscite!T58</f>
        <v>368982486.56999993</v>
      </c>
      <c r="I5" s="66">
        <f>Entrate_Uscite!W58</f>
        <v>300027231.6700002</v>
      </c>
      <c r="J5" s="66">
        <f t="shared" si="0"/>
        <v>-68955254.899999738</v>
      </c>
      <c r="K5" s="66">
        <f>Entrate_Uscite!X58</f>
        <v>33504356.74000001</v>
      </c>
    </row>
    <row r="6" spans="1:11" x14ac:dyDescent="0.3">
      <c r="A6" s="38" t="s">
        <v>300</v>
      </c>
      <c r="B6" s="67">
        <f>Entrate_Uscite!B59</f>
        <v>60515305.559999704</v>
      </c>
      <c r="C6" s="67">
        <f>Entrate_Uscite!E59</f>
        <v>109731288.97999978</v>
      </c>
      <c r="D6" s="67">
        <f>Entrate_Uscite!H59</f>
        <v>162276325.16000009</v>
      </c>
      <c r="E6" s="67">
        <f>Entrate_Uscite!K59</f>
        <v>223878324.89999986</v>
      </c>
      <c r="F6" s="67">
        <f>Entrate_Uscite!N59</f>
        <v>203777712.50999975</v>
      </c>
      <c r="G6" s="67">
        <f>Entrate_Uscite!Q59</f>
        <v>326749827.19000006</v>
      </c>
      <c r="H6" s="67">
        <f>Entrate_Uscite!T59</f>
        <v>350748690.61000001</v>
      </c>
      <c r="I6" s="67">
        <f>Entrate_Uscite!W59</f>
        <v>281259444.37000012</v>
      </c>
      <c r="J6" s="67">
        <f t="shared" si="0"/>
        <v>-69489246.23999989</v>
      </c>
      <c r="K6" s="67">
        <f>Entrate_Uscite!X59</f>
        <v>14782787.389999986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D5" sqref="D5"/>
    </sheetView>
  </sheetViews>
  <sheetFormatPr defaultRowHeight="14.4" x14ac:dyDescent="0.3"/>
  <cols>
    <col min="1" max="1" width="33.44140625" bestFit="1" customWidth="1"/>
    <col min="2" max="4" width="12.5546875" bestFit="1" customWidth="1"/>
    <col min="5" max="5" width="11.88671875" customWidth="1"/>
    <col min="6" max="6" width="12.5546875" bestFit="1" customWidth="1"/>
    <col min="7" max="7" width="12.5546875" customWidth="1"/>
    <col min="8" max="8" width="11.5546875" bestFit="1" customWidth="1"/>
    <col min="9" max="9" width="10.109375" bestFit="1" customWidth="1"/>
  </cols>
  <sheetData>
    <row r="1" spans="1:6" x14ac:dyDescent="0.3">
      <c r="A1" s="12">
        <v>2023</v>
      </c>
      <c r="B1" s="12" t="s">
        <v>365</v>
      </c>
      <c r="C1" s="12" t="s">
        <v>366</v>
      </c>
      <c r="D1" s="12" t="s">
        <v>367</v>
      </c>
      <c r="E1" s="12" t="s">
        <v>368</v>
      </c>
      <c r="F1" s="12" t="s">
        <v>369</v>
      </c>
    </row>
    <row r="2" spans="1:6" x14ac:dyDescent="0.3">
      <c r="A2" t="s">
        <v>370</v>
      </c>
      <c r="B2" s="1">
        <v>25221865.52</v>
      </c>
      <c r="C2" s="1">
        <v>19603453</v>
      </c>
      <c r="D2" s="1">
        <f>B2-C2</f>
        <v>5618412.5199999996</v>
      </c>
      <c r="E2" s="6">
        <f>IF(B2&gt;0,C2/B2*100,"-")</f>
        <v>77.724040612520085</v>
      </c>
      <c r="F2" s="6">
        <f>B2/B$11*100</f>
        <v>27.463636027695472</v>
      </c>
    </row>
    <row r="3" spans="1:6" x14ac:dyDescent="0.3">
      <c r="A3" t="s">
        <v>371</v>
      </c>
      <c r="B3" s="1">
        <v>10805450.789999999</v>
      </c>
      <c r="C3" s="1">
        <v>7187480.3399999999</v>
      </c>
      <c r="D3" s="1">
        <f t="shared" ref="D3:D11" si="0">B3-C3</f>
        <v>3617970.4499999993</v>
      </c>
      <c r="E3" s="6">
        <f t="shared" ref="E3:E11" si="1">IF(B3&gt;0,C3/B3*100,"-")</f>
        <v>66.5171724871647</v>
      </c>
      <c r="F3" s="6">
        <f t="shared" ref="F3:F11" si="2">B3/B$11*100</f>
        <v>11.765861148391947</v>
      </c>
    </row>
    <row r="4" spans="1:6" x14ac:dyDescent="0.3">
      <c r="A4" t="s">
        <v>372</v>
      </c>
      <c r="B4" s="1">
        <v>1803797.66</v>
      </c>
      <c r="C4" s="1">
        <v>975317.77</v>
      </c>
      <c r="D4" s="1">
        <f t="shared" si="0"/>
        <v>828479.8899999999</v>
      </c>
      <c r="E4" s="6">
        <f t="shared" si="1"/>
        <v>54.070242557028273</v>
      </c>
      <c r="F4" s="6">
        <f t="shared" si="2"/>
        <v>1.9641228505705228</v>
      </c>
    </row>
    <row r="5" spans="1:6" x14ac:dyDescent="0.3">
      <c r="A5" t="s">
        <v>373</v>
      </c>
      <c r="B5" s="1">
        <v>45073694.530000001</v>
      </c>
      <c r="C5" s="1">
        <v>25301310.949999999</v>
      </c>
      <c r="D5" s="1">
        <f t="shared" si="0"/>
        <v>19772383.580000002</v>
      </c>
      <c r="E5" s="6">
        <f t="shared" si="1"/>
        <v>56.133208546195469</v>
      </c>
      <c r="F5" s="6">
        <f t="shared" si="2"/>
        <v>49.079935820522458</v>
      </c>
    </row>
    <row r="6" spans="1:6" x14ac:dyDescent="0.3">
      <c r="A6" t="s">
        <v>374</v>
      </c>
      <c r="B6" s="1">
        <v>0</v>
      </c>
      <c r="C6" s="1">
        <v>0</v>
      </c>
      <c r="D6" s="1">
        <f t="shared" si="0"/>
        <v>0</v>
      </c>
      <c r="E6" s="6" t="str">
        <f t="shared" si="1"/>
        <v>-</v>
      </c>
      <c r="F6" s="6">
        <f t="shared" si="2"/>
        <v>0</v>
      </c>
    </row>
    <row r="7" spans="1:6" x14ac:dyDescent="0.3">
      <c r="A7" t="s">
        <v>375</v>
      </c>
      <c r="B7" s="1">
        <v>3747835.02</v>
      </c>
      <c r="C7" s="1">
        <v>53987.03</v>
      </c>
      <c r="D7" s="1">
        <f t="shared" si="0"/>
        <v>3693847.99</v>
      </c>
      <c r="E7" s="6">
        <f t="shared" si="1"/>
        <v>1.4404857660997041</v>
      </c>
      <c r="F7" s="6">
        <f t="shared" si="2"/>
        <v>4.0809501898070053</v>
      </c>
    </row>
    <row r="8" spans="1:6" x14ac:dyDescent="0.3">
      <c r="A8" t="s">
        <v>376</v>
      </c>
      <c r="B8" s="1">
        <v>392492.04</v>
      </c>
      <c r="C8" s="1">
        <v>392492.04</v>
      </c>
      <c r="D8" s="1">
        <f t="shared" si="0"/>
        <v>0</v>
      </c>
      <c r="E8" s="6">
        <f t="shared" si="1"/>
        <v>100</v>
      </c>
      <c r="F8" s="6">
        <f t="shared" si="2"/>
        <v>0.42737752771618498</v>
      </c>
    </row>
    <row r="9" spans="1:6" x14ac:dyDescent="0.3">
      <c r="A9" t="s">
        <v>377</v>
      </c>
      <c r="B9" s="1">
        <v>0</v>
      </c>
      <c r="C9" s="1">
        <v>0</v>
      </c>
      <c r="D9" s="1">
        <f t="shared" si="0"/>
        <v>0</v>
      </c>
      <c r="E9" s="13" t="str">
        <f t="shared" si="1"/>
        <v>-</v>
      </c>
      <c r="F9" s="6">
        <f t="shared" si="2"/>
        <v>0</v>
      </c>
    </row>
    <row r="10" spans="1:6" x14ac:dyDescent="0.3">
      <c r="A10" t="s">
        <v>378</v>
      </c>
      <c r="B10" s="1">
        <v>4792177.95</v>
      </c>
      <c r="C10" s="1">
        <v>3029872.1</v>
      </c>
      <c r="D10" s="1">
        <f t="shared" si="0"/>
        <v>1762305.85</v>
      </c>
      <c r="E10" s="6">
        <f t="shared" si="1"/>
        <v>63.225367079701201</v>
      </c>
      <c r="F10" s="6">
        <f t="shared" si="2"/>
        <v>5.2181164352964098</v>
      </c>
    </row>
    <row r="11" spans="1:6" x14ac:dyDescent="0.3">
      <c r="A11" s="4" t="s">
        <v>207</v>
      </c>
      <c r="B11" s="3">
        <f>SUM(B2:B10)</f>
        <v>91837313.510000005</v>
      </c>
      <c r="C11" s="3">
        <f>SUM(C2:C10)</f>
        <v>56543913.230000004</v>
      </c>
      <c r="D11" s="3">
        <f t="shared" si="0"/>
        <v>35293400.280000001</v>
      </c>
      <c r="E11" s="121">
        <f t="shared" si="1"/>
        <v>61.569650797595507</v>
      </c>
      <c r="F11" s="121">
        <f t="shared" si="2"/>
        <v>100</v>
      </c>
    </row>
    <row r="12" spans="1:6" x14ac:dyDescent="0.3">
      <c r="A12" s="119" t="s">
        <v>379</v>
      </c>
      <c r="B12" s="122">
        <v>824289728.00999987</v>
      </c>
      <c r="C12" s="119"/>
      <c r="D12" s="119"/>
      <c r="E12" s="119"/>
      <c r="F12" s="123">
        <f>B11/B12*100</f>
        <v>11.141387595804892</v>
      </c>
    </row>
    <row r="14" spans="1:6" x14ac:dyDescent="0.3">
      <c r="A14" s="12">
        <v>2022</v>
      </c>
      <c r="B14" s="12" t="s">
        <v>365</v>
      </c>
      <c r="C14" s="12" t="s">
        <v>366</v>
      </c>
      <c r="D14" s="12" t="s">
        <v>367</v>
      </c>
      <c r="E14" s="12" t="s">
        <v>368</v>
      </c>
      <c r="F14" s="12" t="s">
        <v>369</v>
      </c>
    </row>
    <row r="15" spans="1:6" x14ac:dyDescent="0.3">
      <c r="A15" t="s">
        <v>370</v>
      </c>
      <c r="B15" s="1">
        <v>24971891.32</v>
      </c>
      <c r="C15" s="1">
        <v>16649545.68</v>
      </c>
      <c r="D15" s="1">
        <f>B15-C15</f>
        <v>8322345.6400000006</v>
      </c>
      <c r="E15" s="6">
        <f>IF(B15&gt;0,C15/B15*100,"-")</f>
        <v>66.673146485566235</v>
      </c>
      <c r="F15" s="6">
        <f>B15/B$11*100</f>
        <v>27.191443614344024</v>
      </c>
    </row>
    <row r="16" spans="1:6" x14ac:dyDescent="0.3">
      <c r="A16" t="s">
        <v>371</v>
      </c>
      <c r="B16" s="1">
        <v>12605693.1</v>
      </c>
      <c r="C16" s="1">
        <v>5349122.1500000004</v>
      </c>
      <c r="D16" s="1">
        <f t="shared" ref="D16:D24" si="3">B16-C16</f>
        <v>7256570.9499999993</v>
      </c>
      <c r="E16" s="6">
        <f t="shared" ref="E16:E24" si="4">IF(B16&gt;0,C16/B16*100,"-")</f>
        <v>42.43417722108434</v>
      </c>
      <c r="F16" s="6">
        <f t="shared" ref="F16:F24" si="5">B16/B$11*100</f>
        <v>13.72611264225122</v>
      </c>
    </row>
    <row r="17" spans="1:6" x14ac:dyDescent="0.3">
      <c r="A17" t="s">
        <v>372</v>
      </c>
      <c r="B17" s="1">
        <v>1321649.48</v>
      </c>
      <c r="C17" s="1">
        <v>870711.87</v>
      </c>
      <c r="D17" s="1">
        <f t="shared" si="3"/>
        <v>450937.61</v>
      </c>
      <c r="E17" s="6">
        <f t="shared" si="4"/>
        <v>65.880695538124073</v>
      </c>
      <c r="F17" s="6">
        <f t="shared" si="5"/>
        <v>1.4391203634850314</v>
      </c>
    </row>
    <row r="18" spans="1:6" x14ac:dyDescent="0.3">
      <c r="A18" t="s">
        <v>373</v>
      </c>
      <c r="B18" s="1">
        <v>36977471.130000003</v>
      </c>
      <c r="C18" s="1">
        <v>17973554.309999999</v>
      </c>
      <c r="D18" s="1">
        <f t="shared" si="3"/>
        <v>19003916.820000004</v>
      </c>
      <c r="E18" s="6">
        <f t="shared" si="4"/>
        <v>48.606769908118366</v>
      </c>
      <c r="F18" s="6">
        <f t="shared" si="5"/>
        <v>40.264103681532006</v>
      </c>
    </row>
    <row r="19" spans="1:6" x14ac:dyDescent="0.3">
      <c r="A19" t="s">
        <v>374</v>
      </c>
      <c r="B19" s="1">
        <v>695556.72</v>
      </c>
      <c r="C19" s="1">
        <v>0</v>
      </c>
      <c r="D19" s="1">
        <f t="shared" si="3"/>
        <v>695556.72</v>
      </c>
      <c r="E19" s="6">
        <f t="shared" si="4"/>
        <v>0</v>
      </c>
      <c r="F19" s="6">
        <f t="shared" si="5"/>
        <v>0.75737921049297896</v>
      </c>
    </row>
    <row r="20" spans="1:6" x14ac:dyDescent="0.3">
      <c r="A20" t="s">
        <v>375</v>
      </c>
      <c r="B20" s="1">
        <v>100853.6</v>
      </c>
      <c r="C20" s="1">
        <v>25462.49</v>
      </c>
      <c r="D20" s="1">
        <f t="shared" si="3"/>
        <v>75391.11</v>
      </c>
      <c r="E20" s="6">
        <f t="shared" si="4"/>
        <v>25.246981763665353</v>
      </c>
      <c r="F20" s="6">
        <f t="shared" si="5"/>
        <v>0.10981767230050586</v>
      </c>
    </row>
    <row r="21" spans="1:6" x14ac:dyDescent="0.3">
      <c r="A21" t="s">
        <v>376</v>
      </c>
      <c r="B21" s="1">
        <v>475531.99</v>
      </c>
      <c r="C21" s="1">
        <v>345188.31</v>
      </c>
      <c r="D21" s="1">
        <f t="shared" si="3"/>
        <v>130343.67999999999</v>
      </c>
      <c r="E21" s="6">
        <f t="shared" si="4"/>
        <v>72.589923971255857</v>
      </c>
      <c r="F21" s="6">
        <f t="shared" si="5"/>
        <v>0.5177982367136863</v>
      </c>
    </row>
    <row r="22" spans="1:6" x14ac:dyDescent="0.3">
      <c r="A22" t="s">
        <v>377</v>
      </c>
      <c r="B22" s="1">
        <v>0</v>
      </c>
      <c r="C22" s="1">
        <v>0</v>
      </c>
      <c r="D22" s="1">
        <f t="shared" si="3"/>
        <v>0</v>
      </c>
      <c r="E22" s="13" t="str">
        <f t="shared" si="4"/>
        <v>-</v>
      </c>
      <c r="F22" s="6">
        <f t="shared" si="5"/>
        <v>0</v>
      </c>
    </row>
    <row r="23" spans="1:6" x14ac:dyDescent="0.3">
      <c r="A23" t="s">
        <v>378</v>
      </c>
      <c r="B23" s="1">
        <v>2457755.77</v>
      </c>
      <c r="C23" s="1">
        <v>1990184.08</v>
      </c>
      <c r="D23" s="1">
        <f t="shared" si="3"/>
        <v>467571.68999999994</v>
      </c>
      <c r="E23" s="6">
        <f t="shared" si="4"/>
        <v>80.975665047467274</v>
      </c>
      <c r="F23" s="6">
        <f t="shared" si="5"/>
        <v>2.6762060823266345</v>
      </c>
    </row>
    <row r="24" spans="1:6" x14ac:dyDescent="0.3">
      <c r="A24" s="4" t="s">
        <v>207</v>
      </c>
      <c r="B24" s="3">
        <f>SUM(B15:B23)</f>
        <v>79606403.109999985</v>
      </c>
      <c r="C24" s="3">
        <f>SUM(C15:C23)</f>
        <v>43203768.890000001</v>
      </c>
      <c r="D24" s="3">
        <f t="shared" si="3"/>
        <v>36402634.219999984</v>
      </c>
      <c r="E24" s="121">
        <f t="shared" si="4"/>
        <v>54.271725894085563</v>
      </c>
      <c r="F24" s="121">
        <f t="shared" si="5"/>
        <v>86.681981503446067</v>
      </c>
    </row>
    <row r="25" spans="1:6" x14ac:dyDescent="0.3">
      <c r="A25" s="119" t="s">
        <v>379</v>
      </c>
      <c r="B25" s="122">
        <v>685580832.22000003</v>
      </c>
      <c r="C25" s="119"/>
      <c r="D25" s="119"/>
      <c r="E25" s="119"/>
      <c r="F25" s="123">
        <f>B24/B25*100</f>
        <v>11.611526951858336</v>
      </c>
    </row>
    <row r="27" spans="1:6" x14ac:dyDescent="0.3">
      <c r="A27" s="12">
        <v>2021</v>
      </c>
      <c r="B27" s="12" t="s">
        <v>365</v>
      </c>
      <c r="C27" s="12" t="s">
        <v>366</v>
      </c>
      <c r="D27" s="12" t="s">
        <v>367</v>
      </c>
      <c r="E27" s="12" t="s">
        <v>368</v>
      </c>
      <c r="F27" s="12" t="s">
        <v>369</v>
      </c>
    </row>
    <row r="28" spans="1:6" x14ac:dyDescent="0.3">
      <c r="A28" t="s">
        <v>370</v>
      </c>
      <c r="B28" s="1">
        <v>23423153.050000001</v>
      </c>
      <c r="C28" s="1">
        <v>14035186.49</v>
      </c>
      <c r="D28" s="1">
        <f>B28-C28</f>
        <v>9387966.5600000005</v>
      </c>
      <c r="E28" s="6">
        <f>IF(B28&gt;0,C28/B28*100,"-")</f>
        <v>59.920141665129066</v>
      </c>
      <c r="F28" s="6">
        <f>B28/B$11*100</f>
        <v>25.505050349114899</v>
      </c>
    </row>
    <row r="29" spans="1:6" x14ac:dyDescent="0.3">
      <c r="A29" t="s">
        <v>371</v>
      </c>
      <c r="B29" s="1">
        <v>5746625.1399999997</v>
      </c>
      <c r="C29" s="1">
        <v>2203379.3199999998</v>
      </c>
      <c r="D29" s="1">
        <f t="shared" ref="D29:D37" si="6">B29-C29</f>
        <v>3543245.82</v>
      </c>
      <c r="E29" s="6">
        <f t="shared" ref="E29:E37" si="7">IF(B29&gt;0,C29/B29*100,"-")</f>
        <v>38.342144586100495</v>
      </c>
      <c r="F29" s="6">
        <f t="shared" ref="F29:F37" si="8">B29/B$11*100</f>
        <v>6.2573968252830694</v>
      </c>
    </row>
    <row r="30" spans="1:6" x14ac:dyDescent="0.3">
      <c r="A30" t="s">
        <v>372</v>
      </c>
      <c r="B30" s="1">
        <v>1604176.43</v>
      </c>
      <c r="C30" s="1">
        <v>826147.49</v>
      </c>
      <c r="D30" s="1">
        <f t="shared" si="6"/>
        <v>778028.94</v>
      </c>
      <c r="E30" s="6">
        <f t="shared" si="7"/>
        <v>51.499789832967437</v>
      </c>
      <c r="F30" s="6">
        <f t="shared" si="8"/>
        <v>1.7467588812093506</v>
      </c>
    </row>
    <row r="31" spans="1:6" x14ac:dyDescent="0.3">
      <c r="A31" t="s">
        <v>373</v>
      </c>
      <c r="B31" s="1">
        <v>37464247.509999998</v>
      </c>
      <c r="C31" s="1">
        <v>20826239.309999999</v>
      </c>
      <c r="D31" s="1">
        <f t="shared" si="6"/>
        <v>16638008.199999999</v>
      </c>
      <c r="E31" s="6">
        <f t="shared" si="7"/>
        <v>55.589637305383043</v>
      </c>
      <c r="F31" s="6">
        <f t="shared" si="8"/>
        <v>40.794145732410371</v>
      </c>
    </row>
    <row r="32" spans="1:6" x14ac:dyDescent="0.3">
      <c r="A32" t="s">
        <v>374</v>
      </c>
      <c r="B32" s="1">
        <v>0</v>
      </c>
      <c r="C32" s="1">
        <v>0</v>
      </c>
      <c r="D32" s="1">
        <f t="shared" si="6"/>
        <v>0</v>
      </c>
      <c r="E32" s="6" t="str">
        <f t="shared" si="7"/>
        <v>-</v>
      </c>
      <c r="F32" s="6">
        <f t="shared" si="8"/>
        <v>0</v>
      </c>
    </row>
    <row r="33" spans="1:6" x14ac:dyDescent="0.3">
      <c r="A33" t="s">
        <v>375</v>
      </c>
      <c r="B33" s="1">
        <v>51918.83</v>
      </c>
      <c r="C33" s="1">
        <v>4763.62</v>
      </c>
      <c r="D33" s="1">
        <f t="shared" si="6"/>
        <v>47155.21</v>
      </c>
      <c r="E33" s="6">
        <f t="shared" si="7"/>
        <v>9.1751297169061772</v>
      </c>
      <c r="F33" s="6">
        <f t="shared" si="8"/>
        <v>5.6533480799551755E-2</v>
      </c>
    </row>
    <row r="34" spans="1:6" x14ac:dyDescent="0.3">
      <c r="A34" t="s">
        <v>376</v>
      </c>
      <c r="B34" s="1">
        <v>293602.87</v>
      </c>
      <c r="C34" s="1">
        <v>205482.69</v>
      </c>
      <c r="D34" s="1">
        <f t="shared" si="6"/>
        <v>88120.18</v>
      </c>
      <c r="E34" s="6">
        <f t="shared" si="7"/>
        <v>69.986608100935797</v>
      </c>
      <c r="F34" s="6">
        <f t="shared" si="8"/>
        <v>0.31969888793407497</v>
      </c>
    </row>
    <row r="35" spans="1:6" x14ac:dyDescent="0.3">
      <c r="A35" t="s">
        <v>377</v>
      </c>
      <c r="B35" s="1">
        <v>0</v>
      </c>
      <c r="C35" s="1">
        <v>0</v>
      </c>
      <c r="D35" s="1">
        <f t="shared" si="6"/>
        <v>0</v>
      </c>
      <c r="E35" s="13" t="str">
        <f t="shared" si="7"/>
        <v>-</v>
      </c>
      <c r="F35" s="6">
        <f t="shared" si="8"/>
        <v>0</v>
      </c>
    </row>
    <row r="36" spans="1:6" x14ac:dyDescent="0.3">
      <c r="A36" t="s">
        <v>378</v>
      </c>
      <c r="B36" s="1">
        <v>1969290.53</v>
      </c>
      <c r="C36" s="1">
        <v>1404095.07</v>
      </c>
      <c r="D36" s="1">
        <f t="shared" si="6"/>
        <v>565195.46</v>
      </c>
      <c r="E36" s="6">
        <f t="shared" si="7"/>
        <v>71.299539027387695</v>
      </c>
      <c r="F36" s="6">
        <f t="shared" si="8"/>
        <v>2.1443250621497842</v>
      </c>
    </row>
    <row r="37" spans="1:6" x14ac:dyDescent="0.3">
      <c r="A37" s="4" t="s">
        <v>207</v>
      </c>
      <c r="B37" s="3">
        <f>SUM(B28:B36)</f>
        <v>70553014.359999999</v>
      </c>
      <c r="C37" s="3">
        <f>SUM(C28:C36)</f>
        <v>39505293.989999995</v>
      </c>
      <c r="D37" s="3">
        <f t="shared" si="6"/>
        <v>31047720.370000005</v>
      </c>
      <c r="E37" s="121">
        <f t="shared" si="7"/>
        <v>55.993771986016661</v>
      </c>
      <c r="F37" s="121">
        <f t="shared" si="8"/>
        <v>76.823909218901093</v>
      </c>
    </row>
    <row r="38" spans="1:6" x14ac:dyDescent="0.3">
      <c r="A38" s="119" t="s">
        <v>379</v>
      </c>
      <c r="B38" s="122">
        <v>678213871</v>
      </c>
      <c r="C38" s="119"/>
      <c r="D38" s="119"/>
      <c r="E38" s="119"/>
      <c r="F38" s="123">
        <f>B37/B38*100</f>
        <v>10.40276782543128</v>
      </c>
    </row>
    <row r="40" spans="1:6" x14ac:dyDescent="0.3">
      <c r="A40" s="12">
        <v>2020</v>
      </c>
      <c r="B40" s="12" t="s">
        <v>365</v>
      </c>
      <c r="C40" s="12" t="s">
        <v>366</v>
      </c>
      <c r="D40" s="12" t="s">
        <v>367</v>
      </c>
      <c r="E40" s="12" t="s">
        <v>368</v>
      </c>
      <c r="F40" s="12" t="s">
        <v>369</v>
      </c>
    </row>
    <row r="41" spans="1:6" x14ac:dyDescent="0.3">
      <c r="A41" t="s">
        <v>370</v>
      </c>
      <c r="B41" s="1">
        <v>22136119.300000001</v>
      </c>
      <c r="C41" s="1">
        <v>15560456.050000001</v>
      </c>
      <c r="D41" s="1">
        <f>B41-C41</f>
        <v>6575663.25</v>
      </c>
      <c r="E41" s="6">
        <f>IF(B41&gt;0,C41/B41*100,"-")</f>
        <v>70.294417188111197</v>
      </c>
      <c r="F41" s="6">
        <f t="shared" ref="F41:F50" si="9">B41/B$50*100</f>
        <v>39.098616825051948</v>
      </c>
    </row>
    <row r="42" spans="1:6" x14ac:dyDescent="0.3">
      <c r="A42" t="s">
        <v>371</v>
      </c>
      <c r="B42" s="1">
        <v>4722456.88</v>
      </c>
      <c r="C42" s="1">
        <v>1193368.3600000001</v>
      </c>
      <c r="D42" s="1">
        <f t="shared" ref="D42:D50" si="10">B42-C42</f>
        <v>3529088.5199999996</v>
      </c>
      <c r="E42" s="6">
        <f t="shared" ref="E42:E50" si="11">IF(B42&gt;0,C42/B42*100,"-")</f>
        <v>25.270074249995062</v>
      </c>
      <c r="F42" s="6">
        <f t="shared" si="9"/>
        <v>8.3411879707366019</v>
      </c>
    </row>
    <row r="43" spans="1:6" x14ac:dyDescent="0.3">
      <c r="A43" t="s">
        <v>372</v>
      </c>
      <c r="B43" s="1">
        <v>1900315.32</v>
      </c>
      <c r="C43" s="1">
        <v>858775.3</v>
      </c>
      <c r="D43" s="1">
        <f t="shared" si="10"/>
        <v>1041540.02</v>
      </c>
      <c r="E43" s="6">
        <f t="shared" si="11"/>
        <v>45.191200163560225</v>
      </c>
      <c r="F43" s="6">
        <f t="shared" si="9"/>
        <v>3.3564916928983113</v>
      </c>
    </row>
    <row r="44" spans="1:6" x14ac:dyDescent="0.3">
      <c r="A44" t="s">
        <v>373</v>
      </c>
      <c r="B44" s="1">
        <v>25737461.5</v>
      </c>
      <c r="C44" s="1">
        <v>11456321.5</v>
      </c>
      <c r="D44" s="1">
        <f t="shared" si="10"/>
        <v>14281140</v>
      </c>
      <c r="E44" s="6">
        <f t="shared" si="11"/>
        <v>44.512243369455838</v>
      </c>
      <c r="F44" s="6">
        <f t="shared" si="9"/>
        <v>45.459600736703059</v>
      </c>
    </row>
    <row r="45" spans="1:6" x14ac:dyDescent="0.3">
      <c r="A45" t="s">
        <v>374</v>
      </c>
      <c r="B45" s="1">
        <v>260000</v>
      </c>
      <c r="C45" s="1">
        <v>51000</v>
      </c>
      <c r="D45" s="1">
        <f t="shared" si="10"/>
        <v>209000</v>
      </c>
      <c r="E45" s="6">
        <f t="shared" si="11"/>
        <v>19.615384615384617</v>
      </c>
      <c r="F45" s="6">
        <f t="shared" si="9"/>
        <v>0.4592331761833931</v>
      </c>
    </row>
    <row r="46" spans="1:6" x14ac:dyDescent="0.3">
      <c r="A46" t="s">
        <v>375</v>
      </c>
      <c r="B46" s="1">
        <v>20401.37</v>
      </c>
      <c r="C46" s="1">
        <v>4770.6000000000004</v>
      </c>
      <c r="D46" s="1">
        <f t="shared" si="10"/>
        <v>15630.769999999999</v>
      </c>
      <c r="E46" s="6">
        <f t="shared" si="11"/>
        <v>23.383723740121376</v>
      </c>
      <c r="F46" s="6">
        <f t="shared" si="9"/>
        <v>3.6034561321509964E-2</v>
      </c>
    </row>
    <row r="47" spans="1:6" x14ac:dyDescent="0.3">
      <c r="A47" t="s">
        <v>376</v>
      </c>
      <c r="B47" s="1">
        <v>295188.31</v>
      </c>
      <c r="C47" s="1">
        <v>295188.31</v>
      </c>
      <c r="D47" s="1">
        <f t="shared" si="10"/>
        <v>0</v>
      </c>
      <c r="E47" s="6">
        <f t="shared" si="11"/>
        <v>100</v>
      </c>
      <c r="F47" s="6">
        <f t="shared" si="9"/>
        <v>0.5213856352827233</v>
      </c>
    </row>
    <row r="48" spans="1:6" x14ac:dyDescent="0.3">
      <c r="A48" t="s">
        <v>377</v>
      </c>
      <c r="B48" s="1">
        <v>0</v>
      </c>
      <c r="C48" s="1">
        <v>0</v>
      </c>
      <c r="D48" s="1">
        <f t="shared" si="10"/>
        <v>0</v>
      </c>
      <c r="E48" s="13" t="str">
        <f t="shared" si="11"/>
        <v>-</v>
      </c>
      <c r="F48" s="6">
        <f t="shared" si="9"/>
        <v>0</v>
      </c>
    </row>
    <row r="49" spans="1:6" x14ac:dyDescent="0.3">
      <c r="A49" t="s">
        <v>378</v>
      </c>
      <c r="B49" s="1">
        <v>1544175.99</v>
      </c>
      <c r="C49" s="1">
        <v>1203219.18</v>
      </c>
      <c r="D49" s="1">
        <f t="shared" si="10"/>
        <v>340956.81000000006</v>
      </c>
      <c r="E49" s="6">
        <f t="shared" si="11"/>
        <v>77.91982182030948</v>
      </c>
      <c r="F49" s="6">
        <f t="shared" si="9"/>
        <v>2.7274494018224438</v>
      </c>
    </row>
    <row r="50" spans="1:6" x14ac:dyDescent="0.3">
      <c r="A50" s="4" t="s">
        <v>207</v>
      </c>
      <c r="B50" s="3">
        <f>SUM(B41:B49)</f>
        <v>56616118.670000002</v>
      </c>
      <c r="C50" s="3">
        <f>SUM(C41:C49)</f>
        <v>30623099.300000001</v>
      </c>
      <c r="D50" s="3">
        <f t="shared" si="10"/>
        <v>25993019.370000001</v>
      </c>
      <c r="E50" s="121">
        <f t="shared" si="11"/>
        <v>54.089012138917084</v>
      </c>
      <c r="F50" s="121">
        <f t="shared" si="9"/>
        <v>100</v>
      </c>
    </row>
    <row r="51" spans="1:6" x14ac:dyDescent="0.3">
      <c r="A51" s="119" t="s">
        <v>379</v>
      </c>
      <c r="B51" s="122">
        <v>693618681</v>
      </c>
      <c r="C51" s="119"/>
      <c r="D51" s="119"/>
      <c r="E51" s="119"/>
      <c r="F51" s="123">
        <f>B50/B51*100</f>
        <v>8.1624270252317501</v>
      </c>
    </row>
    <row r="53" spans="1:6" x14ac:dyDescent="0.3">
      <c r="A53" s="12">
        <v>2019</v>
      </c>
      <c r="B53" s="12" t="s">
        <v>365</v>
      </c>
      <c r="C53" s="12" t="s">
        <v>366</v>
      </c>
      <c r="D53" s="12" t="s">
        <v>367</v>
      </c>
    </row>
    <row r="54" spans="1:6" x14ac:dyDescent="0.3">
      <c r="A54" t="s">
        <v>370</v>
      </c>
      <c r="B54" s="1">
        <v>19613978.809999999</v>
      </c>
      <c r="C54" s="1">
        <v>8590940.2799999993</v>
      </c>
      <c r="D54" s="1">
        <f>B54-C54</f>
        <v>11023038.529999999</v>
      </c>
      <c r="E54" s="6">
        <f>IF(B54&gt;0,C54/B54*100,"-")</f>
        <v>43.800089534205014</v>
      </c>
      <c r="F54" s="6">
        <f>B54/B$63*100</f>
        <v>39.785728669871176</v>
      </c>
    </row>
    <row r="55" spans="1:6" x14ac:dyDescent="0.3">
      <c r="A55" t="s">
        <v>371</v>
      </c>
      <c r="B55" s="1">
        <v>3924614.77</v>
      </c>
      <c r="C55" s="1">
        <v>839899.43</v>
      </c>
      <c r="D55" s="1">
        <f t="shared" ref="D55:D63" si="12">B55-C55</f>
        <v>3084715.34</v>
      </c>
      <c r="E55" s="6">
        <f t="shared" ref="E55:E63" si="13">IF(B55&gt;0,C55/B55*100,"-")</f>
        <v>21.400812034349041</v>
      </c>
      <c r="F55" s="6">
        <f t="shared" ref="F55:F63" si="14">B55/B$63*100</f>
        <v>7.960835477877672</v>
      </c>
    </row>
    <row r="56" spans="1:6" x14ac:dyDescent="0.3">
      <c r="A56" t="s">
        <v>372</v>
      </c>
      <c r="B56" s="1">
        <v>1285423.22</v>
      </c>
      <c r="C56" s="1">
        <v>0</v>
      </c>
      <c r="D56" s="1">
        <f t="shared" si="12"/>
        <v>1285423.22</v>
      </c>
      <c r="E56" s="6">
        <f t="shared" si="13"/>
        <v>0</v>
      </c>
      <c r="F56" s="6">
        <f t="shared" si="14"/>
        <v>2.6074005663143733</v>
      </c>
    </row>
    <row r="57" spans="1:6" x14ac:dyDescent="0.3">
      <c r="A57" t="s">
        <v>373</v>
      </c>
      <c r="B57" s="1">
        <v>21896642.960000001</v>
      </c>
      <c r="C57" s="1">
        <v>11995276.960000001</v>
      </c>
      <c r="D57" s="1">
        <f t="shared" si="12"/>
        <v>9901366</v>
      </c>
      <c r="E57" s="6">
        <f t="shared" si="13"/>
        <v>54.781351561116196</v>
      </c>
      <c r="F57" s="6">
        <f t="shared" si="14"/>
        <v>44.415970060263611</v>
      </c>
    </row>
    <row r="58" spans="1:6" x14ac:dyDescent="0.3">
      <c r="A58" t="s">
        <v>374</v>
      </c>
      <c r="B58" s="1">
        <v>185000</v>
      </c>
      <c r="C58" s="1">
        <v>0</v>
      </c>
      <c r="D58" s="1">
        <f t="shared" si="12"/>
        <v>185000</v>
      </c>
      <c r="E58" s="6">
        <f t="shared" si="13"/>
        <v>0</v>
      </c>
      <c r="F58" s="6">
        <f t="shared" si="14"/>
        <v>0.3752609236109482</v>
      </c>
    </row>
    <row r="59" spans="1:6" x14ac:dyDescent="0.3">
      <c r="A59" t="s">
        <v>375</v>
      </c>
      <c r="B59" s="1">
        <v>46635.23</v>
      </c>
      <c r="C59" s="1">
        <v>45043.94</v>
      </c>
      <c r="D59" s="1">
        <f t="shared" si="12"/>
        <v>1591.2900000000009</v>
      </c>
      <c r="E59" s="6">
        <f t="shared" si="13"/>
        <v>96.587794249111667</v>
      </c>
      <c r="F59" s="6">
        <f t="shared" si="14"/>
        <v>9.4596645851940553E-2</v>
      </c>
    </row>
    <row r="60" spans="1:6" x14ac:dyDescent="0.3">
      <c r="A60" t="s">
        <v>376</v>
      </c>
      <c r="B60" s="1">
        <v>295188.31</v>
      </c>
      <c r="C60" s="1">
        <v>255733.21</v>
      </c>
      <c r="D60" s="1">
        <f t="shared" si="12"/>
        <v>39455.100000000006</v>
      </c>
      <c r="E60" s="6">
        <f t="shared" si="13"/>
        <v>86.633921919197959</v>
      </c>
      <c r="F60" s="6">
        <f t="shared" si="14"/>
        <v>0.59877101540408051</v>
      </c>
    </row>
    <row r="61" spans="1:6" x14ac:dyDescent="0.3">
      <c r="A61" t="s">
        <v>377</v>
      </c>
      <c r="B61" s="1">
        <v>0</v>
      </c>
      <c r="C61" s="1">
        <v>0</v>
      </c>
      <c r="D61" s="1">
        <f t="shared" si="12"/>
        <v>0</v>
      </c>
      <c r="E61" s="13" t="str">
        <f t="shared" si="13"/>
        <v>-</v>
      </c>
      <c r="F61" s="6">
        <f t="shared" si="14"/>
        <v>0</v>
      </c>
    </row>
    <row r="62" spans="1:6" x14ac:dyDescent="0.3">
      <c r="A62" t="s">
        <v>378</v>
      </c>
      <c r="B62" s="1">
        <v>2051547.95</v>
      </c>
      <c r="C62" s="1">
        <v>1614061.35</v>
      </c>
      <c r="D62" s="1">
        <f t="shared" si="12"/>
        <v>437486.59999999986</v>
      </c>
      <c r="E62" s="6">
        <f t="shared" si="13"/>
        <v>78.675292478540413</v>
      </c>
      <c r="F62" s="6">
        <f t="shared" si="14"/>
        <v>4.161436640806202</v>
      </c>
    </row>
    <row r="63" spans="1:6" x14ac:dyDescent="0.3">
      <c r="A63" s="4" t="s">
        <v>207</v>
      </c>
      <c r="B63" s="3">
        <f>SUM(B54:B62)</f>
        <v>49299031.25</v>
      </c>
      <c r="C63" s="3">
        <f>SUM(C54:C62)</f>
        <v>23340955.170000006</v>
      </c>
      <c r="D63" s="3">
        <f t="shared" si="12"/>
        <v>25958076.079999994</v>
      </c>
      <c r="E63" s="121">
        <f t="shared" si="13"/>
        <v>47.345667000302377</v>
      </c>
      <c r="F63" s="121">
        <f t="shared" si="14"/>
        <v>100</v>
      </c>
    </row>
    <row r="64" spans="1:6" x14ac:dyDescent="0.3">
      <c r="A64" s="119" t="s">
        <v>379</v>
      </c>
      <c r="B64" s="122">
        <v>682804860</v>
      </c>
      <c r="C64" s="119"/>
      <c r="D64" s="119"/>
      <c r="E64" s="119"/>
      <c r="F64" s="123">
        <f>B63/B64*100</f>
        <v>7.2200762088893162</v>
      </c>
    </row>
    <row r="66" spans="1:6" x14ac:dyDescent="0.3">
      <c r="A66" s="12">
        <v>2018</v>
      </c>
      <c r="B66" s="12" t="s">
        <v>365</v>
      </c>
      <c r="C66" s="12" t="s">
        <v>366</v>
      </c>
      <c r="D66" s="12" t="s">
        <v>367</v>
      </c>
    </row>
    <row r="67" spans="1:6" x14ac:dyDescent="0.3">
      <c r="A67" t="s">
        <v>370</v>
      </c>
      <c r="B67" s="1">
        <v>19513399.68</v>
      </c>
      <c r="C67" s="1">
        <v>7463151.0599999996</v>
      </c>
      <c r="D67" s="1">
        <f>B67-C67</f>
        <v>12050248.620000001</v>
      </c>
      <c r="E67" s="6">
        <f>IF(B67&gt;0,C67/B67*100,"-")</f>
        <v>38.246288101448862</v>
      </c>
      <c r="F67" s="6">
        <f>B67/B$76*100</f>
        <v>35.799745102192823</v>
      </c>
    </row>
    <row r="68" spans="1:6" x14ac:dyDescent="0.3">
      <c r="A68" t="s">
        <v>371</v>
      </c>
      <c r="B68" s="1">
        <v>4659105.45</v>
      </c>
      <c r="C68" s="1">
        <v>1629164.65</v>
      </c>
      <c r="D68" s="1">
        <f>B68-C68</f>
        <v>3029940.8000000003</v>
      </c>
      <c r="E68" s="6">
        <f t="shared" ref="E68:E76" si="15">IF(B68&gt;0,C68/B68*100,"-")</f>
        <v>34.967327258068387</v>
      </c>
      <c r="F68" s="6">
        <f t="shared" ref="F68:F76" si="16">B68/B$76*100</f>
        <v>8.5477051794921977</v>
      </c>
    </row>
    <row r="69" spans="1:6" x14ac:dyDescent="0.3">
      <c r="A69" t="s">
        <v>372</v>
      </c>
      <c r="B69" s="1">
        <v>1187577.72</v>
      </c>
      <c r="C69" s="1">
        <v>0</v>
      </c>
      <c r="D69" s="1">
        <f t="shared" ref="D69:D76" si="17">B69-C69</f>
        <v>1187577.72</v>
      </c>
      <c r="E69" s="6">
        <f t="shared" si="15"/>
        <v>0</v>
      </c>
      <c r="F69" s="6">
        <f t="shared" si="16"/>
        <v>2.1787582052459302</v>
      </c>
    </row>
    <row r="70" spans="1:6" x14ac:dyDescent="0.3">
      <c r="A70" t="s">
        <v>373</v>
      </c>
      <c r="B70" s="1">
        <v>25221030.859999999</v>
      </c>
      <c r="C70" s="1">
        <v>9622847.8300000001</v>
      </c>
      <c r="D70" s="1">
        <f t="shared" si="17"/>
        <v>15598183.029999999</v>
      </c>
      <c r="E70" s="6">
        <f t="shared" si="15"/>
        <v>38.154062311789268</v>
      </c>
      <c r="F70" s="6">
        <f t="shared" si="16"/>
        <v>46.271100413525637</v>
      </c>
    </row>
    <row r="71" spans="1:6" x14ac:dyDescent="0.3">
      <c r="A71" t="s">
        <v>374</v>
      </c>
      <c r="B71" s="1">
        <v>29876.73</v>
      </c>
      <c r="C71" s="1">
        <v>29876.73</v>
      </c>
      <c r="D71" s="1">
        <f t="shared" si="17"/>
        <v>0</v>
      </c>
      <c r="E71" s="6">
        <f t="shared" si="15"/>
        <v>100</v>
      </c>
      <c r="F71" s="6">
        <f t="shared" si="16"/>
        <v>5.4812556296035306E-2</v>
      </c>
    </row>
    <row r="72" spans="1:6" x14ac:dyDescent="0.3">
      <c r="A72" t="s">
        <v>375</v>
      </c>
      <c r="B72" s="1">
        <v>1911145.48</v>
      </c>
      <c r="C72" s="1">
        <v>64156.5</v>
      </c>
      <c r="D72" s="1">
        <f t="shared" si="17"/>
        <v>1846988.98</v>
      </c>
      <c r="E72" s="6">
        <f t="shared" si="15"/>
        <v>3.3569657920547211</v>
      </c>
      <c r="F72" s="6">
        <f t="shared" si="16"/>
        <v>3.5062327507867632</v>
      </c>
    </row>
    <row r="73" spans="1:6" x14ac:dyDescent="0.3">
      <c r="A73" t="s">
        <v>376</v>
      </c>
      <c r="B73" s="1">
        <v>295188.31</v>
      </c>
      <c r="C73" s="1">
        <v>248161.31</v>
      </c>
      <c r="D73" s="1">
        <f t="shared" si="17"/>
        <v>47027</v>
      </c>
      <c r="E73" s="6">
        <f t="shared" si="15"/>
        <v>84.068813565144225</v>
      </c>
      <c r="F73" s="6">
        <f t="shared" si="16"/>
        <v>0.54155946316101267</v>
      </c>
    </row>
    <row r="74" spans="1:6" x14ac:dyDescent="0.3">
      <c r="A74" t="s">
        <v>377</v>
      </c>
      <c r="B74" s="1">
        <v>0</v>
      </c>
      <c r="C74" s="1">
        <v>0</v>
      </c>
      <c r="D74" s="1">
        <f t="shared" si="17"/>
        <v>0</v>
      </c>
      <c r="E74" s="13" t="str">
        <f t="shared" si="15"/>
        <v>-</v>
      </c>
      <c r="F74" s="6">
        <f t="shared" si="16"/>
        <v>0</v>
      </c>
    </row>
    <row r="75" spans="1:6" x14ac:dyDescent="0.3">
      <c r="A75" t="s">
        <v>378</v>
      </c>
      <c r="B75" s="1">
        <v>1689766.88</v>
      </c>
      <c r="C75" s="1">
        <v>1455057.52</v>
      </c>
      <c r="D75" s="1">
        <f t="shared" si="17"/>
        <v>234709.35999999987</v>
      </c>
      <c r="E75" s="6">
        <f t="shared" si="15"/>
        <v>86.109956185198754</v>
      </c>
      <c r="F75" s="6">
        <f t="shared" si="16"/>
        <v>3.1000863292996232</v>
      </c>
    </row>
    <row r="76" spans="1:6" x14ac:dyDescent="0.3">
      <c r="A76" s="4" t="s">
        <v>207</v>
      </c>
      <c r="B76" s="3">
        <f>SUM(B67:B75)</f>
        <v>54507091.109999992</v>
      </c>
      <c r="C76" s="3">
        <f>SUM(C67:C75)</f>
        <v>20512415.599999998</v>
      </c>
      <c r="D76" s="3">
        <f t="shared" si="17"/>
        <v>33994675.50999999</v>
      </c>
      <c r="E76" s="121">
        <f t="shared" si="15"/>
        <v>37.632563364286277</v>
      </c>
      <c r="F76" s="121">
        <f t="shared" si="16"/>
        <v>100</v>
      </c>
    </row>
    <row r="77" spans="1:6" x14ac:dyDescent="0.3">
      <c r="A77" s="119" t="s">
        <v>379</v>
      </c>
      <c r="B77" s="122">
        <v>696135622</v>
      </c>
      <c r="C77" s="119"/>
      <c r="D77" s="119"/>
      <c r="E77" s="119"/>
      <c r="F77" s="123">
        <f>B76/B77*100</f>
        <v>7.8299528694424412</v>
      </c>
    </row>
    <row r="79" spans="1:6" x14ac:dyDescent="0.3">
      <c r="A79" s="12">
        <v>2017</v>
      </c>
      <c r="B79" s="12" t="s">
        <v>365</v>
      </c>
      <c r="C79" s="12" t="s">
        <v>366</v>
      </c>
      <c r="D79" s="12" t="s">
        <v>367</v>
      </c>
    </row>
    <row r="80" spans="1:6" x14ac:dyDescent="0.3">
      <c r="A80" t="s">
        <v>370</v>
      </c>
      <c r="B80" s="1">
        <v>4219152.6500000004</v>
      </c>
      <c r="C80" s="1">
        <v>4051379.09</v>
      </c>
      <c r="D80" s="1">
        <f>B80-C80</f>
        <v>167773.56000000052</v>
      </c>
      <c r="E80" s="6">
        <f>IF(B80&gt;0,C80/B80*100,"-")</f>
        <v>96.023524771022437</v>
      </c>
      <c r="F80" s="6">
        <f>B80/B$89*100</f>
        <v>11.512322345497719</v>
      </c>
    </row>
    <row r="81" spans="1:6" x14ac:dyDescent="0.3">
      <c r="A81" t="s">
        <v>371</v>
      </c>
      <c r="B81" s="1">
        <v>2431524.4</v>
      </c>
      <c r="C81" s="1">
        <v>959727.31</v>
      </c>
      <c r="D81" s="1">
        <f>B81-C81</f>
        <v>1471797.0899999999</v>
      </c>
      <c r="E81" s="6">
        <f t="shared" ref="E81:E89" si="18">IF(B81&gt;0,C81/B81*100,"-")</f>
        <v>39.470190387560997</v>
      </c>
      <c r="F81" s="6">
        <f t="shared" ref="F81:F89" si="19">B81/B$89*100</f>
        <v>6.6346242968343256</v>
      </c>
    </row>
    <row r="82" spans="1:6" x14ac:dyDescent="0.3">
      <c r="A82" t="s">
        <v>372</v>
      </c>
      <c r="B82" s="1">
        <v>292486.08</v>
      </c>
      <c r="C82" s="1">
        <v>88458.1</v>
      </c>
      <c r="D82" s="1">
        <f t="shared" ref="D82:D89" si="20">B82-C82</f>
        <v>204027.98</v>
      </c>
      <c r="E82" s="6">
        <f t="shared" si="18"/>
        <v>30.24352475167365</v>
      </c>
      <c r="F82" s="6">
        <f t="shared" si="19"/>
        <v>0.79807352657198449</v>
      </c>
    </row>
    <row r="83" spans="1:6" x14ac:dyDescent="0.3">
      <c r="A83" t="s">
        <v>373</v>
      </c>
      <c r="B83" s="1">
        <v>26531125.07</v>
      </c>
      <c r="C83" s="1">
        <v>8714906.6899999995</v>
      </c>
      <c r="D83" s="1">
        <f t="shared" si="20"/>
        <v>17816218.380000003</v>
      </c>
      <c r="E83" s="6">
        <f t="shared" si="18"/>
        <v>32.847859512201225</v>
      </c>
      <c r="F83" s="6">
        <f t="shared" si="19"/>
        <v>72.392465817646041</v>
      </c>
    </row>
    <row r="84" spans="1:6" x14ac:dyDescent="0.3">
      <c r="A84" t="s">
        <v>374</v>
      </c>
      <c r="B84" s="1">
        <v>444894.58</v>
      </c>
      <c r="C84" s="1">
        <v>4444.58</v>
      </c>
      <c r="D84" s="1">
        <f t="shared" si="20"/>
        <v>440450</v>
      </c>
      <c r="E84" s="6">
        <f t="shared" si="18"/>
        <v>0.99901868887681211</v>
      </c>
      <c r="F84" s="6">
        <f t="shared" si="19"/>
        <v>1.213933279879035</v>
      </c>
    </row>
    <row r="85" spans="1:6" x14ac:dyDescent="0.3">
      <c r="A85" t="s">
        <v>375</v>
      </c>
      <c r="B85" s="1">
        <v>377858.56</v>
      </c>
      <c r="C85" s="1">
        <v>355745.78</v>
      </c>
      <c r="D85" s="1">
        <f t="shared" si="20"/>
        <v>22112.77999999997</v>
      </c>
      <c r="E85" s="6">
        <f t="shared" si="18"/>
        <v>94.14786845109451</v>
      </c>
      <c r="F85" s="6">
        <f t="shared" si="19"/>
        <v>1.0310197104922454</v>
      </c>
    </row>
    <row r="86" spans="1:6" x14ac:dyDescent="0.3">
      <c r="A86" t="s">
        <v>376</v>
      </c>
      <c r="B86" s="1">
        <v>328532.82</v>
      </c>
      <c r="C86" s="1">
        <v>238085.27</v>
      </c>
      <c r="D86" s="1">
        <f t="shared" si="20"/>
        <v>90447.550000000017</v>
      </c>
      <c r="E86" s="6">
        <f t="shared" si="18"/>
        <v>72.469249799761243</v>
      </c>
      <c r="F86" s="6">
        <f t="shared" si="19"/>
        <v>0.89643016943588893</v>
      </c>
    </row>
    <row r="87" spans="1:6" x14ac:dyDescent="0.3">
      <c r="A87" t="s">
        <v>377</v>
      </c>
      <c r="B87" s="1">
        <v>0</v>
      </c>
      <c r="C87" s="1">
        <v>0</v>
      </c>
      <c r="D87" s="1">
        <f t="shared" si="20"/>
        <v>0</v>
      </c>
      <c r="E87" s="13" t="str">
        <f t="shared" si="18"/>
        <v>-</v>
      </c>
      <c r="F87" s="6">
        <f t="shared" si="19"/>
        <v>0</v>
      </c>
    </row>
    <row r="88" spans="1:6" x14ac:dyDescent="0.3">
      <c r="A88" t="s">
        <v>378</v>
      </c>
      <c r="B88" s="1">
        <v>2023440.03</v>
      </c>
      <c r="C88" s="1">
        <v>1768216.48</v>
      </c>
      <c r="D88" s="1">
        <f t="shared" si="20"/>
        <v>255223.55000000005</v>
      </c>
      <c r="E88" s="6">
        <f t="shared" si="18"/>
        <v>87.386651137864462</v>
      </c>
      <c r="F88" s="6">
        <f t="shared" si="19"/>
        <v>5.5211308536427506</v>
      </c>
    </row>
    <row r="89" spans="1:6" x14ac:dyDescent="0.3">
      <c r="A89" s="4" t="s">
        <v>207</v>
      </c>
      <c r="B89" s="3">
        <f>SUM(B80:B88)</f>
        <v>36649014.190000005</v>
      </c>
      <c r="C89" s="3">
        <f>SUM(C80:C88)</f>
        <v>16180963.299999999</v>
      </c>
      <c r="D89" s="3">
        <f t="shared" si="20"/>
        <v>20468050.890000008</v>
      </c>
      <c r="E89" s="121">
        <f t="shared" si="18"/>
        <v>44.151155652135145</v>
      </c>
      <c r="F89" s="121">
        <f t="shared" si="19"/>
        <v>100</v>
      </c>
    </row>
    <row r="90" spans="1:6" x14ac:dyDescent="0.3">
      <c r="A90" s="119" t="s">
        <v>379</v>
      </c>
      <c r="B90" s="122">
        <v>724677222</v>
      </c>
      <c r="C90" s="119"/>
      <c r="D90" s="119"/>
      <c r="E90" s="119"/>
      <c r="F90" s="123">
        <f>B89/B90*100</f>
        <v>5.0572880004223464</v>
      </c>
    </row>
    <row r="92" spans="1:6" x14ac:dyDescent="0.3">
      <c r="A92" s="12">
        <v>2016</v>
      </c>
      <c r="B92" s="12" t="s">
        <v>365</v>
      </c>
      <c r="C92" s="12" t="s">
        <v>366</v>
      </c>
      <c r="D92" s="12" t="s">
        <v>367</v>
      </c>
    </row>
    <row r="93" spans="1:6" x14ac:dyDescent="0.3">
      <c r="A93" t="s">
        <v>370</v>
      </c>
      <c r="B93" s="1">
        <v>4191296</v>
      </c>
      <c r="C93" s="1">
        <v>4055953.12</v>
      </c>
      <c r="D93" s="1">
        <f>B93-C93</f>
        <v>135342.87999999989</v>
      </c>
      <c r="E93" s="6">
        <f>IF(B93&gt;0,C93/B93*100,"-")</f>
        <v>96.770858464780346</v>
      </c>
      <c r="F93" s="6">
        <f>B93/B$102*100</f>
        <v>9.9767024126647961</v>
      </c>
    </row>
    <row r="94" spans="1:6" x14ac:dyDescent="0.3">
      <c r="A94" t="s">
        <v>371</v>
      </c>
      <c r="B94" s="1">
        <v>3050416.56</v>
      </c>
      <c r="C94" s="1">
        <v>228106.13</v>
      </c>
      <c r="D94" s="1">
        <f>B94-C94</f>
        <v>2822310.43</v>
      </c>
      <c r="E94" s="6">
        <f t="shared" ref="E94:E102" si="21">IF(B94&gt;0,C94/B94*100,"-")</f>
        <v>7.4778682030233927</v>
      </c>
      <c r="F94" s="6">
        <f t="shared" ref="F94:F102" si="22">B94/B$102*100</f>
        <v>7.2610233812607481</v>
      </c>
    </row>
    <row r="95" spans="1:6" x14ac:dyDescent="0.3">
      <c r="A95" t="s">
        <v>372</v>
      </c>
      <c r="B95" s="1">
        <v>0</v>
      </c>
      <c r="C95" s="1">
        <v>0</v>
      </c>
      <c r="D95" s="1">
        <f t="shared" ref="D95:D102" si="23">B95-C95</f>
        <v>0</v>
      </c>
      <c r="E95" s="13" t="str">
        <f t="shared" si="21"/>
        <v>-</v>
      </c>
      <c r="F95" s="6">
        <f t="shared" si="22"/>
        <v>0</v>
      </c>
    </row>
    <row r="96" spans="1:6" x14ac:dyDescent="0.3">
      <c r="A96" t="s">
        <v>373</v>
      </c>
      <c r="B96" s="1">
        <v>29187873.760000002</v>
      </c>
      <c r="C96" s="1">
        <v>14414221.279999999</v>
      </c>
      <c r="D96" s="1">
        <f t="shared" si="23"/>
        <v>14773652.480000002</v>
      </c>
      <c r="E96" s="6">
        <f t="shared" si="21"/>
        <v>49.38427991885353</v>
      </c>
      <c r="F96" s="6">
        <f t="shared" si="22"/>
        <v>69.477013926467507</v>
      </c>
    </row>
    <row r="97" spans="1:9" x14ac:dyDescent="0.3">
      <c r="A97" t="s">
        <v>374</v>
      </c>
      <c r="B97" s="1">
        <v>315726.96000000002</v>
      </c>
      <c r="C97" s="1">
        <v>216546.96</v>
      </c>
      <c r="D97" s="1">
        <f t="shared" si="23"/>
        <v>99180.000000000029</v>
      </c>
      <c r="E97" s="6">
        <f t="shared" si="21"/>
        <v>68.586781439253713</v>
      </c>
      <c r="F97" s="6">
        <f t="shared" si="22"/>
        <v>0.75153697652833917</v>
      </c>
    </row>
    <row r="98" spans="1:9" x14ac:dyDescent="0.3">
      <c r="A98" t="s">
        <v>375</v>
      </c>
      <c r="B98" s="1">
        <v>2871037.13</v>
      </c>
      <c r="C98" s="1">
        <v>669155.11</v>
      </c>
      <c r="D98" s="1">
        <f t="shared" si="23"/>
        <v>2201882.02</v>
      </c>
      <c r="E98" s="6">
        <f t="shared" si="21"/>
        <v>23.307086592781197</v>
      </c>
      <c r="F98" s="6">
        <f t="shared" si="22"/>
        <v>6.8340396530622529</v>
      </c>
    </row>
    <row r="99" spans="1:9" x14ac:dyDescent="0.3">
      <c r="A99" t="s">
        <v>376</v>
      </c>
      <c r="B99" s="1">
        <v>329166.09999999998</v>
      </c>
      <c r="C99" s="1">
        <v>239422.13</v>
      </c>
      <c r="D99" s="1">
        <f t="shared" si="23"/>
        <v>89743.969999999972</v>
      </c>
      <c r="E99" s="6">
        <f t="shared" si="21"/>
        <v>72.73596217836527</v>
      </c>
      <c r="F99" s="6">
        <f t="shared" si="22"/>
        <v>0.78352667624464156</v>
      </c>
    </row>
    <row r="100" spans="1:9" x14ac:dyDescent="0.3">
      <c r="A100" t="s">
        <v>377</v>
      </c>
      <c r="B100" s="1">
        <v>0</v>
      </c>
      <c r="C100" s="1">
        <v>0</v>
      </c>
      <c r="D100" s="1">
        <f t="shared" si="23"/>
        <v>0</v>
      </c>
      <c r="E100" s="13" t="str">
        <f t="shared" si="21"/>
        <v>-</v>
      </c>
      <c r="F100" s="6">
        <f t="shared" si="22"/>
        <v>0</v>
      </c>
    </row>
    <row r="101" spans="1:9" x14ac:dyDescent="0.3">
      <c r="A101" t="s">
        <v>378</v>
      </c>
      <c r="B101" s="1">
        <v>2065318.6</v>
      </c>
      <c r="C101" s="1">
        <v>1758609.84</v>
      </c>
      <c r="D101" s="1">
        <f t="shared" si="23"/>
        <v>306708.76</v>
      </c>
      <c r="E101" s="6">
        <f t="shared" si="21"/>
        <v>85.149566754494927</v>
      </c>
      <c r="F101" s="6">
        <f t="shared" si="22"/>
        <v>4.9161569737717121</v>
      </c>
    </row>
    <row r="102" spans="1:9" x14ac:dyDescent="0.3">
      <c r="A102" s="4" t="s">
        <v>207</v>
      </c>
      <c r="B102" s="3">
        <f>SUM(B93:B101)</f>
        <v>42010835.110000007</v>
      </c>
      <c r="C102" s="3">
        <f>SUM(C93:C101)</f>
        <v>21582014.57</v>
      </c>
      <c r="D102" s="3">
        <f t="shared" si="23"/>
        <v>20428820.540000007</v>
      </c>
      <c r="E102" s="121">
        <f t="shared" si="21"/>
        <v>51.372495960840226</v>
      </c>
      <c r="F102" s="121">
        <f t="shared" si="22"/>
        <v>100</v>
      </c>
    </row>
    <row r="103" spans="1:9" x14ac:dyDescent="0.3">
      <c r="A103" s="119" t="s">
        <v>379</v>
      </c>
      <c r="B103" s="122">
        <v>745221123</v>
      </c>
      <c r="C103" s="119"/>
      <c r="D103" s="119"/>
      <c r="E103" s="119"/>
      <c r="F103" s="123">
        <f>B102/B103*100</f>
        <v>5.6373650468842129</v>
      </c>
    </row>
    <row r="105" spans="1:9" x14ac:dyDescent="0.3">
      <c r="B105" s="124">
        <v>2016</v>
      </c>
      <c r="C105" s="124">
        <v>2017</v>
      </c>
      <c r="D105" s="124">
        <v>2018</v>
      </c>
      <c r="E105" s="124">
        <v>2019</v>
      </c>
      <c r="F105" s="124">
        <v>2020</v>
      </c>
      <c r="G105" s="124">
        <v>2021</v>
      </c>
      <c r="H105" s="124">
        <v>2022</v>
      </c>
      <c r="I105" s="124">
        <v>2023</v>
      </c>
    </row>
    <row r="106" spans="1:9" x14ac:dyDescent="0.3">
      <c r="A106" t="s">
        <v>373</v>
      </c>
      <c r="B106" s="1">
        <f>B96</f>
        <v>29187873.760000002</v>
      </c>
      <c r="C106" s="1">
        <f>B83</f>
        <v>26531125.07</v>
      </c>
      <c r="D106" s="1">
        <f>B70</f>
        <v>25221030.859999999</v>
      </c>
      <c r="E106" s="1">
        <f>B57</f>
        <v>21896642.960000001</v>
      </c>
      <c r="F106" s="1">
        <f>B44</f>
        <v>25737461.5</v>
      </c>
      <c r="G106" s="1">
        <f>B31</f>
        <v>37464247.509999998</v>
      </c>
      <c r="H106" s="1">
        <f>B18</f>
        <v>36977471.130000003</v>
      </c>
      <c r="I106" s="1">
        <f>B5</f>
        <v>45073694.530000001</v>
      </c>
    </row>
    <row r="107" spans="1:9" x14ac:dyDescent="0.3">
      <c r="A107" t="s">
        <v>370</v>
      </c>
      <c r="B107" s="1">
        <f>B93</f>
        <v>4191296</v>
      </c>
      <c r="C107" s="1">
        <f>B80</f>
        <v>4219152.6500000004</v>
      </c>
      <c r="D107" s="1">
        <f>B67</f>
        <v>19513399.68</v>
      </c>
      <c r="E107" s="1">
        <f>B54</f>
        <v>19613978.809999999</v>
      </c>
      <c r="F107" s="1">
        <f>B41</f>
        <v>22136119.300000001</v>
      </c>
      <c r="G107" s="1">
        <f>B28</f>
        <v>23423153.050000001</v>
      </c>
      <c r="H107" s="1">
        <f>B15</f>
        <v>24971891.32</v>
      </c>
      <c r="I107" s="1">
        <f>B2</f>
        <v>25221865.52</v>
      </c>
    </row>
    <row r="108" spans="1:9" x14ac:dyDescent="0.3">
      <c r="A108" t="s">
        <v>371</v>
      </c>
      <c r="B108" s="1">
        <f>B94</f>
        <v>3050416.56</v>
      </c>
      <c r="C108" s="1">
        <f>B81</f>
        <v>2431524.4</v>
      </c>
      <c r="D108" s="1">
        <f>B68</f>
        <v>4659105.45</v>
      </c>
      <c r="E108" s="1">
        <f>B55</f>
        <v>3924614.77</v>
      </c>
      <c r="F108" s="1">
        <f>B42</f>
        <v>4722456.88</v>
      </c>
      <c r="G108" s="1">
        <f>B29</f>
        <v>5746625.1399999997</v>
      </c>
      <c r="H108" s="1">
        <f>B16</f>
        <v>12605693.1</v>
      </c>
      <c r="I108" s="1">
        <f>B3</f>
        <v>10805450.789999999</v>
      </c>
    </row>
    <row r="109" spans="1:9" x14ac:dyDescent="0.3">
      <c r="A109" t="s">
        <v>378</v>
      </c>
      <c r="B109" s="1">
        <f>B101</f>
        <v>2065318.6</v>
      </c>
      <c r="C109" s="1">
        <f>B88</f>
        <v>2023440.03</v>
      </c>
      <c r="D109" s="1">
        <f>B75</f>
        <v>1689766.88</v>
      </c>
      <c r="E109" s="1">
        <f>B62</f>
        <v>2051547.95</v>
      </c>
      <c r="F109" s="1">
        <f>B49</f>
        <v>1544175.99</v>
      </c>
      <c r="G109" s="1">
        <f>B36</f>
        <v>1969290.53</v>
      </c>
      <c r="H109" s="1">
        <f>B23</f>
        <v>2457755.77</v>
      </c>
      <c r="I109" s="1">
        <f>B10</f>
        <v>4792177.95</v>
      </c>
    </row>
    <row r="110" spans="1:9" x14ac:dyDescent="0.3">
      <c r="A110" t="s">
        <v>375</v>
      </c>
      <c r="B110" s="1">
        <f>B98</f>
        <v>2871037.13</v>
      </c>
      <c r="C110" s="1">
        <f>B85</f>
        <v>377858.56</v>
      </c>
      <c r="D110" s="1">
        <f>B72</f>
        <v>1911145.48</v>
      </c>
      <c r="E110" s="1">
        <f>B59</f>
        <v>46635.23</v>
      </c>
      <c r="F110" s="1">
        <f>B46</f>
        <v>20401.37</v>
      </c>
      <c r="G110" s="1">
        <f>B33</f>
        <v>51918.83</v>
      </c>
      <c r="H110" s="1">
        <f>B20</f>
        <v>100853.6</v>
      </c>
      <c r="I110" s="1">
        <f>B7</f>
        <v>3747835.02</v>
      </c>
    </row>
    <row r="111" spans="1:9" x14ac:dyDescent="0.3">
      <c r="A111" t="s">
        <v>372</v>
      </c>
      <c r="B111" s="1">
        <f>B95</f>
        <v>0</v>
      </c>
      <c r="C111" s="1">
        <f>B82</f>
        <v>292486.08</v>
      </c>
      <c r="D111" s="1">
        <f>B69</f>
        <v>1187577.72</v>
      </c>
      <c r="E111" s="1">
        <f>B56</f>
        <v>1285423.22</v>
      </c>
      <c r="F111" s="1">
        <f>B43</f>
        <v>1900315.32</v>
      </c>
      <c r="G111" s="1">
        <f>B30</f>
        <v>1604176.43</v>
      </c>
      <c r="H111" s="1">
        <f>B17</f>
        <v>1321649.48</v>
      </c>
      <c r="I111" s="1">
        <f>B4</f>
        <v>1803797.66</v>
      </c>
    </row>
    <row r="112" spans="1:9" x14ac:dyDescent="0.3">
      <c r="A112" t="s">
        <v>376</v>
      </c>
      <c r="B112" s="1">
        <f>B99</f>
        <v>329166.09999999998</v>
      </c>
      <c r="C112" s="1">
        <f>B86</f>
        <v>328532.82</v>
      </c>
      <c r="D112" s="1">
        <f>B73</f>
        <v>295188.31</v>
      </c>
      <c r="E112" s="1">
        <f>B60</f>
        <v>295188.31</v>
      </c>
      <c r="F112" s="1">
        <f>B47</f>
        <v>295188.31</v>
      </c>
      <c r="G112" s="1">
        <f>B34</f>
        <v>293602.87</v>
      </c>
      <c r="H112" s="1">
        <f>B21</f>
        <v>475531.99</v>
      </c>
      <c r="I112" s="1">
        <f>B8</f>
        <v>392492.04</v>
      </c>
    </row>
    <row r="113" spans="1:9" x14ac:dyDescent="0.3">
      <c r="A113" t="s">
        <v>374</v>
      </c>
      <c r="B113" s="1">
        <f>B97</f>
        <v>315726.96000000002</v>
      </c>
      <c r="C113" s="1">
        <f>B84</f>
        <v>444894.58</v>
      </c>
      <c r="D113" s="1">
        <f>B71</f>
        <v>29876.73</v>
      </c>
      <c r="E113" s="1">
        <f>B58</f>
        <v>185000</v>
      </c>
      <c r="F113" s="1">
        <f>B45</f>
        <v>260000</v>
      </c>
      <c r="G113" s="1">
        <f>B32</f>
        <v>0</v>
      </c>
      <c r="H113" s="1">
        <f>B19</f>
        <v>695556.72</v>
      </c>
      <c r="I113" s="1">
        <f>B6</f>
        <v>0</v>
      </c>
    </row>
    <row r="114" spans="1:9" x14ac:dyDescent="0.3">
      <c r="A114" t="s">
        <v>377</v>
      </c>
      <c r="B114" s="1">
        <f>B100</f>
        <v>0</v>
      </c>
      <c r="C114" s="1">
        <f>B87</f>
        <v>0</v>
      </c>
      <c r="D114" s="1">
        <f>B74</f>
        <v>0</v>
      </c>
      <c r="E114" s="1">
        <f>B61</f>
        <v>0</v>
      </c>
      <c r="F114" s="1">
        <f>B48</f>
        <v>0</v>
      </c>
      <c r="G114" s="1">
        <f>B35</f>
        <v>0</v>
      </c>
      <c r="H114" s="1">
        <f>B22</f>
        <v>0</v>
      </c>
      <c r="I114" s="1">
        <f>B9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" sqref="J1:J1048576"/>
    </sheetView>
  </sheetViews>
  <sheetFormatPr defaultRowHeight="14.4" x14ac:dyDescent="0.3"/>
  <cols>
    <col min="1" max="1" width="40.77734375" bestFit="1" customWidth="1"/>
    <col min="2" max="6" width="11.5546875" bestFit="1" customWidth="1"/>
    <col min="7" max="9" width="12.5546875" bestFit="1" customWidth="1"/>
  </cols>
  <sheetData>
    <row r="1" spans="1:11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1" x14ac:dyDescent="0.3">
      <c r="A2" s="5" t="s">
        <v>39</v>
      </c>
      <c r="B2" s="1">
        <v>11462600.130000001</v>
      </c>
      <c r="C2" s="1">
        <v>11151897.890000001</v>
      </c>
      <c r="D2" s="1">
        <v>11327818.439999999</v>
      </c>
      <c r="E2" s="1">
        <v>11019086.119999999</v>
      </c>
      <c r="F2" s="1">
        <v>9698898.4100000001</v>
      </c>
      <c r="G2" s="1">
        <v>9852370.9299999997</v>
      </c>
      <c r="H2" s="1">
        <v>11204208.859999999</v>
      </c>
      <c r="I2" s="1">
        <v>14154008.52</v>
      </c>
      <c r="J2" s="6">
        <f t="shared" ref="J2:J17" si="0">I2/I$15*100</f>
        <v>15.412045473715644</v>
      </c>
      <c r="K2" s="6"/>
    </row>
    <row r="3" spans="1:11" x14ac:dyDescent="0.3">
      <c r="A3" s="5" t="s">
        <v>40</v>
      </c>
      <c r="B3" s="1">
        <v>1227</v>
      </c>
      <c r="C3" s="1">
        <v>0</v>
      </c>
      <c r="D3" s="1">
        <v>12559.76</v>
      </c>
      <c r="E3" s="1">
        <v>19776.53</v>
      </c>
      <c r="F3" s="1">
        <v>92937.61</v>
      </c>
      <c r="G3" s="1">
        <v>41389.99</v>
      </c>
      <c r="H3" s="1">
        <v>117385.43</v>
      </c>
      <c r="I3" s="1">
        <v>239659.25</v>
      </c>
      <c r="J3" s="6">
        <f t="shared" si="0"/>
        <v>0.26096064969703625</v>
      </c>
      <c r="K3" s="6"/>
    </row>
    <row r="4" spans="1:11" x14ac:dyDescent="0.3">
      <c r="A4" s="5" t="s">
        <v>41</v>
      </c>
      <c r="B4" s="1">
        <v>23389432.41</v>
      </c>
      <c r="C4" s="1">
        <v>22058120.620000001</v>
      </c>
      <c r="D4" s="1">
        <v>34019087.43</v>
      </c>
      <c r="E4" s="1">
        <v>31191031.059999999</v>
      </c>
      <c r="F4" s="1">
        <v>37837254.149999999</v>
      </c>
      <c r="G4" s="1">
        <v>43756494.859999999</v>
      </c>
      <c r="H4" s="1">
        <v>52063198.43</v>
      </c>
      <c r="I4" s="1">
        <v>55401853.640000001</v>
      </c>
      <c r="J4" s="6">
        <f t="shared" si="0"/>
        <v>60.326082637388346</v>
      </c>
      <c r="K4" s="6"/>
    </row>
    <row r="5" spans="1:11" x14ac:dyDescent="0.3">
      <c r="A5" s="5" t="s">
        <v>42</v>
      </c>
      <c r="B5" s="1">
        <v>5580791.4400000004</v>
      </c>
      <c r="C5" s="1">
        <v>2558743.86</v>
      </c>
      <c r="D5" s="1">
        <v>7062367.6200000001</v>
      </c>
      <c r="E5" s="1">
        <v>6484699.1399999997</v>
      </c>
      <c r="F5" s="1">
        <v>8333758.6399999997</v>
      </c>
      <c r="G5" s="1">
        <v>15072099.779999999</v>
      </c>
      <c r="H5" s="1">
        <v>11257873.880000001</v>
      </c>
      <c r="I5" s="1">
        <v>9373244.4199999999</v>
      </c>
      <c r="J5" s="6">
        <f t="shared" si="0"/>
        <v>10.206357374532047</v>
      </c>
      <c r="K5" s="6"/>
    </row>
    <row r="6" spans="1:11" x14ac:dyDescent="0.3">
      <c r="A6" s="5" t="s">
        <v>43</v>
      </c>
      <c r="B6" s="1">
        <v>0</v>
      </c>
      <c r="C6" s="1">
        <v>0</v>
      </c>
      <c r="D6" s="1">
        <v>0</v>
      </c>
      <c r="E6" s="1">
        <v>0</v>
      </c>
      <c r="F6" s="1">
        <v>360435.81</v>
      </c>
      <c r="G6" s="1">
        <v>372801.28000000003</v>
      </c>
      <c r="H6" s="1">
        <v>447328.13</v>
      </c>
      <c r="I6" s="1">
        <v>41949.23</v>
      </c>
      <c r="J6" s="6">
        <f t="shared" si="0"/>
        <v>4.5677762552834511E-2</v>
      </c>
      <c r="K6" s="6"/>
    </row>
    <row r="7" spans="1:11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  <c r="K7" s="6"/>
    </row>
    <row r="8" spans="1:11" x14ac:dyDescent="0.3">
      <c r="A8" s="5" t="s">
        <v>45</v>
      </c>
      <c r="B8" s="1">
        <v>0</v>
      </c>
      <c r="C8" s="1">
        <v>135999</v>
      </c>
      <c r="D8" s="1">
        <v>113851.04</v>
      </c>
      <c r="E8" s="1">
        <v>1763.01</v>
      </c>
      <c r="F8" s="1">
        <v>0</v>
      </c>
      <c r="G8" s="1">
        <v>1178159.19</v>
      </c>
      <c r="H8" s="1">
        <v>1431435.92</v>
      </c>
      <c r="I8" s="1">
        <v>1508765.22</v>
      </c>
      <c r="J8" s="6">
        <f t="shared" si="0"/>
        <v>1.6428673295584955</v>
      </c>
      <c r="K8" s="6"/>
    </row>
    <row r="9" spans="1:11" x14ac:dyDescent="0.3">
      <c r="A9" s="5" t="s">
        <v>46</v>
      </c>
      <c r="B9" s="1">
        <v>0</v>
      </c>
      <c r="C9" s="1">
        <v>0</v>
      </c>
      <c r="D9" s="1">
        <v>0</v>
      </c>
      <c r="E9" s="1">
        <v>0</v>
      </c>
      <c r="F9" s="1">
        <v>9900</v>
      </c>
      <c r="G9" s="1">
        <v>20000</v>
      </c>
      <c r="H9" s="1">
        <v>0</v>
      </c>
      <c r="I9" s="1">
        <v>5450.49</v>
      </c>
      <c r="J9" s="6">
        <f t="shared" si="0"/>
        <v>5.9349405940609381E-3</v>
      </c>
      <c r="K9" s="6"/>
    </row>
    <row r="10" spans="1:11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6">
        <f t="shared" si="0"/>
        <v>0</v>
      </c>
      <c r="K10" s="6"/>
    </row>
    <row r="11" spans="1:11" x14ac:dyDescent="0.3">
      <c r="A11" s="5" t="s">
        <v>48</v>
      </c>
      <c r="B11" s="1">
        <v>1061605.8</v>
      </c>
      <c r="C11" s="1">
        <v>702313.83</v>
      </c>
      <c r="D11" s="1">
        <v>1886790.73</v>
      </c>
      <c r="E11" s="1">
        <v>515101.86</v>
      </c>
      <c r="F11" s="1">
        <v>276934.05</v>
      </c>
      <c r="G11" s="1">
        <v>212856.12</v>
      </c>
      <c r="H11" s="1">
        <v>2363854.0299999998</v>
      </c>
      <c r="I11" s="1">
        <v>7239256.8799999999</v>
      </c>
      <c r="J11" s="6">
        <f t="shared" si="0"/>
        <v>7.8826966984522375</v>
      </c>
      <c r="K11" s="6"/>
    </row>
    <row r="12" spans="1:11" x14ac:dyDescent="0.3">
      <c r="A12" s="5" t="s">
        <v>49</v>
      </c>
      <c r="B12" s="1">
        <v>515178.33</v>
      </c>
      <c r="C12" s="1">
        <v>41938.99</v>
      </c>
      <c r="D12" s="1">
        <v>84616.09</v>
      </c>
      <c r="E12" s="1">
        <v>31864.43</v>
      </c>
      <c r="F12" s="1">
        <v>6000</v>
      </c>
      <c r="G12" s="1">
        <v>46842.21</v>
      </c>
      <c r="H12" s="1">
        <v>20561.71</v>
      </c>
      <c r="I12" s="1">
        <v>3747928.02</v>
      </c>
      <c r="J12" s="6">
        <f t="shared" si="0"/>
        <v>4.0810514558354267</v>
      </c>
      <c r="K12" s="6"/>
    </row>
    <row r="13" spans="1:11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6">
        <f t="shared" si="0"/>
        <v>0</v>
      </c>
      <c r="K13" s="6"/>
    </row>
    <row r="14" spans="1:11" x14ac:dyDescent="0.3">
      <c r="A14" s="5" t="s">
        <v>51</v>
      </c>
      <c r="B14" s="1">
        <v>0</v>
      </c>
      <c r="C14" s="1">
        <v>0</v>
      </c>
      <c r="D14" s="1">
        <v>0</v>
      </c>
      <c r="E14" s="1">
        <v>35709.1</v>
      </c>
      <c r="F14" s="1">
        <v>0</v>
      </c>
      <c r="G14" s="1">
        <v>0</v>
      </c>
      <c r="H14" s="1">
        <v>700556.72</v>
      </c>
      <c r="I14" s="1">
        <v>125197.84</v>
      </c>
      <c r="J14" s="6">
        <f t="shared" si="0"/>
        <v>0.13632567767388734</v>
      </c>
      <c r="K14" s="6"/>
    </row>
    <row r="15" spans="1:11" x14ac:dyDescent="0.3">
      <c r="A15" s="125" t="s">
        <v>380</v>
      </c>
      <c r="B15" s="3">
        <f t="shared" ref="B15:H15" si="1">SUM(B2:B14)</f>
        <v>42010835.109999992</v>
      </c>
      <c r="C15" s="3">
        <f t="shared" si="1"/>
        <v>36649014.190000005</v>
      </c>
      <c r="D15" s="3">
        <f t="shared" si="1"/>
        <v>54507091.109999992</v>
      </c>
      <c r="E15" s="3">
        <f t="shared" si="1"/>
        <v>49299031.249999993</v>
      </c>
      <c r="F15" s="3">
        <f t="shared" si="1"/>
        <v>56616118.670000002</v>
      </c>
      <c r="G15" s="3">
        <f t="shared" si="1"/>
        <v>70553014.359999999</v>
      </c>
      <c r="H15" s="3">
        <f t="shared" si="1"/>
        <v>79606403.109999985</v>
      </c>
      <c r="I15" s="3">
        <f t="shared" ref="I15" si="2">SUM(I2:I14)</f>
        <v>91837313.50999999</v>
      </c>
      <c r="J15" s="6">
        <f t="shared" si="0"/>
        <v>100</v>
      </c>
      <c r="K15" s="6"/>
    </row>
    <row r="16" spans="1:11" x14ac:dyDescent="0.3">
      <c r="A16" s="125" t="s">
        <v>381</v>
      </c>
      <c r="B16" s="3">
        <f t="shared" ref="B16:H16" si="3">SUM(B2:B9)</f>
        <v>40434050.979999997</v>
      </c>
      <c r="C16" s="3">
        <f t="shared" si="3"/>
        <v>35904761.370000005</v>
      </c>
      <c r="D16" s="3">
        <f t="shared" si="3"/>
        <v>52535684.289999992</v>
      </c>
      <c r="E16" s="3">
        <f t="shared" si="3"/>
        <v>48716355.859999992</v>
      </c>
      <c r="F16" s="3">
        <f t="shared" si="3"/>
        <v>56333184.620000005</v>
      </c>
      <c r="G16" s="3">
        <f t="shared" ref="G16" si="4">SUM(G2:G9)</f>
        <v>70293316.030000001</v>
      </c>
      <c r="H16" s="3">
        <f t="shared" si="3"/>
        <v>76521430.649999991</v>
      </c>
      <c r="I16" s="3">
        <f t="shared" ref="I16" si="5">SUM(I2:I9)</f>
        <v>80724930.769999996</v>
      </c>
      <c r="J16" s="6">
        <f t="shared" si="0"/>
        <v>87.899926168038462</v>
      </c>
      <c r="K16" s="6"/>
    </row>
    <row r="17" spans="1:11" x14ac:dyDescent="0.3">
      <c r="A17" s="125" t="s">
        <v>382</v>
      </c>
      <c r="B17" s="3">
        <f t="shared" ref="B17:H17" si="6">SUM(B10:B14)</f>
        <v>1576784.1300000001</v>
      </c>
      <c r="C17" s="3">
        <f t="shared" si="6"/>
        <v>744252.82</v>
      </c>
      <c r="D17" s="3">
        <f t="shared" si="6"/>
        <v>1971406.82</v>
      </c>
      <c r="E17" s="3">
        <f t="shared" si="6"/>
        <v>582675.39</v>
      </c>
      <c r="F17" s="3">
        <f t="shared" si="6"/>
        <v>282934.05</v>
      </c>
      <c r="G17" s="3">
        <f t="shared" ref="G17" si="7">SUM(G10:G14)</f>
        <v>259698.33</v>
      </c>
      <c r="H17" s="3">
        <f t="shared" si="6"/>
        <v>3084972.46</v>
      </c>
      <c r="I17" s="3">
        <f t="shared" ref="I17" si="8">SUM(I10:I14)</f>
        <v>11112382.74</v>
      </c>
      <c r="J17" s="6">
        <f t="shared" si="0"/>
        <v>12.100073831961552</v>
      </c>
      <c r="K17" s="6"/>
    </row>
    <row r="18" spans="1:11" x14ac:dyDescent="0.3">
      <c r="A18" s="126" t="s">
        <v>383</v>
      </c>
      <c r="B18" s="127">
        <f>B16/B15*100</f>
        <v>96.246720338047581</v>
      </c>
      <c r="C18" s="127">
        <f t="shared" ref="C18:H18" si="9">C16/C15*100</f>
        <v>97.969241911551677</v>
      </c>
      <c r="D18" s="127">
        <f t="shared" si="9"/>
        <v>96.383210367947285</v>
      </c>
      <c r="E18" s="127">
        <f t="shared" si="9"/>
        <v>98.81807943234179</v>
      </c>
      <c r="F18" s="127">
        <f t="shared" si="9"/>
        <v>99.500258836800271</v>
      </c>
      <c r="G18" s="127">
        <f t="shared" ref="G18" si="10">G16/G15*100</f>
        <v>99.631910369307718</v>
      </c>
      <c r="H18" s="127">
        <f t="shared" si="9"/>
        <v>96.124718189142172</v>
      </c>
      <c r="I18" s="127">
        <f t="shared" ref="I18" si="11">I16/I15*100</f>
        <v>87.899926168038462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2" width="12.6640625" bestFit="1" customWidth="1"/>
    <col min="3" max="4" width="11.88671875" bestFit="1" customWidth="1"/>
    <col min="5" max="10" width="12.6640625" bestFit="1" customWidth="1"/>
    <col min="13" max="13" width="10" bestFit="1" customWidth="1"/>
  </cols>
  <sheetData>
    <row r="1" spans="1:10" x14ac:dyDescent="0.3">
      <c r="A1" s="41"/>
      <c r="B1" s="98">
        <v>2015</v>
      </c>
      <c r="C1" s="98">
        <v>2016</v>
      </c>
      <c r="D1" s="98">
        <v>2017</v>
      </c>
      <c r="E1" s="69">
        <v>2018</v>
      </c>
      <c r="F1" s="69">
        <v>2019</v>
      </c>
      <c r="G1" s="69">
        <v>2020</v>
      </c>
      <c r="H1" s="69">
        <v>2021</v>
      </c>
      <c r="I1" s="69">
        <v>2022</v>
      </c>
      <c r="J1" s="69">
        <v>2023</v>
      </c>
    </row>
    <row r="2" spans="1:10" x14ac:dyDescent="0.3">
      <c r="A2" t="s">
        <v>5</v>
      </c>
      <c r="B2" s="1">
        <v>87133458.370000005</v>
      </c>
      <c r="C2" s="1">
        <v>59696813.93</v>
      </c>
      <c r="D2" s="1">
        <v>30786921.050000001</v>
      </c>
      <c r="E2" s="1">
        <v>9849687.5700000003</v>
      </c>
      <c r="F2" s="1">
        <v>7758004.8200000003</v>
      </c>
      <c r="G2" s="1">
        <v>5057334.47</v>
      </c>
      <c r="H2" s="1">
        <v>31290687.66</v>
      </c>
      <c r="I2" s="1">
        <v>30173390.710000001</v>
      </c>
      <c r="J2" s="1">
        <v>338140364.67000002</v>
      </c>
    </row>
    <row r="3" spans="1:10" x14ac:dyDescent="0.3">
      <c r="A3" t="s">
        <v>6</v>
      </c>
      <c r="B3" s="1">
        <v>1010227231.8099999</v>
      </c>
      <c r="C3" s="1">
        <v>856891950.07000005</v>
      </c>
      <c r="D3" s="1">
        <v>999249697.92999995</v>
      </c>
      <c r="E3" s="1">
        <v>1077535823.6700001</v>
      </c>
      <c r="F3" s="1">
        <v>1211125892.47</v>
      </c>
      <c r="G3" s="1">
        <v>1192995024.97</v>
      </c>
      <c r="H3" s="1">
        <v>1290436299.97</v>
      </c>
      <c r="I3" s="1">
        <v>1294893910.8199999</v>
      </c>
      <c r="J3" s="1">
        <v>1136265911.8800001</v>
      </c>
    </row>
    <row r="4" spans="1:10" x14ac:dyDescent="0.3">
      <c r="A4" t="s">
        <v>7</v>
      </c>
      <c r="B4" s="1">
        <v>413201044.60000002</v>
      </c>
      <c r="C4" s="1">
        <v>404664852.70999998</v>
      </c>
      <c r="D4" s="1">
        <v>355372974.19999999</v>
      </c>
      <c r="E4" s="1">
        <v>348572864.19999999</v>
      </c>
      <c r="F4" s="1">
        <v>382163482.74000001</v>
      </c>
      <c r="G4" s="1">
        <v>367492501.89999998</v>
      </c>
      <c r="H4" s="1">
        <v>342644571.99000001</v>
      </c>
      <c r="I4" s="1">
        <v>338867429.62</v>
      </c>
      <c r="J4" s="1">
        <v>301503316.94999999</v>
      </c>
    </row>
    <row r="5" spans="1:10" x14ac:dyDescent="0.3">
      <c r="A5" t="s">
        <v>8</v>
      </c>
      <c r="B5" s="1">
        <v>41023933.869999997</v>
      </c>
      <c r="C5" s="1">
        <v>32495246.420000002</v>
      </c>
      <c r="D5" s="1">
        <v>25512906.18</v>
      </c>
      <c r="E5" s="1">
        <v>15138296.050000001</v>
      </c>
      <c r="F5" s="1">
        <v>13936454.09</v>
      </c>
      <c r="G5" s="1">
        <v>24335548.41</v>
      </c>
      <c r="H5" s="1">
        <v>41690984.969999999</v>
      </c>
      <c r="I5" s="1">
        <v>34058857.079999998</v>
      </c>
      <c r="J5" s="1">
        <v>52381849.590000004</v>
      </c>
    </row>
    <row r="6" spans="1:10" x14ac:dyDescent="0.3">
      <c r="A6" t="s">
        <v>9</v>
      </c>
      <c r="B6" s="1">
        <v>248071200.58000001</v>
      </c>
      <c r="C6" s="1">
        <v>266507092.78</v>
      </c>
      <c r="D6" s="1">
        <v>247923564.72</v>
      </c>
      <c r="E6" s="1">
        <v>205533877.38999999</v>
      </c>
      <c r="F6" s="1">
        <v>172652187.41</v>
      </c>
      <c r="G6" s="1">
        <v>153776620.63999999</v>
      </c>
      <c r="H6" s="1">
        <v>101960833.64</v>
      </c>
      <c r="I6" s="1">
        <v>175980805.68000001</v>
      </c>
      <c r="J6" s="1">
        <v>229886590.44999999</v>
      </c>
    </row>
    <row r="7" spans="1:10" x14ac:dyDescent="0.3">
      <c r="A7" s="4" t="s">
        <v>0</v>
      </c>
      <c r="B7" s="3">
        <f t="shared" ref="B7" si="0">B2+B3-B4-B5-B6</f>
        <v>395064511.12999976</v>
      </c>
      <c r="C7" s="3">
        <f t="shared" ref="C7:D7" si="1">C2+C3-C4-C5-C6</f>
        <v>212921572.09</v>
      </c>
      <c r="D7" s="3">
        <f t="shared" si="1"/>
        <v>401227173.88</v>
      </c>
      <c r="E7" s="3">
        <f>E2+E3-E4-E5-E6</f>
        <v>518140473.60000002</v>
      </c>
      <c r="F7" s="3">
        <f t="shared" ref="F7" si="2">F2+F3-F4-F5-F6</f>
        <v>650131773.04999995</v>
      </c>
      <c r="G7" s="3">
        <f t="shared" ref="G7:J7" si="3">G2+G3-G4-G5-G6</f>
        <v>652447688.49000013</v>
      </c>
      <c r="H7" s="3">
        <f t="shared" ref="H7:I7" si="4">H2+H3-H4-H5-H6</f>
        <v>835430597.03000009</v>
      </c>
      <c r="I7" s="3">
        <f t="shared" si="4"/>
        <v>776160209.14999986</v>
      </c>
      <c r="J7" s="3">
        <f t="shared" si="3"/>
        <v>890634519.56000018</v>
      </c>
    </row>
    <row r="8" spans="1:10" x14ac:dyDescent="0.3">
      <c r="A8" t="s">
        <v>10</v>
      </c>
      <c r="B8" s="1">
        <v>450140399.02999997</v>
      </c>
      <c r="C8" s="1">
        <v>263695637.56999999</v>
      </c>
      <c r="D8" s="1">
        <v>355081999.31</v>
      </c>
      <c r="E8" s="1">
        <v>418318044.66000003</v>
      </c>
      <c r="F8" s="1">
        <v>842915365.83000004</v>
      </c>
      <c r="G8" s="1">
        <v>827278563.88999999</v>
      </c>
      <c r="H8" s="1">
        <v>830131949.89999998</v>
      </c>
      <c r="I8" s="1">
        <v>682838899.69000006</v>
      </c>
      <c r="J8" s="1">
        <v>721111539.17999995</v>
      </c>
    </row>
    <row r="9" spans="1:10" x14ac:dyDescent="0.3">
      <c r="A9" t="s">
        <v>11</v>
      </c>
      <c r="B9" s="1">
        <v>0</v>
      </c>
      <c r="C9" s="1">
        <v>0</v>
      </c>
      <c r="D9" s="1">
        <v>0</v>
      </c>
      <c r="E9" s="1">
        <v>46196677.380000003</v>
      </c>
      <c r="F9" s="1">
        <v>44678538.280000001</v>
      </c>
      <c r="G9" s="1">
        <v>43143138.280000001</v>
      </c>
      <c r="H9" s="1">
        <v>41590272.009999998</v>
      </c>
      <c r="I9" s="1">
        <v>40019731.549999997</v>
      </c>
      <c r="J9" s="1">
        <v>38431306.43</v>
      </c>
    </row>
    <row r="10" spans="1:10" x14ac:dyDescent="0.3">
      <c r="A10" t="s">
        <v>12</v>
      </c>
      <c r="B10" s="1">
        <v>0</v>
      </c>
      <c r="C10" s="1">
        <v>0</v>
      </c>
      <c r="D10" s="1">
        <v>0</v>
      </c>
      <c r="E10" s="1">
        <v>41066943.729999997</v>
      </c>
      <c r="F10" s="1">
        <v>78933744.980000004</v>
      </c>
      <c r="G10" s="1">
        <v>36261368.799999997</v>
      </c>
      <c r="H10" s="1">
        <v>6829764</v>
      </c>
      <c r="I10" s="1">
        <v>615709</v>
      </c>
      <c r="J10" s="1">
        <v>31782309</v>
      </c>
    </row>
    <row r="11" spans="1:10" x14ac:dyDescent="0.3">
      <c r="A11" t="s">
        <v>13</v>
      </c>
      <c r="B11" s="1">
        <v>0</v>
      </c>
      <c r="C11" s="1">
        <v>0</v>
      </c>
      <c r="D11" s="1">
        <v>0</v>
      </c>
      <c r="E11" s="1">
        <v>72512877.450000003</v>
      </c>
      <c r="F11" s="1">
        <v>64512017.039999999</v>
      </c>
      <c r="G11" s="1">
        <v>62831214.399999999</v>
      </c>
      <c r="H11" s="1">
        <v>107010875.12</v>
      </c>
      <c r="I11" s="1">
        <v>93882711.379999995</v>
      </c>
      <c r="J11" s="1">
        <v>90841960.579999998</v>
      </c>
    </row>
    <row r="12" spans="1:10" x14ac:dyDescent="0.3">
      <c r="A12" t="s">
        <v>14</v>
      </c>
      <c r="B12" s="1">
        <v>39656954.399999999</v>
      </c>
      <c r="C12" s="1">
        <v>99581927.409999996</v>
      </c>
      <c r="D12" s="1">
        <v>156587017.22999999</v>
      </c>
      <c r="E12" s="1">
        <v>54961460.5</v>
      </c>
      <c r="F12" s="1">
        <v>69191963.189999998</v>
      </c>
      <c r="G12" s="1">
        <v>90489881.980000004</v>
      </c>
      <c r="H12" s="1">
        <v>113868374.5</v>
      </c>
      <c r="I12" s="1">
        <v>119686213.27</v>
      </c>
      <c r="J12" s="1">
        <v>98979755.810000002</v>
      </c>
    </row>
    <row r="13" spans="1:10" x14ac:dyDescent="0.3">
      <c r="A13" s="4" t="s">
        <v>1</v>
      </c>
      <c r="B13" s="3">
        <f t="shared" ref="B13" si="5">SUM(B8:B12)</f>
        <v>489797353.42999995</v>
      </c>
      <c r="C13" s="3">
        <f t="shared" ref="C13:D13" si="6">SUM(C8:C12)</f>
        <v>363277564.98000002</v>
      </c>
      <c r="D13" s="3">
        <f t="shared" si="6"/>
        <v>511669016.53999996</v>
      </c>
      <c r="E13" s="3">
        <f>SUM(E8:E12)</f>
        <v>633056003.72000003</v>
      </c>
      <c r="F13" s="3">
        <f t="shared" ref="F13:J13" si="7">SUM(F8:F12)</f>
        <v>1100231629.3199999</v>
      </c>
      <c r="G13" s="3">
        <f t="shared" si="7"/>
        <v>1060004167.3499999</v>
      </c>
      <c r="H13" s="3">
        <f t="shared" si="7"/>
        <v>1099431235.53</v>
      </c>
      <c r="I13" s="3">
        <f t="shared" si="7"/>
        <v>937043264.88999999</v>
      </c>
      <c r="J13" s="3">
        <f t="shared" si="7"/>
        <v>981146871</v>
      </c>
    </row>
    <row r="14" spans="1:10" x14ac:dyDescent="0.3">
      <c r="A14" t="s">
        <v>16</v>
      </c>
      <c r="B14" s="1">
        <v>14219136.859999999</v>
      </c>
      <c r="C14" s="1">
        <v>16352625.140000001</v>
      </c>
      <c r="D14" s="1">
        <v>22349972.539999999</v>
      </c>
      <c r="E14" s="1">
        <v>12254352.880000001</v>
      </c>
      <c r="F14" s="1">
        <v>24308903.84</v>
      </c>
      <c r="G14" s="1">
        <v>29894855.440000001</v>
      </c>
      <c r="H14" s="1">
        <v>50327424.229999997</v>
      </c>
      <c r="I14" s="1">
        <v>47931986.979999997</v>
      </c>
      <c r="J14" s="1">
        <v>72366299</v>
      </c>
    </row>
    <row r="15" spans="1:10" x14ac:dyDescent="0.3">
      <c r="A15" t="s">
        <v>15</v>
      </c>
      <c r="B15" s="1">
        <v>195146774.31999999</v>
      </c>
      <c r="C15" s="1">
        <v>147923659.97</v>
      </c>
      <c r="D15" s="1">
        <v>169883908.28</v>
      </c>
      <c r="E15" s="1">
        <v>155247310.56999999</v>
      </c>
      <c r="F15" s="1">
        <v>112481351.12</v>
      </c>
      <c r="G15" s="1">
        <v>137307076.55000001</v>
      </c>
      <c r="H15" s="1">
        <v>148474558.90000001</v>
      </c>
      <c r="I15" s="1">
        <v>177002838.38</v>
      </c>
      <c r="J15" s="1">
        <v>164650019.55000001</v>
      </c>
    </row>
    <row r="16" spans="1:10" x14ac:dyDescent="0.3">
      <c r="A16" t="s">
        <v>17</v>
      </c>
      <c r="B16" s="1">
        <v>54571544.850000001</v>
      </c>
      <c r="C16" s="1">
        <v>41242900.789999999</v>
      </c>
      <c r="D16" s="1">
        <v>36655738.090000004</v>
      </c>
      <c r="E16" s="1">
        <v>38350663.460000001</v>
      </c>
      <c r="F16" s="1">
        <v>39546242.149999999</v>
      </c>
      <c r="G16" s="1">
        <v>39718219.170000002</v>
      </c>
      <c r="H16" s="1">
        <v>41408105.340000004</v>
      </c>
      <c r="I16" s="1">
        <v>42963369.799999997</v>
      </c>
      <c r="J16" s="1">
        <v>44190169.520000003</v>
      </c>
    </row>
    <row r="17" spans="1:10" x14ac:dyDescent="0.3">
      <c r="A17" t="s">
        <v>18</v>
      </c>
      <c r="B17" s="1">
        <v>966089.92</v>
      </c>
      <c r="C17" s="1">
        <v>1100275.08</v>
      </c>
      <c r="D17" s="1">
        <v>2076834.22</v>
      </c>
      <c r="E17" s="1">
        <v>2100311.2200000002</v>
      </c>
      <c r="F17" s="1">
        <v>2165870.64</v>
      </c>
      <c r="G17" s="1">
        <v>2165870.64</v>
      </c>
      <c r="H17" s="1">
        <v>2165870.64</v>
      </c>
      <c r="I17" s="1">
        <v>2165870.64</v>
      </c>
      <c r="J17" s="1">
        <v>2165870.64</v>
      </c>
    </row>
    <row r="18" spans="1:10" x14ac:dyDescent="0.3">
      <c r="A18" t="s">
        <v>19</v>
      </c>
      <c r="B18" s="1">
        <v>16726052.060000001</v>
      </c>
      <c r="C18" s="1">
        <v>674836.22</v>
      </c>
      <c r="D18" s="1">
        <v>674836.22</v>
      </c>
      <c r="E18" s="1">
        <v>0</v>
      </c>
      <c r="F18" s="1">
        <v>254.63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3">
      <c r="A19" s="4" t="s">
        <v>2</v>
      </c>
      <c r="B19" s="3">
        <f t="shared" ref="B19" si="8">SUM(B14:B18)</f>
        <v>281629598.00999999</v>
      </c>
      <c r="C19" s="3">
        <f t="shared" ref="C19:D19" si="9">SUM(C14:C18)</f>
        <v>207294297.20000002</v>
      </c>
      <c r="D19" s="3">
        <f t="shared" si="9"/>
        <v>231641289.34999999</v>
      </c>
      <c r="E19" s="3">
        <f>SUM(E14:E18)</f>
        <v>207952638.13</v>
      </c>
      <c r="F19" s="3">
        <f t="shared" ref="F19:J19" si="10">SUM(F14:F18)</f>
        <v>178502622.38</v>
      </c>
      <c r="G19" s="3">
        <f t="shared" si="10"/>
        <v>209086021.80000001</v>
      </c>
      <c r="H19" s="3">
        <f t="shared" si="10"/>
        <v>242375959.10999998</v>
      </c>
      <c r="I19" s="3">
        <f t="shared" si="10"/>
        <v>270064065.79999995</v>
      </c>
      <c r="J19" s="3">
        <f t="shared" si="10"/>
        <v>283372358.70999998</v>
      </c>
    </row>
    <row r="20" spans="1:10" x14ac:dyDescent="0.3">
      <c r="A20" s="4" t="s">
        <v>3</v>
      </c>
      <c r="B20" s="3">
        <v>5371673.9199999999</v>
      </c>
      <c r="C20" s="3">
        <v>9337844.0899999999</v>
      </c>
      <c r="D20" s="3">
        <v>11701237.01</v>
      </c>
      <c r="E20" s="3">
        <v>17712435.609999999</v>
      </c>
      <c r="F20" s="3">
        <v>6631914.0499999998</v>
      </c>
      <c r="G20" s="3">
        <v>5388126.8799999999</v>
      </c>
      <c r="H20" s="3">
        <v>9076854.4100000001</v>
      </c>
      <c r="I20" s="3">
        <v>5143829.41</v>
      </c>
      <c r="J20" s="3">
        <v>7245517.6299999999</v>
      </c>
    </row>
    <row r="21" spans="1:10" x14ac:dyDescent="0.3">
      <c r="A21" s="70" t="s">
        <v>4</v>
      </c>
      <c r="B21" s="37">
        <f t="shared" ref="B21:C21" si="11">B7-B13-B19-B20</f>
        <v>-381734114.2300002</v>
      </c>
      <c r="C21" s="37">
        <f t="shared" si="11"/>
        <v>-366988134.18000001</v>
      </c>
      <c r="D21" s="37">
        <f>D7-D13-D19-D20</f>
        <v>-353784369.01999998</v>
      </c>
      <c r="E21" s="37">
        <f>E7-E13-E19-E20</f>
        <v>-340580603.86000001</v>
      </c>
      <c r="F21" s="37">
        <f t="shared" ref="F21:J21" si="12">F7-F13-F19-F20</f>
        <v>-635234392.69999993</v>
      </c>
      <c r="G21" s="37">
        <f t="shared" si="12"/>
        <v>-622030627.53999984</v>
      </c>
      <c r="H21" s="37">
        <f t="shared" si="12"/>
        <v>-515453452.01999992</v>
      </c>
      <c r="I21" s="37">
        <f t="shared" ref="I21" si="13">I7-I13-I19-I20</f>
        <v>-436090950.95000011</v>
      </c>
      <c r="J21" s="37">
        <f t="shared" si="12"/>
        <v>-381130227.77999979</v>
      </c>
    </row>
    <row r="22" spans="1:10" x14ac:dyDescent="0.3">
      <c r="A22" t="s">
        <v>355</v>
      </c>
      <c r="C22" s="1">
        <v>-284443433.75</v>
      </c>
      <c r="D22" s="1">
        <v>-45003083.240000002</v>
      </c>
      <c r="E22" s="1">
        <v>-114679231.18000001</v>
      </c>
      <c r="F22" s="1">
        <v>-146346790.43000001</v>
      </c>
      <c r="G22" s="1">
        <v>-225764326.43000001</v>
      </c>
      <c r="H22" s="1">
        <v>-200695516.02000001</v>
      </c>
      <c r="I22" s="1">
        <v>-385437717.02999997</v>
      </c>
      <c r="J22" s="1">
        <v>-122848391.23</v>
      </c>
    </row>
    <row r="23" spans="1:10" x14ac:dyDescent="0.3">
      <c r="A23" t="s">
        <v>356</v>
      </c>
      <c r="B23" s="6">
        <f>B8/B3*100</f>
        <v>44.55833151750366</v>
      </c>
      <c r="C23" s="6">
        <f>C8/C3*100</f>
        <v>30.773499219879302</v>
      </c>
      <c r="D23" s="6">
        <f>D8/D3*100</f>
        <v>35.534861811374242</v>
      </c>
      <c r="E23" s="6">
        <f>E8/E3*100</f>
        <v>38.821729679041439</v>
      </c>
      <c r="F23" s="6">
        <f t="shared" ref="F23" si="14">F8/F3*100</f>
        <v>69.597667019647119</v>
      </c>
      <c r="G23" s="6">
        <f t="shared" ref="G23:J23" si="15">G8/G3*100</f>
        <v>69.344678441622449</v>
      </c>
      <c r="H23" s="6">
        <f t="shared" ref="H23:I23" si="16">H8/H3*100</f>
        <v>64.329556594099131</v>
      </c>
      <c r="I23" s="6">
        <f t="shared" si="16"/>
        <v>52.733192579273769</v>
      </c>
      <c r="J23" s="6">
        <f t="shared" si="15"/>
        <v>63.463273133565224</v>
      </c>
    </row>
  </sheetData>
  <conditionalFormatting sqref="C21:F21 J21">
    <cfRule type="cellIs" dxfId="128" priority="27" operator="greaterThan">
      <formula>0</formula>
    </cfRule>
  </conditionalFormatting>
  <conditionalFormatting sqref="C21:F21 J21">
    <cfRule type="cellIs" dxfId="127" priority="24" operator="greaterThan">
      <formula>0</formula>
    </cfRule>
    <cfRule type="cellIs" dxfId="126" priority="25" operator="lessThan">
      <formula>0</formula>
    </cfRule>
  </conditionalFormatting>
  <conditionalFormatting sqref="B21">
    <cfRule type="cellIs" dxfId="125" priority="18" operator="greaterThan">
      <formula>0</formula>
    </cfRule>
  </conditionalFormatting>
  <conditionalFormatting sqref="B21">
    <cfRule type="cellIs" dxfId="124" priority="16" operator="greaterThan">
      <formula>0</formula>
    </cfRule>
    <cfRule type="cellIs" dxfId="123" priority="17" operator="lessThan">
      <formula>0</formula>
    </cfRule>
  </conditionalFormatting>
  <conditionalFormatting sqref="G21">
    <cfRule type="cellIs" dxfId="122" priority="12" operator="greaterThan">
      <formula>0</formula>
    </cfRule>
  </conditionalFormatting>
  <conditionalFormatting sqref="G21">
    <cfRule type="cellIs" dxfId="121" priority="10" operator="greaterThan">
      <formula>0</formula>
    </cfRule>
    <cfRule type="cellIs" dxfId="120" priority="11" operator="lessThan">
      <formula>0</formula>
    </cfRule>
  </conditionalFormatting>
  <conditionalFormatting sqref="H21">
    <cfRule type="cellIs" dxfId="119" priority="6" operator="greaterThan">
      <formula>0</formula>
    </cfRule>
  </conditionalFormatting>
  <conditionalFormatting sqref="H21">
    <cfRule type="cellIs" dxfId="118" priority="4" operator="greaterThan">
      <formula>0</formula>
    </cfRule>
    <cfRule type="cellIs" dxfId="117" priority="5" operator="lessThan">
      <formula>0</formula>
    </cfRule>
  </conditionalFormatting>
  <conditionalFormatting sqref="I21">
    <cfRule type="cellIs" dxfId="116" priority="3" operator="greaterThan">
      <formula>0</formula>
    </cfRule>
  </conditionalFormatting>
  <conditionalFormatting sqref="I21">
    <cfRule type="cellIs" dxfId="115" priority="1" operator="greaterThan">
      <formula>0</formula>
    </cfRule>
    <cfRule type="cellIs" dxfId="114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K2" sqref="K2:K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1.109375" bestFit="1" customWidth="1"/>
    <col min="4" max="5" width="11.88671875" bestFit="1" customWidth="1"/>
    <col min="6" max="6" width="11.109375" bestFit="1" customWidth="1"/>
    <col min="7" max="8" width="11.88671875" bestFit="1" customWidth="1"/>
    <col min="9" max="11" width="12.6640625" bestFit="1" customWidth="1"/>
    <col min="12" max="12" width="12.33203125" bestFit="1" customWidth="1"/>
  </cols>
  <sheetData>
    <row r="1" spans="1:12" x14ac:dyDescent="0.3">
      <c r="C1" s="100">
        <v>2015</v>
      </c>
      <c r="D1" s="100">
        <v>2016</v>
      </c>
      <c r="E1" s="12">
        <v>2017</v>
      </c>
      <c r="F1" s="12">
        <v>2018</v>
      </c>
      <c r="G1" s="12">
        <v>2019</v>
      </c>
      <c r="H1" s="12">
        <v>2020</v>
      </c>
      <c r="I1" s="12">
        <v>2021</v>
      </c>
      <c r="J1" s="12">
        <v>2022</v>
      </c>
      <c r="K1" s="12">
        <v>2023</v>
      </c>
      <c r="L1" s="12" t="s">
        <v>266</v>
      </c>
    </row>
    <row r="2" spans="1:12" x14ac:dyDescent="0.3">
      <c r="A2" t="s">
        <v>236</v>
      </c>
      <c r="B2" s="26" t="s">
        <v>260</v>
      </c>
      <c r="C2" s="93">
        <v>461760151.99000001</v>
      </c>
      <c r="D2" s="1">
        <v>355057164.00999999</v>
      </c>
      <c r="E2" s="1">
        <v>390609233.07999998</v>
      </c>
      <c r="F2" s="1">
        <v>402089350.64999998</v>
      </c>
      <c r="G2" s="1">
        <v>459049981.85000002</v>
      </c>
      <c r="H2" s="1">
        <v>379524667.20999998</v>
      </c>
      <c r="I2" s="1">
        <v>395010049.20999998</v>
      </c>
      <c r="J2" s="1">
        <v>329317250.27999997</v>
      </c>
      <c r="K2" s="1">
        <v>343818105.82999998</v>
      </c>
      <c r="L2" s="1">
        <f>K2-J2</f>
        <v>14500855.550000012</v>
      </c>
    </row>
    <row r="3" spans="1:12" x14ac:dyDescent="0.3">
      <c r="A3" t="s">
        <v>237</v>
      </c>
      <c r="B3" s="26" t="s">
        <v>260</v>
      </c>
      <c r="C3" s="93">
        <v>0</v>
      </c>
      <c r="D3" s="1">
        <v>133446957.64</v>
      </c>
      <c r="E3" s="1">
        <v>133679992.89</v>
      </c>
      <c r="F3" s="1">
        <v>133785612.89</v>
      </c>
      <c r="G3" s="1">
        <v>133759002.06999999</v>
      </c>
      <c r="H3" s="1">
        <v>135020211.13999999</v>
      </c>
      <c r="I3" s="1">
        <v>136116198.53999999</v>
      </c>
      <c r="J3" s="1">
        <v>137188350.74000001</v>
      </c>
      <c r="K3" s="1">
        <v>137689592.5</v>
      </c>
      <c r="L3" s="1">
        <f t="shared" ref="L3:L29" si="0">K3-J3</f>
        <v>501241.75999999046</v>
      </c>
    </row>
    <row r="4" spans="1:12" x14ac:dyDescent="0.3">
      <c r="A4" t="s">
        <v>238</v>
      </c>
      <c r="B4" s="26" t="s">
        <v>260</v>
      </c>
      <c r="C4" s="93">
        <v>175980518.91999999</v>
      </c>
      <c r="D4" s="1">
        <v>180055100.93000001</v>
      </c>
      <c r="E4" s="1">
        <v>178392354.77000001</v>
      </c>
      <c r="F4" s="1">
        <v>212506756.13</v>
      </c>
      <c r="G4" s="1">
        <v>178590137.63</v>
      </c>
      <c r="H4" s="1">
        <v>300279243.18000001</v>
      </c>
      <c r="I4" s="1">
        <v>395198254.13999999</v>
      </c>
      <c r="J4" s="1">
        <v>303153372.92000002</v>
      </c>
      <c r="K4" s="1">
        <v>305016330.94</v>
      </c>
      <c r="L4" s="1">
        <f t="shared" si="0"/>
        <v>1862958.0199999809</v>
      </c>
    </row>
    <row r="5" spans="1:12" x14ac:dyDescent="0.3">
      <c r="A5" t="s">
        <v>239</v>
      </c>
      <c r="B5" s="26" t="s">
        <v>260</v>
      </c>
      <c r="C5" s="93">
        <v>17111746.710000001</v>
      </c>
      <c r="D5" s="1">
        <v>12784614.460000001</v>
      </c>
      <c r="E5" s="1">
        <v>13674835.1</v>
      </c>
      <c r="F5" s="1">
        <v>13320687.449999999</v>
      </c>
      <c r="G5" s="1">
        <v>13625084.41</v>
      </c>
      <c r="H5" s="1">
        <v>12671045.130000001</v>
      </c>
      <c r="I5" s="1">
        <v>14761864.52</v>
      </c>
      <c r="J5" s="1">
        <v>17639591.359999999</v>
      </c>
      <c r="K5" s="1">
        <v>21598523.079999998</v>
      </c>
      <c r="L5" s="1">
        <f t="shared" si="0"/>
        <v>3958931.7199999988</v>
      </c>
    </row>
    <row r="6" spans="1:12" x14ac:dyDescent="0.3">
      <c r="A6" t="s">
        <v>240</v>
      </c>
      <c r="B6" s="26" t="s">
        <v>260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1">
        <f t="shared" si="0"/>
        <v>0</v>
      </c>
    </row>
    <row r="7" spans="1:12" x14ac:dyDescent="0.3">
      <c r="A7" t="s">
        <v>241</v>
      </c>
      <c r="B7" s="26" t="s">
        <v>260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1">
        <f t="shared" si="0"/>
        <v>0</v>
      </c>
    </row>
    <row r="8" spans="1:12" x14ac:dyDescent="0.3">
      <c r="A8" t="s">
        <v>242</v>
      </c>
      <c r="B8" s="26" t="s">
        <v>260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1">
        <f t="shared" si="0"/>
        <v>0</v>
      </c>
    </row>
    <row r="9" spans="1:12" x14ac:dyDescent="0.3">
      <c r="A9" s="32" t="s">
        <v>243</v>
      </c>
      <c r="B9" s="33" t="s">
        <v>260</v>
      </c>
      <c r="C9" s="94">
        <v>74566056.230000004</v>
      </c>
      <c r="D9" s="34">
        <v>99091391.109999999</v>
      </c>
      <c r="E9" s="34">
        <v>70028943.829999998</v>
      </c>
      <c r="F9" s="34">
        <v>102257642.7</v>
      </c>
      <c r="G9" s="34">
        <v>116974201.19</v>
      </c>
      <c r="H9" s="34">
        <v>63270778.229999997</v>
      </c>
      <c r="I9" s="34">
        <v>67839339.760000005</v>
      </c>
      <c r="J9" s="34">
        <v>148606709.72</v>
      </c>
      <c r="K9" s="34">
        <v>128297580.79000001</v>
      </c>
      <c r="L9" s="1">
        <f t="shared" si="0"/>
        <v>-20309128.929999992</v>
      </c>
    </row>
    <row r="10" spans="1:12" x14ac:dyDescent="0.3">
      <c r="A10" s="35" t="s">
        <v>264</v>
      </c>
      <c r="B10" s="36" t="s">
        <v>260</v>
      </c>
      <c r="C10" s="92">
        <f t="shared" ref="C10:F10" si="1">SUM(C2:C9)</f>
        <v>729418473.85000002</v>
      </c>
      <c r="D10" s="92">
        <f t="shared" si="1"/>
        <v>780435228.14999998</v>
      </c>
      <c r="E10" s="92">
        <f t="shared" si="1"/>
        <v>786385359.67000008</v>
      </c>
      <c r="F10" s="92">
        <f t="shared" si="1"/>
        <v>863960049.82000005</v>
      </c>
      <c r="G10" s="92">
        <f t="shared" ref="G10:K10" si="2">SUM(G2:G9)</f>
        <v>901998407.1500001</v>
      </c>
      <c r="H10" s="92">
        <f t="shared" ref="H10:J10" si="3">SUM(H2:H9)</f>
        <v>890765944.88999999</v>
      </c>
      <c r="I10" s="92">
        <f t="shared" si="3"/>
        <v>1008925706.17</v>
      </c>
      <c r="J10" s="92">
        <f t="shared" si="3"/>
        <v>935905275.0200001</v>
      </c>
      <c r="K10" s="92">
        <f t="shared" si="2"/>
        <v>936420133.13999999</v>
      </c>
      <c r="L10" s="11">
        <f t="shared" si="0"/>
        <v>514858.11999988556</v>
      </c>
    </row>
    <row r="11" spans="1:12" x14ac:dyDescent="0.3">
      <c r="A11" t="s">
        <v>244</v>
      </c>
      <c r="B11" s="26" t="s">
        <v>261</v>
      </c>
      <c r="C11" s="93">
        <v>4389142.16</v>
      </c>
      <c r="D11" s="1">
        <v>3925615.1</v>
      </c>
      <c r="E11" s="1">
        <v>3605092.88</v>
      </c>
      <c r="F11" s="1">
        <v>2625110.0299999998</v>
      </c>
      <c r="G11" s="1">
        <v>2345533.06</v>
      </c>
      <c r="H11" s="1">
        <v>2667439.12</v>
      </c>
      <c r="I11" s="1">
        <v>2551540.7000000002</v>
      </c>
      <c r="J11" s="1">
        <v>1900246.58</v>
      </c>
      <c r="K11" s="1">
        <v>2480642.89</v>
      </c>
      <c r="L11" s="1">
        <f t="shared" si="0"/>
        <v>580396.31000000006</v>
      </c>
    </row>
    <row r="12" spans="1:12" x14ac:dyDescent="0.3">
      <c r="A12" t="s">
        <v>245</v>
      </c>
      <c r="B12" s="26" t="s">
        <v>261</v>
      </c>
      <c r="C12" s="93">
        <v>357773650.38999999</v>
      </c>
      <c r="D12" s="1">
        <v>333552567.93000001</v>
      </c>
      <c r="E12" s="1">
        <v>336213874</v>
      </c>
      <c r="F12" s="1">
        <v>342074158.61000001</v>
      </c>
      <c r="G12" s="1">
        <v>342785751.08999997</v>
      </c>
      <c r="H12" s="1">
        <v>341633381.32999998</v>
      </c>
      <c r="I12" s="1">
        <v>329540849.66000003</v>
      </c>
      <c r="J12" s="1">
        <v>357660237.86000001</v>
      </c>
      <c r="K12" s="1">
        <v>351362852.13999999</v>
      </c>
      <c r="L12" s="1">
        <f t="shared" si="0"/>
        <v>-6297385.7200000286</v>
      </c>
    </row>
    <row r="13" spans="1:12" x14ac:dyDescent="0.3">
      <c r="A13" t="s">
        <v>246</v>
      </c>
      <c r="B13" s="26" t="s">
        <v>261</v>
      </c>
      <c r="C13" s="93">
        <v>8172847.4400000004</v>
      </c>
      <c r="D13" s="1">
        <v>8383750.6600000001</v>
      </c>
      <c r="E13" s="1">
        <v>7974715.54</v>
      </c>
      <c r="F13" s="1">
        <v>8048704.75</v>
      </c>
      <c r="G13" s="1">
        <v>7037398.3600000003</v>
      </c>
      <c r="H13" s="1">
        <v>9968312.9700000007</v>
      </c>
      <c r="I13" s="1">
        <v>7586654.6399999997</v>
      </c>
      <c r="J13" s="1">
        <v>6979486.1600000001</v>
      </c>
      <c r="K13" s="1">
        <v>6981419.9299999997</v>
      </c>
      <c r="L13" s="1">
        <f t="shared" si="0"/>
        <v>1933.769999999553</v>
      </c>
    </row>
    <row r="14" spans="1:12" x14ac:dyDescent="0.3">
      <c r="A14" t="s">
        <v>247</v>
      </c>
      <c r="B14" s="26" t="s">
        <v>261</v>
      </c>
      <c r="C14" s="93">
        <v>27676952.449999999</v>
      </c>
      <c r="D14" s="1">
        <v>43184544.979999997</v>
      </c>
      <c r="E14" s="1">
        <v>33174181.670000002</v>
      </c>
      <c r="F14" s="1">
        <v>24285527.879999999</v>
      </c>
      <c r="G14" s="1">
        <v>28819303.079999998</v>
      </c>
      <c r="H14" s="1">
        <v>64862140.93</v>
      </c>
      <c r="I14" s="1">
        <v>59594491.100000001</v>
      </c>
      <c r="J14" s="1">
        <v>39124154.75</v>
      </c>
      <c r="K14" s="1">
        <v>46544046.030000001</v>
      </c>
      <c r="L14" s="1">
        <f t="shared" si="0"/>
        <v>7419891.2800000012</v>
      </c>
    </row>
    <row r="15" spans="1:12" x14ac:dyDescent="0.3">
      <c r="A15" t="s">
        <v>248</v>
      </c>
      <c r="B15" s="26" t="s">
        <v>261</v>
      </c>
      <c r="C15" s="93">
        <v>245948501.69</v>
      </c>
      <c r="D15" s="1">
        <v>236809489.13999999</v>
      </c>
      <c r="E15" s="1">
        <v>225773149.86000001</v>
      </c>
      <c r="F15" s="1">
        <v>220316863.41</v>
      </c>
      <c r="G15" s="1">
        <v>210580756.43000001</v>
      </c>
      <c r="H15" s="1">
        <v>196152984.49000001</v>
      </c>
      <c r="I15" s="1">
        <v>179195473.09</v>
      </c>
      <c r="J15" s="1">
        <v>174548078.78</v>
      </c>
      <c r="K15" s="1">
        <v>179549601.16</v>
      </c>
      <c r="L15" s="1">
        <f t="shared" si="0"/>
        <v>5001522.3799999952</v>
      </c>
    </row>
    <row r="16" spans="1:12" x14ac:dyDescent="0.3">
      <c r="A16" t="s">
        <v>249</v>
      </c>
      <c r="B16" s="26" t="s">
        <v>261</v>
      </c>
      <c r="C16" s="93">
        <v>26320571.079999998</v>
      </c>
      <c r="D16" s="1">
        <v>22585082.629999999</v>
      </c>
      <c r="E16" s="1">
        <v>141148317.47999999</v>
      </c>
      <c r="F16" s="1">
        <v>199541160.87</v>
      </c>
      <c r="G16" s="1">
        <v>253792301.30000001</v>
      </c>
      <c r="H16" s="1">
        <v>247241517.24000001</v>
      </c>
      <c r="I16" s="1">
        <v>253505987.25999999</v>
      </c>
      <c r="J16" s="1">
        <v>135185026.59</v>
      </c>
      <c r="K16" s="1">
        <v>245442407.53</v>
      </c>
      <c r="L16" s="1">
        <f t="shared" si="0"/>
        <v>110257380.94</v>
      </c>
    </row>
    <row r="17" spans="1:13" x14ac:dyDescent="0.3">
      <c r="A17" t="s">
        <v>250</v>
      </c>
      <c r="B17" s="26" t="s">
        <v>261</v>
      </c>
      <c r="C17" s="93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0</v>
      </c>
    </row>
    <row r="18" spans="1:13" x14ac:dyDescent="0.3">
      <c r="A18" t="s">
        <v>251</v>
      </c>
      <c r="B18" s="26" t="s">
        <v>261</v>
      </c>
      <c r="C18" s="93">
        <v>25416904.09</v>
      </c>
      <c r="D18" s="1">
        <v>10693333.33</v>
      </c>
      <c r="E18" s="1">
        <v>18693333.329999998</v>
      </c>
      <c r="F18" s="1">
        <v>26610749.550000001</v>
      </c>
      <c r="G18" s="1">
        <v>3328530.12</v>
      </c>
      <c r="H18" s="1">
        <v>100000</v>
      </c>
      <c r="I18" s="1">
        <v>44518161.030000001</v>
      </c>
      <c r="J18" s="1">
        <v>545660.18000000005</v>
      </c>
      <c r="K18" s="1">
        <v>14791393.560000001</v>
      </c>
      <c r="L18" s="1">
        <f t="shared" si="0"/>
        <v>14245733.380000001</v>
      </c>
    </row>
    <row r="19" spans="1:13" x14ac:dyDescent="0.3">
      <c r="A19" t="s">
        <v>14</v>
      </c>
      <c r="B19" s="26" t="s">
        <v>261</v>
      </c>
      <c r="C19" s="93">
        <v>227863792.56999999</v>
      </c>
      <c r="D19" s="1">
        <v>221712089.15000001</v>
      </c>
      <c r="E19" s="1">
        <v>55087130.829999998</v>
      </c>
      <c r="F19" s="1">
        <v>9745080.4299999997</v>
      </c>
      <c r="G19" s="1">
        <v>16480985.4</v>
      </c>
      <c r="H19" s="1">
        <v>5880157.9199999999</v>
      </c>
      <c r="I19" s="1">
        <v>22062931.739999998</v>
      </c>
      <c r="J19" s="1">
        <v>20854235.690000001</v>
      </c>
      <c r="K19" s="1">
        <v>25686663.359999999</v>
      </c>
      <c r="L19" s="1">
        <f t="shared" si="0"/>
        <v>4832427.6699999981</v>
      </c>
    </row>
    <row r="20" spans="1:13" x14ac:dyDescent="0.3">
      <c r="A20" s="32" t="s">
        <v>252</v>
      </c>
      <c r="B20" s="33" t="s">
        <v>261</v>
      </c>
      <c r="C20" s="94">
        <v>21630704.989999998</v>
      </c>
      <c r="D20" s="34">
        <v>33385208.890000001</v>
      </c>
      <c r="E20" s="34">
        <v>28459104.52</v>
      </c>
      <c r="F20" s="34">
        <v>17203040.129999999</v>
      </c>
      <c r="G20" s="34">
        <v>13338099.210000001</v>
      </c>
      <c r="H20" s="34">
        <v>5919424.71</v>
      </c>
      <c r="I20" s="34">
        <v>5137117.78</v>
      </c>
      <c r="J20" s="34">
        <v>11599166.029999999</v>
      </c>
      <c r="K20" s="34">
        <v>8280145.6900000004</v>
      </c>
      <c r="L20" s="1">
        <f t="shared" si="0"/>
        <v>-3319020.3399999989</v>
      </c>
    </row>
    <row r="21" spans="1:13" x14ac:dyDescent="0.3">
      <c r="A21" s="35" t="s">
        <v>265</v>
      </c>
      <c r="B21" s="36" t="s">
        <v>261</v>
      </c>
      <c r="C21" s="92">
        <f>SUM(C11:C20)</f>
        <v>945193066.86000013</v>
      </c>
      <c r="D21" s="92">
        <f>SUM(D11:D20)</f>
        <v>914231681.81000006</v>
      </c>
      <c r="E21" s="92">
        <f t="shared" ref="E21:F21" si="4">SUM(E11:E20)</f>
        <v>850128900.11000013</v>
      </c>
      <c r="F21" s="92">
        <f t="shared" si="4"/>
        <v>850450395.65999985</v>
      </c>
      <c r="G21" s="92">
        <f t="shared" ref="G21:K21" si="5">SUM(G11:G20)</f>
        <v>878508658.04999995</v>
      </c>
      <c r="H21" s="92">
        <f t="shared" ref="H21:J21" si="6">SUM(H11:H20)</f>
        <v>874425358.71000004</v>
      </c>
      <c r="I21" s="92">
        <f t="shared" si="6"/>
        <v>903693207</v>
      </c>
      <c r="J21" s="92">
        <f t="shared" si="6"/>
        <v>748396292.62</v>
      </c>
      <c r="K21" s="92">
        <f t="shared" si="5"/>
        <v>881119172.28999996</v>
      </c>
      <c r="L21" s="11">
        <f t="shared" si="0"/>
        <v>132722879.66999996</v>
      </c>
    </row>
    <row r="22" spans="1:13" x14ac:dyDescent="0.3">
      <c r="A22" t="s">
        <v>253</v>
      </c>
      <c r="B22" s="26" t="s">
        <v>260</v>
      </c>
      <c r="C22" s="93">
        <v>1893335.56</v>
      </c>
      <c r="D22" s="1">
        <v>7309254.6200000001</v>
      </c>
      <c r="E22" s="1">
        <v>2852507.41</v>
      </c>
      <c r="F22" s="1">
        <v>1707319.75</v>
      </c>
      <c r="G22" s="1">
        <v>2155795.09</v>
      </c>
      <c r="H22" s="1">
        <v>2720989.69</v>
      </c>
      <c r="I22" s="1">
        <v>3838991.77</v>
      </c>
      <c r="J22" s="1">
        <v>4036812.83</v>
      </c>
      <c r="K22" s="1">
        <v>1227974.3600000001</v>
      </c>
      <c r="L22" s="1">
        <f t="shared" si="0"/>
        <v>-2808838.4699999997</v>
      </c>
    </row>
    <row r="23" spans="1:13" x14ac:dyDescent="0.3">
      <c r="A23" t="s">
        <v>254</v>
      </c>
      <c r="B23" s="26" t="s">
        <v>261</v>
      </c>
      <c r="C23" s="93">
        <v>10928360.32</v>
      </c>
      <c r="D23" s="1">
        <v>10984157.189999999</v>
      </c>
      <c r="E23" s="1">
        <v>11663878.32</v>
      </c>
      <c r="F23" s="1">
        <v>11870258.18</v>
      </c>
      <c r="G23" s="1">
        <v>10721510.779999999</v>
      </c>
      <c r="H23" s="1">
        <v>11433164.060000001</v>
      </c>
      <c r="I23" s="1">
        <v>9951896.0500000007</v>
      </c>
      <c r="J23" s="1">
        <v>8173659.9900000002</v>
      </c>
      <c r="K23" s="1">
        <v>7286711.0199999996</v>
      </c>
      <c r="L23" s="1">
        <f t="shared" si="0"/>
        <v>-886948.97000000067</v>
      </c>
    </row>
    <row r="24" spans="1:13" x14ac:dyDescent="0.3">
      <c r="A24" t="s">
        <v>255</v>
      </c>
      <c r="B24" s="26" t="s">
        <v>260</v>
      </c>
      <c r="C24" s="93">
        <v>0</v>
      </c>
      <c r="D24" s="1">
        <v>-4611815.75</v>
      </c>
      <c r="E24" s="1">
        <v>0</v>
      </c>
      <c r="F24" s="1">
        <v>-52838153.020000003</v>
      </c>
      <c r="G24" s="1">
        <v>6142647.1200000001</v>
      </c>
      <c r="H24" s="1">
        <v>9447849</v>
      </c>
      <c r="I24" s="1">
        <v>-110024</v>
      </c>
      <c r="J24" s="1">
        <v>-920247</v>
      </c>
      <c r="K24" s="1">
        <v>-26609941</v>
      </c>
      <c r="L24" s="1">
        <f t="shared" si="0"/>
        <v>-25689694</v>
      </c>
    </row>
    <row r="25" spans="1:13" x14ac:dyDescent="0.3">
      <c r="A25" t="s">
        <v>256</v>
      </c>
      <c r="B25" s="26" t="s">
        <v>260</v>
      </c>
      <c r="C25" s="93">
        <v>246487109.12</v>
      </c>
      <c r="D25" s="1">
        <v>34603062.340000004</v>
      </c>
      <c r="E25" s="1">
        <v>118192209.23999999</v>
      </c>
      <c r="F25" s="1">
        <v>77330765.530000001</v>
      </c>
      <c r="G25" s="1">
        <v>54296291.960000001</v>
      </c>
      <c r="H25" s="1">
        <v>26694271</v>
      </c>
      <c r="I25" s="1">
        <v>56639801.189999998</v>
      </c>
      <c r="J25" s="1">
        <v>67381513.430000007</v>
      </c>
      <c r="K25" s="1">
        <v>107308080.2</v>
      </c>
      <c r="L25" s="1">
        <f t="shared" si="0"/>
        <v>39926566.769999996</v>
      </c>
    </row>
    <row r="26" spans="1:13" x14ac:dyDescent="0.3">
      <c r="A26" t="s">
        <v>257</v>
      </c>
      <c r="B26" s="26" t="s">
        <v>261</v>
      </c>
      <c r="C26" s="93">
        <v>37044194.200000003</v>
      </c>
      <c r="D26" s="1">
        <v>66015412.119999997</v>
      </c>
      <c r="E26" s="1">
        <v>295914982.35000002</v>
      </c>
      <c r="F26" s="1">
        <v>86484867.510000005</v>
      </c>
      <c r="G26" s="1">
        <v>386953333.19999999</v>
      </c>
      <c r="H26" s="1">
        <v>9021786.2599999998</v>
      </c>
      <c r="I26" s="1">
        <v>13571928.050000001</v>
      </c>
      <c r="J26" s="1">
        <v>160447322.88</v>
      </c>
      <c r="K26" s="1">
        <v>24211750.690000001</v>
      </c>
      <c r="L26" s="1">
        <f t="shared" si="0"/>
        <v>-136235572.19</v>
      </c>
    </row>
    <row r="27" spans="1:13" x14ac:dyDescent="0.3">
      <c r="A27" t="s">
        <v>258</v>
      </c>
      <c r="B27" s="26" t="s">
        <v>261</v>
      </c>
      <c r="C27" s="93">
        <v>13221858.699999999</v>
      </c>
      <c r="D27" s="1">
        <v>13666549.439999999</v>
      </c>
      <c r="E27" s="1">
        <v>12795041.789999999</v>
      </c>
      <c r="F27" s="1">
        <v>12467011.619999999</v>
      </c>
      <c r="G27" s="1">
        <v>12000920.26</v>
      </c>
      <c r="H27" s="1">
        <v>10845751.26</v>
      </c>
      <c r="I27" s="1">
        <v>10133727.939999999</v>
      </c>
      <c r="J27" s="1">
        <v>9578547.8800000008</v>
      </c>
      <c r="K27" s="1">
        <v>11101414.74</v>
      </c>
      <c r="L27" s="1">
        <f t="shared" si="0"/>
        <v>1522866.8599999994</v>
      </c>
    </row>
    <row r="28" spans="1:13" x14ac:dyDescent="0.3">
      <c r="A28" s="10" t="s">
        <v>259</v>
      </c>
      <c r="B28" s="36" t="s">
        <v>262</v>
      </c>
      <c r="C28" s="95">
        <f>SUM(C2:C9)-SUM(C11:C20)+C22-C23+C24+C25-C26-C27</f>
        <v>-28588561.550000098</v>
      </c>
      <c r="D28" s="37">
        <f>D10-D21+D22-D23+D24+D25-D26-D27</f>
        <v>-187162071.20000008</v>
      </c>
      <c r="E28" s="37">
        <f t="shared" ref="E28:F28" si="7">E10-E21+E22-E23+E24+E25-E26-E27</f>
        <v>-263072726.25000009</v>
      </c>
      <c r="F28" s="37">
        <f t="shared" si="7"/>
        <v>-71112550.889999807</v>
      </c>
      <c r="G28" s="37">
        <f t="shared" ref="G28:K28" si="8">G10-G21+G22-G23+G24+G25-G26-G27</f>
        <v>-323591280.96999985</v>
      </c>
      <c r="H28" s="37">
        <f t="shared" ref="H28:J28" si="9">H10-H21+H22-H23+H24+H25-H26-H27</f>
        <v>23902994.289999954</v>
      </c>
      <c r="I28" s="37">
        <f t="shared" si="9"/>
        <v>131943716.08999994</v>
      </c>
      <c r="J28" s="37">
        <f t="shared" si="9"/>
        <v>79807530.910000116</v>
      </c>
      <c r="K28" s="37">
        <f t="shared" si="8"/>
        <v>94627197.960000038</v>
      </c>
      <c r="L28" s="37">
        <f t="shared" si="0"/>
        <v>14819667.049999923</v>
      </c>
    </row>
    <row r="29" spans="1:13" x14ac:dyDescent="0.3">
      <c r="A29" s="72" t="s">
        <v>384</v>
      </c>
      <c r="B29" s="128"/>
      <c r="C29" s="120">
        <f>C10-SUM(C11:C15)+C17</f>
        <v>85457379.720000029</v>
      </c>
      <c r="D29" s="120">
        <f t="shared" ref="D29:K29" si="10">D10-SUM(D11:D15)+D17</f>
        <v>154579260.33999991</v>
      </c>
      <c r="E29" s="120">
        <f t="shared" si="10"/>
        <v>179644345.72000003</v>
      </c>
      <c r="F29" s="120">
        <f t="shared" si="10"/>
        <v>266609685.1400001</v>
      </c>
      <c r="G29" s="120">
        <f t="shared" si="10"/>
        <v>310429665.13000011</v>
      </c>
      <c r="H29" s="120">
        <f t="shared" si="10"/>
        <v>275481686.04999995</v>
      </c>
      <c r="I29" s="120">
        <f t="shared" si="10"/>
        <v>430456696.9799999</v>
      </c>
      <c r="J29" s="120">
        <f t="shared" ref="J29" si="11">J10-SUM(J11:J15)+J17</f>
        <v>355693070.8900001</v>
      </c>
      <c r="K29" s="120">
        <f t="shared" si="10"/>
        <v>349501570.99000001</v>
      </c>
      <c r="L29" s="120">
        <f t="shared" si="0"/>
        <v>-6191499.9000000954</v>
      </c>
      <c r="M29" s="120"/>
    </row>
  </sheetData>
  <conditionalFormatting sqref="C28:G28 K28:L28">
    <cfRule type="cellIs" dxfId="113" priority="22" operator="greaterThan">
      <formula>0</formula>
    </cfRule>
  </conditionalFormatting>
  <conditionalFormatting sqref="H28">
    <cfRule type="cellIs" dxfId="112" priority="12" operator="greaterThan">
      <formula>0</formula>
    </cfRule>
  </conditionalFormatting>
  <conditionalFormatting sqref="I28">
    <cfRule type="cellIs" dxfId="111" priority="11" operator="greaterThan">
      <formula>0</formula>
    </cfRule>
  </conditionalFormatting>
  <conditionalFormatting sqref="C29:I29 M29 K29">
    <cfRule type="cellIs" dxfId="110" priority="10" operator="greaterThan">
      <formula>0</formula>
    </cfRule>
  </conditionalFormatting>
  <conditionalFormatting sqref="C29:I29 K29">
    <cfRule type="cellIs" dxfId="109" priority="9" operator="greaterThan">
      <formula>0</formula>
    </cfRule>
  </conditionalFormatting>
  <conditionalFormatting sqref="C29:I29 K29">
    <cfRule type="cellIs" dxfId="108" priority="8" operator="greaterThan">
      <formula>0</formula>
    </cfRule>
  </conditionalFormatting>
  <conditionalFormatting sqref="C29:I29 K29">
    <cfRule type="cellIs" dxfId="107" priority="7" operator="greaterThan">
      <formula>0</formula>
    </cfRule>
  </conditionalFormatting>
  <conditionalFormatting sqref="L29">
    <cfRule type="cellIs" dxfId="106" priority="6" operator="greaterThan">
      <formula>0</formula>
    </cfRule>
  </conditionalFormatting>
  <conditionalFormatting sqref="J28">
    <cfRule type="cellIs" dxfId="105" priority="5" operator="greaterThan">
      <formula>0</formula>
    </cfRule>
  </conditionalFormatting>
  <conditionalFormatting sqref="J29">
    <cfRule type="cellIs" dxfId="104" priority="4" operator="greaterThan">
      <formula>0</formula>
    </cfRule>
  </conditionalFormatting>
  <conditionalFormatting sqref="J29">
    <cfRule type="cellIs" dxfId="103" priority="3" operator="greaterThan">
      <formula>0</formula>
    </cfRule>
  </conditionalFormatting>
  <conditionalFormatting sqref="J29">
    <cfRule type="cellIs" dxfId="102" priority="2" operator="greaterThan">
      <formula>0</formula>
    </cfRule>
  </conditionalFormatting>
  <conditionalFormatting sqref="J29">
    <cfRule type="cellIs" dxfId="10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workbookViewId="0">
      <selection activeCell="L1" sqref="L1:O1048576"/>
    </sheetView>
  </sheetViews>
  <sheetFormatPr defaultRowHeight="14.4" x14ac:dyDescent="0.3"/>
  <cols>
    <col min="1" max="1" width="32.5546875" bestFit="1" customWidth="1"/>
    <col min="2" max="4" width="12.21875" bestFit="1" customWidth="1"/>
    <col min="5" max="5" width="11.5546875" bestFit="1" customWidth="1"/>
    <col min="6" max="6" width="12.21875" bestFit="1" customWidth="1"/>
    <col min="7" max="7" width="11.5546875" bestFit="1" customWidth="1"/>
    <col min="8" max="8" width="13.21875" bestFit="1" customWidth="1"/>
    <col min="9" max="10" width="11.5546875" bestFit="1" customWidth="1"/>
    <col min="11" max="11" width="12.21875" bestFit="1" customWidth="1"/>
  </cols>
  <sheetData>
    <row r="1" spans="1:13" x14ac:dyDescent="0.3">
      <c r="A1" s="41"/>
      <c r="B1" s="42">
        <v>2015</v>
      </c>
      <c r="C1" s="42">
        <v>2016</v>
      </c>
      <c r="D1" s="42">
        <v>2017</v>
      </c>
      <c r="E1" s="42">
        <v>2018</v>
      </c>
      <c r="F1" s="42">
        <v>2019</v>
      </c>
      <c r="G1" s="42">
        <v>2020</v>
      </c>
      <c r="H1" s="42">
        <v>2021</v>
      </c>
      <c r="I1" s="42">
        <v>2022</v>
      </c>
      <c r="J1" s="42">
        <v>2023</v>
      </c>
      <c r="K1" s="42" t="s">
        <v>266</v>
      </c>
    </row>
    <row r="2" spans="1:13" x14ac:dyDescent="0.3">
      <c r="A2" s="71" t="s">
        <v>346</v>
      </c>
      <c r="B2" s="64">
        <f>Conto_economico!C10</f>
        <v>729418473.85000002</v>
      </c>
      <c r="C2" s="64">
        <f>Conto_economico!D10</f>
        <v>780435228.14999998</v>
      </c>
      <c r="D2" s="64">
        <f>Conto_economico!E10</f>
        <v>786385359.67000008</v>
      </c>
      <c r="E2" s="64">
        <f>Conto_economico!F10</f>
        <v>863960049.82000005</v>
      </c>
      <c r="F2" s="64">
        <f>Conto_economico!G10</f>
        <v>901998407.1500001</v>
      </c>
      <c r="G2" s="64">
        <f>Conto_economico!H10</f>
        <v>890765944.88999999</v>
      </c>
      <c r="H2" s="64">
        <f>Conto_economico!I10</f>
        <v>1008925706.17</v>
      </c>
      <c r="I2" s="64">
        <f>Conto_economico!J10</f>
        <v>935905275.0200001</v>
      </c>
      <c r="J2" s="64">
        <f>Conto_economico!K10</f>
        <v>936420133.13999999</v>
      </c>
      <c r="K2" s="64">
        <f t="shared" ref="K2:K16" si="0">J2-I2</f>
        <v>514858.11999988556</v>
      </c>
    </row>
    <row r="3" spans="1:13" x14ac:dyDescent="0.3">
      <c r="A3" s="71" t="s">
        <v>341</v>
      </c>
      <c r="B3" s="64">
        <f>Conto_economico!C2</f>
        <v>461760151.99000001</v>
      </c>
      <c r="C3" s="64">
        <f>Conto_economico!D2</f>
        <v>355057164.00999999</v>
      </c>
      <c r="D3" s="64">
        <f>Conto_economico!E2</f>
        <v>390609233.07999998</v>
      </c>
      <c r="E3" s="64">
        <f>Conto_economico!F2</f>
        <v>402089350.64999998</v>
      </c>
      <c r="F3" s="64">
        <f>Conto_economico!G2</f>
        <v>459049981.85000002</v>
      </c>
      <c r="G3" s="64">
        <f>Conto_economico!H2</f>
        <v>379524667.20999998</v>
      </c>
      <c r="H3" s="64">
        <f>Conto_economico!I2</f>
        <v>395010049.20999998</v>
      </c>
      <c r="I3" s="64">
        <f>Conto_economico!J2</f>
        <v>329317250.27999997</v>
      </c>
      <c r="J3" s="64">
        <f>Conto_economico!K2</f>
        <v>343818105.82999998</v>
      </c>
      <c r="K3" s="64">
        <f t="shared" si="0"/>
        <v>14500855.550000012</v>
      </c>
    </row>
    <row r="4" spans="1:13" x14ac:dyDescent="0.3">
      <c r="A4" s="71" t="s">
        <v>342</v>
      </c>
      <c r="B4" s="64">
        <f>Conto_economico!C4</f>
        <v>175980518.91999999</v>
      </c>
      <c r="C4" s="64">
        <f>Conto_economico!D4</f>
        <v>180055100.93000001</v>
      </c>
      <c r="D4" s="64">
        <f>Conto_economico!E4</f>
        <v>178392354.77000001</v>
      </c>
      <c r="E4" s="64">
        <f>Conto_economico!F4</f>
        <v>212506756.13</v>
      </c>
      <c r="F4" s="64">
        <f>Conto_economico!G4</f>
        <v>178590137.63</v>
      </c>
      <c r="G4" s="64">
        <f>Conto_economico!H4</f>
        <v>300279243.18000001</v>
      </c>
      <c r="H4" s="64">
        <f>Conto_economico!I4</f>
        <v>395198254.13999999</v>
      </c>
      <c r="I4" s="64">
        <f>Conto_economico!J4</f>
        <v>303153372.92000002</v>
      </c>
      <c r="J4" s="64">
        <f>Conto_economico!K4</f>
        <v>305016330.94</v>
      </c>
      <c r="K4" s="64">
        <f t="shared" si="0"/>
        <v>1862958.0199999809</v>
      </c>
    </row>
    <row r="5" spans="1:13" x14ac:dyDescent="0.3">
      <c r="A5" s="71" t="s">
        <v>347</v>
      </c>
      <c r="B5" s="65">
        <f>Conto_economico!C21</f>
        <v>945193066.86000013</v>
      </c>
      <c r="C5" s="65">
        <f>Conto_economico!D21</f>
        <v>914231681.81000006</v>
      </c>
      <c r="D5" s="65">
        <f>Conto_economico!E21</f>
        <v>850128900.11000013</v>
      </c>
      <c r="E5" s="65">
        <f>Conto_economico!F21</f>
        <v>850450395.65999985</v>
      </c>
      <c r="F5" s="65">
        <f>Conto_economico!G21</f>
        <v>878508658.04999995</v>
      </c>
      <c r="G5" s="65">
        <f>Conto_economico!H21</f>
        <v>874425358.71000004</v>
      </c>
      <c r="H5" s="65">
        <f>Conto_economico!I21</f>
        <v>903693207</v>
      </c>
      <c r="I5" s="65">
        <f>Conto_economico!J21</f>
        <v>748396292.62</v>
      </c>
      <c r="J5" s="65">
        <f>Conto_economico!K21</f>
        <v>881119172.28999996</v>
      </c>
      <c r="K5" s="64">
        <f t="shared" si="0"/>
        <v>132722879.66999996</v>
      </c>
    </row>
    <row r="6" spans="1:13" x14ac:dyDescent="0.3">
      <c r="A6" s="71" t="s">
        <v>343</v>
      </c>
      <c r="B6" s="64">
        <f>Conto_economico!C12</f>
        <v>357773650.38999999</v>
      </c>
      <c r="C6" s="64">
        <f>Conto_economico!D12</f>
        <v>333552567.93000001</v>
      </c>
      <c r="D6" s="64">
        <f>Conto_economico!E12</f>
        <v>336213874</v>
      </c>
      <c r="E6" s="64">
        <f>Conto_economico!F12</f>
        <v>342074158.61000001</v>
      </c>
      <c r="F6" s="64">
        <f>Conto_economico!G12</f>
        <v>342785751.08999997</v>
      </c>
      <c r="G6" s="64">
        <f>Conto_economico!H12</f>
        <v>341633381.32999998</v>
      </c>
      <c r="H6" s="64">
        <f>Conto_economico!I12</f>
        <v>329540849.66000003</v>
      </c>
      <c r="I6" s="64">
        <f>Conto_economico!J12</f>
        <v>357660237.86000001</v>
      </c>
      <c r="J6" s="64">
        <f>Conto_economico!K12</f>
        <v>351362852.13999999</v>
      </c>
      <c r="K6" s="64">
        <f t="shared" si="0"/>
        <v>-6297385.7200000286</v>
      </c>
    </row>
    <row r="7" spans="1:13" x14ac:dyDescent="0.3">
      <c r="A7" s="71" t="s">
        <v>344</v>
      </c>
      <c r="B7" s="64">
        <f>Conto_economico!C15</f>
        <v>245948501.69</v>
      </c>
      <c r="C7" s="64">
        <f>Conto_economico!D15</f>
        <v>236809489.13999999</v>
      </c>
      <c r="D7" s="64">
        <f>Conto_economico!E15</f>
        <v>225773149.86000001</v>
      </c>
      <c r="E7" s="64">
        <f>Conto_economico!F15</f>
        <v>220316863.41</v>
      </c>
      <c r="F7" s="64">
        <f>Conto_economico!G15</f>
        <v>210580756.43000001</v>
      </c>
      <c r="G7" s="64">
        <f>Conto_economico!H15</f>
        <v>196152984.49000001</v>
      </c>
      <c r="H7" s="64">
        <f>Conto_economico!I15</f>
        <v>179195473.09</v>
      </c>
      <c r="I7" s="64">
        <f>Conto_economico!J15</f>
        <v>174548078.78</v>
      </c>
      <c r="J7" s="64">
        <f>Conto_economico!K15</f>
        <v>179549601.16</v>
      </c>
      <c r="K7" s="64">
        <f t="shared" si="0"/>
        <v>5001522.3799999952</v>
      </c>
    </row>
    <row r="8" spans="1:13" x14ac:dyDescent="0.3">
      <c r="A8" s="71" t="s">
        <v>345</v>
      </c>
      <c r="B8" s="64">
        <f>Conto_economico!C16</f>
        <v>26320571.079999998</v>
      </c>
      <c r="C8" s="64">
        <f>Conto_economico!D16</f>
        <v>22585082.629999999</v>
      </c>
      <c r="D8" s="64">
        <f>Conto_economico!E16</f>
        <v>141148317.47999999</v>
      </c>
      <c r="E8" s="64">
        <f>Conto_economico!F16</f>
        <v>199541160.87</v>
      </c>
      <c r="F8" s="64">
        <f>Conto_economico!G16</f>
        <v>253792301.30000001</v>
      </c>
      <c r="G8" s="64">
        <f>Conto_economico!H16</f>
        <v>247241517.24000001</v>
      </c>
      <c r="H8" s="64">
        <f>Conto_economico!I16</f>
        <v>253505987.25999999</v>
      </c>
      <c r="I8" s="64">
        <f>Conto_economico!J16</f>
        <v>135185026.59</v>
      </c>
      <c r="J8" s="64">
        <f>Conto_economico!K16</f>
        <v>245442407.53</v>
      </c>
      <c r="K8" s="64">
        <f t="shared" si="0"/>
        <v>110257380.94</v>
      </c>
    </row>
    <row r="9" spans="1:13" x14ac:dyDescent="0.3">
      <c r="A9" s="47" t="s">
        <v>384</v>
      </c>
      <c r="B9" s="66">
        <f>Conto_economico!C29</f>
        <v>85457379.720000029</v>
      </c>
      <c r="C9" s="66">
        <f>Conto_economico!D29</f>
        <v>154579260.33999991</v>
      </c>
      <c r="D9" s="66">
        <f>Conto_economico!E29</f>
        <v>179644345.72000003</v>
      </c>
      <c r="E9" s="66">
        <f>Conto_economico!F29</f>
        <v>266609685.1400001</v>
      </c>
      <c r="F9" s="66">
        <f>Conto_economico!G29</f>
        <v>310429665.13000011</v>
      </c>
      <c r="G9" s="66">
        <f>Conto_economico!H29</f>
        <v>275481686.04999995</v>
      </c>
      <c r="H9" s="66">
        <f>Conto_economico!I29</f>
        <v>430456696.9799999</v>
      </c>
      <c r="I9" s="66">
        <f>Conto_economico!J29</f>
        <v>355693070.8900001</v>
      </c>
      <c r="J9" s="66">
        <f>Conto_economico!K29</f>
        <v>349501570.99000001</v>
      </c>
      <c r="K9" s="66">
        <f t="shared" si="0"/>
        <v>-6191499.9000000954</v>
      </c>
      <c r="L9" s="66"/>
      <c r="M9" s="66"/>
    </row>
    <row r="10" spans="1:13" x14ac:dyDescent="0.3">
      <c r="A10" s="47" t="s">
        <v>307</v>
      </c>
      <c r="B10" s="66">
        <f>B2-B5</f>
        <v>-215774593.01000011</v>
      </c>
      <c r="C10" s="66">
        <f t="shared" ref="C10:E10" si="1">C2-C5</f>
        <v>-133796453.66000009</v>
      </c>
      <c r="D10" s="66">
        <f t="shared" si="1"/>
        <v>-63743540.440000057</v>
      </c>
      <c r="E10" s="66">
        <f t="shared" si="1"/>
        <v>13509654.160000205</v>
      </c>
      <c r="F10" s="66">
        <f t="shared" ref="F10:H10" si="2">F2-F5</f>
        <v>23489749.100000143</v>
      </c>
      <c r="G10" s="66">
        <f t="shared" ref="G10" si="3">G2-G5</f>
        <v>16340586.179999948</v>
      </c>
      <c r="H10" s="66">
        <f t="shared" si="2"/>
        <v>105232499.16999996</v>
      </c>
      <c r="I10" s="66">
        <f t="shared" ref="I10:J10" si="4">I2-I5</f>
        <v>187508982.4000001</v>
      </c>
      <c r="J10" s="66">
        <f t="shared" si="4"/>
        <v>55300960.850000024</v>
      </c>
      <c r="K10" s="66">
        <f t="shared" si="0"/>
        <v>-132208021.55000007</v>
      </c>
    </row>
    <row r="11" spans="1:13" x14ac:dyDescent="0.3">
      <c r="A11" s="71" t="s">
        <v>308</v>
      </c>
      <c r="B11" s="64">
        <f>Conto_economico!C22-Conto_economico!C23</f>
        <v>-9035024.7599999998</v>
      </c>
      <c r="C11" s="64">
        <f>Conto_economico!D22-Conto_economico!D23</f>
        <v>-3674902.5699999994</v>
      </c>
      <c r="D11" s="64">
        <f>Conto_economico!E22-Conto_economico!E23</f>
        <v>-8811370.9100000001</v>
      </c>
      <c r="E11" s="64">
        <f>Conto_economico!F22-Conto_economico!F23</f>
        <v>-10162938.43</v>
      </c>
      <c r="F11" s="64">
        <f>Conto_economico!G22-Conto_economico!G23</f>
        <v>-8565715.6899999995</v>
      </c>
      <c r="G11" s="64">
        <f>Conto_economico!H22-Conto_economico!H23</f>
        <v>-8712174.370000001</v>
      </c>
      <c r="H11" s="64">
        <f>Conto_economico!I22-Conto_economico!I23</f>
        <v>-6112904.2800000012</v>
      </c>
      <c r="I11" s="64">
        <f>Conto_economico!J22-Conto_economico!J23</f>
        <v>-4136847.16</v>
      </c>
      <c r="J11" s="64">
        <f>Conto_economico!K22-Conto_economico!K23</f>
        <v>-6058736.6599999992</v>
      </c>
      <c r="K11" s="64">
        <f t="shared" si="0"/>
        <v>-1921889.4999999991</v>
      </c>
    </row>
    <row r="12" spans="1:13" x14ac:dyDescent="0.3">
      <c r="A12" s="71" t="s">
        <v>309</v>
      </c>
      <c r="B12" s="65">
        <f>Conto_economico!C25-Conto_economico!C26</f>
        <v>209442914.92000002</v>
      </c>
      <c r="C12" s="65">
        <f>Conto_economico!D25-Conto_economico!D26</f>
        <v>-31412349.779999994</v>
      </c>
      <c r="D12" s="65">
        <f>Conto_economico!E25-Conto_economico!E26</f>
        <v>-177722773.11000001</v>
      </c>
      <c r="E12" s="65">
        <f>Conto_economico!F25-Conto_economico!F26</f>
        <v>-9154101.9800000042</v>
      </c>
      <c r="F12" s="65">
        <f>Conto_economico!G25-Conto_economico!G26</f>
        <v>-332657041.24000001</v>
      </c>
      <c r="G12" s="65">
        <f>Conto_economico!H25-Conto_economico!H26</f>
        <v>17672484.740000002</v>
      </c>
      <c r="H12" s="65">
        <f>Conto_economico!I25-Conto_economico!I26</f>
        <v>43067873.140000001</v>
      </c>
      <c r="I12" s="65">
        <f>Conto_economico!J25-Conto_economico!J26</f>
        <v>-93065809.449999988</v>
      </c>
      <c r="J12" s="65">
        <f>Conto_economico!K25-Conto_economico!K26</f>
        <v>83096329.510000005</v>
      </c>
      <c r="K12" s="64">
        <f t="shared" si="0"/>
        <v>176162138.95999998</v>
      </c>
    </row>
    <row r="13" spans="1:13" x14ac:dyDescent="0.3">
      <c r="A13" s="71" t="s">
        <v>255</v>
      </c>
      <c r="B13" s="65">
        <f>Conto_economico!C24</f>
        <v>0</v>
      </c>
      <c r="C13" s="65">
        <f>Conto_economico!D24</f>
        <v>-4611815.75</v>
      </c>
      <c r="D13" s="65">
        <f>Conto_economico!E24</f>
        <v>0</v>
      </c>
      <c r="E13" s="65">
        <f>Conto_economico!F24</f>
        <v>-52838153.020000003</v>
      </c>
      <c r="F13" s="65">
        <f>Conto_economico!G24</f>
        <v>6142647.1200000001</v>
      </c>
      <c r="G13" s="65">
        <f>Conto_economico!H24</f>
        <v>9447849</v>
      </c>
      <c r="H13" s="65">
        <f>Conto_economico!I24</f>
        <v>-110024</v>
      </c>
      <c r="I13" s="65">
        <f>Conto_economico!J24</f>
        <v>-920247</v>
      </c>
      <c r="J13" s="65">
        <f>Conto_economico!K24</f>
        <v>-26609941</v>
      </c>
      <c r="K13" s="64">
        <f t="shared" si="0"/>
        <v>-25689694</v>
      </c>
    </row>
    <row r="14" spans="1:13" x14ac:dyDescent="0.3">
      <c r="A14" s="47" t="s">
        <v>310</v>
      </c>
      <c r="B14" s="66">
        <f>SUM(B10:B13)</f>
        <v>-15366702.850000083</v>
      </c>
      <c r="C14" s="66">
        <f t="shared" ref="C14:E14" si="5">SUM(C10:C13)</f>
        <v>-173495521.76000008</v>
      </c>
      <c r="D14" s="66">
        <f t="shared" si="5"/>
        <v>-250277684.46000007</v>
      </c>
      <c r="E14" s="66">
        <f t="shared" si="5"/>
        <v>-58645539.269999802</v>
      </c>
      <c r="F14" s="66">
        <f t="shared" ref="F14:H14" si="6">SUM(F10:F13)</f>
        <v>-311590360.70999986</v>
      </c>
      <c r="G14" s="66">
        <f t="shared" ref="G14" si="7">SUM(G10:G13)</f>
        <v>34748745.549999952</v>
      </c>
      <c r="H14" s="66">
        <f t="shared" si="6"/>
        <v>142077444.02999997</v>
      </c>
      <c r="I14" s="66">
        <f t="shared" ref="I14:J14" si="8">SUM(I10:I13)</f>
        <v>89386078.790000111</v>
      </c>
      <c r="J14" s="66">
        <f t="shared" si="8"/>
        <v>105728612.70000003</v>
      </c>
      <c r="K14" s="66">
        <f t="shared" si="0"/>
        <v>16342533.909999922</v>
      </c>
    </row>
    <row r="15" spans="1:13" x14ac:dyDescent="0.3">
      <c r="A15" s="71" t="s">
        <v>258</v>
      </c>
      <c r="B15" s="64">
        <f>Conto_economico!C27</f>
        <v>13221858.699999999</v>
      </c>
      <c r="C15" s="64">
        <f>Conto_economico!D27</f>
        <v>13666549.439999999</v>
      </c>
      <c r="D15" s="64">
        <f>Conto_economico!E27</f>
        <v>12795041.789999999</v>
      </c>
      <c r="E15" s="64">
        <f>Conto_economico!F27</f>
        <v>12467011.619999999</v>
      </c>
      <c r="F15" s="64">
        <f>Conto_economico!G27</f>
        <v>12000920.26</v>
      </c>
      <c r="G15" s="64">
        <f>Conto_economico!H27</f>
        <v>10845751.26</v>
      </c>
      <c r="H15" s="64">
        <f>Conto_economico!I27</f>
        <v>10133727.939999999</v>
      </c>
      <c r="I15" s="64">
        <f>Conto_economico!J27</f>
        <v>9578547.8800000008</v>
      </c>
      <c r="J15" s="64">
        <f>Conto_economico!K27</f>
        <v>11101414.74</v>
      </c>
      <c r="K15" s="64">
        <f t="shared" si="0"/>
        <v>1522866.8599999994</v>
      </c>
    </row>
    <row r="16" spans="1:13" x14ac:dyDescent="0.3">
      <c r="A16" s="70" t="s">
        <v>259</v>
      </c>
      <c r="B16" s="67">
        <f>B14-B15</f>
        <v>-28588561.550000083</v>
      </c>
      <c r="C16" s="67">
        <f t="shared" ref="C16:E16" si="9">C14-C15</f>
        <v>-187162071.20000008</v>
      </c>
      <c r="D16" s="67">
        <f t="shared" si="9"/>
        <v>-263072726.25000006</v>
      </c>
      <c r="E16" s="67">
        <f t="shared" si="9"/>
        <v>-71112550.889999807</v>
      </c>
      <c r="F16" s="67">
        <f t="shared" ref="F16:H16" si="10">F14-F15</f>
        <v>-323591280.96999985</v>
      </c>
      <c r="G16" s="67">
        <f t="shared" ref="G16" si="11">G14-G15</f>
        <v>23902994.289999954</v>
      </c>
      <c r="H16" s="67">
        <f t="shared" si="10"/>
        <v>131943716.08999997</v>
      </c>
      <c r="I16" s="67">
        <f t="shared" ref="I16:J16" si="12">I14-I15</f>
        <v>79807530.910000116</v>
      </c>
      <c r="J16" s="67">
        <f t="shared" si="12"/>
        <v>94627197.960000038</v>
      </c>
      <c r="K16" s="67">
        <f t="shared" si="0"/>
        <v>14819667.049999923</v>
      </c>
    </row>
    <row r="18" spans="2:2" x14ac:dyDescent="0.3">
      <c r="B18" s="96"/>
    </row>
    <row r="19" spans="2:2" x14ac:dyDescent="0.3">
      <c r="B19" s="105"/>
    </row>
    <row r="20" spans="2:2" x14ac:dyDescent="0.3">
      <c r="B20" s="96"/>
    </row>
  </sheetData>
  <conditionalFormatting sqref="B16:F16 H16 K16">
    <cfRule type="cellIs" dxfId="100" priority="18" operator="greaterThan">
      <formula>0</formula>
    </cfRule>
  </conditionalFormatting>
  <conditionalFormatting sqref="B10:F10 B14:F14 H14 H10 K9:K10 K14">
    <cfRule type="cellIs" dxfId="99" priority="17" operator="lessThan">
      <formula>0</formula>
    </cfRule>
  </conditionalFormatting>
  <conditionalFormatting sqref="G16">
    <cfRule type="cellIs" dxfId="98" priority="9" operator="greaterThan">
      <formula>0</formula>
    </cfRule>
  </conditionalFormatting>
  <conditionalFormatting sqref="G14 G10">
    <cfRule type="cellIs" dxfId="97" priority="8" operator="lessThan">
      <formula>0</formula>
    </cfRule>
  </conditionalFormatting>
  <conditionalFormatting sqref="B9:H9 L9:M9">
    <cfRule type="cellIs" dxfId="96" priority="7" operator="lessThan">
      <formula>0</formula>
    </cfRule>
  </conditionalFormatting>
  <conditionalFormatting sqref="J16">
    <cfRule type="cellIs" dxfId="95" priority="6" operator="greaterThan">
      <formula>0</formula>
    </cfRule>
  </conditionalFormatting>
  <conditionalFormatting sqref="J14 J10">
    <cfRule type="cellIs" dxfId="94" priority="5" operator="lessThan">
      <formula>0</formula>
    </cfRule>
  </conditionalFormatting>
  <conditionalFormatting sqref="J9">
    <cfRule type="cellIs" dxfId="93" priority="4" operator="lessThan">
      <formula>0</formula>
    </cfRule>
  </conditionalFormatting>
  <conditionalFormatting sqref="I16">
    <cfRule type="cellIs" dxfId="92" priority="3" operator="greaterThan">
      <formula>0</formula>
    </cfRule>
  </conditionalFormatting>
  <conditionalFormatting sqref="I14 I10">
    <cfRule type="cellIs" dxfId="91" priority="2" operator="lessThan">
      <formula>0</formula>
    </cfRule>
  </conditionalFormatting>
  <conditionalFormatting sqref="I9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2024-12-27T11:44:41Z</dcterms:modified>
</cp:coreProperties>
</file>