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4" activeTab="8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J6" i="9"/>
  <c r="J5" i="9"/>
  <c r="J4" i="9"/>
  <c r="J3" i="9"/>
  <c r="J2" i="9"/>
  <c r="H6" i="9"/>
  <c r="H5" i="9"/>
  <c r="H4" i="9"/>
  <c r="H3" i="9"/>
  <c r="H2" i="9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H29" i="8"/>
  <c r="H28" i="8"/>
  <c r="H26" i="8"/>
  <c r="H25" i="8"/>
  <c r="H24" i="8"/>
  <c r="H23" i="8"/>
  <c r="H22" i="8"/>
  <c r="H19" i="8"/>
  <c r="H18" i="8"/>
  <c r="H17" i="8"/>
  <c r="H16" i="8"/>
  <c r="H14" i="8"/>
  <c r="H13" i="8"/>
  <c r="H12" i="8"/>
  <c r="H11" i="8"/>
  <c r="H9" i="8"/>
  <c r="H8" i="8"/>
  <c r="H7" i="8"/>
  <c r="H6" i="8"/>
  <c r="H5" i="8"/>
  <c r="H4" i="8"/>
  <c r="H3" i="8"/>
  <c r="H2" i="8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H19" i="7"/>
  <c r="H18" i="7"/>
  <c r="H17" i="7"/>
  <c r="H14" i="7"/>
  <c r="H13" i="7"/>
  <c r="H12" i="7"/>
  <c r="H10" i="7"/>
  <c r="H9" i="7"/>
  <c r="H8" i="7"/>
  <c r="H7" i="7"/>
  <c r="H6" i="7"/>
  <c r="H4" i="7"/>
  <c r="H3" i="7"/>
  <c r="H5" i="7" s="1"/>
  <c r="H2" i="7"/>
  <c r="W53" i="2"/>
  <c r="X52" i="2"/>
  <c r="W52" i="2"/>
  <c r="X51" i="2"/>
  <c r="AA51" i="2" s="1"/>
  <c r="W51" i="2"/>
  <c r="X50" i="2"/>
  <c r="W50" i="2"/>
  <c r="X49" i="2"/>
  <c r="W49" i="2"/>
  <c r="X48" i="2"/>
  <c r="X54" i="2" s="1"/>
  <c r="W48" i="2"/>
  <c r="W54" i="2" s="1"/>
  <c r="X16" i="2"/>
  <c r="W16" i="2"/>
  <c r="X15" i="2"/>
  <c r="W15" i="2"/>
  <c r="W20" i="2" s="1"/>
  <c r="X14" i="2"/>
  <c r="X20" i="2" s="1"/>
  <c r="W14" i="2"/>
  <c r="AA57" i="2"/>
  <c r="Z57" i="2"/>
  <c r="AA53" i="2"/>
  <c r="Z53" i="2"/>
  <c r="AA52" i="2"/>
  <c r="Z52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19" i="2"/>
  <c r="Z19" i="2"/>
  <c r="AA18" i="2"/>
  <c r="Z18" i="2"/>
  <c r="AA17" i="2"/>
  <c r="Z17" i="2"/>
  <c r="AA16" i="2"/>
  <c r="Z16" i="2"/>
  <c r="AA15" i="2"/>
  <c r="Z15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10" i="8" l="1"/>
  <c r="H15" i="8"/>
  <c r="H27" i="8"/>
  <c r="H20" i="8"/>
  <c r="H30" i="8"/>
  <c r="H31" i="8" s="1"/>
  <c r="H21" i="8"/>
  <c r="H15" i="7"/>
  <c r="H11" i="7"/>
  <c r="H20" i="7"/>
  <c r="H21" i="7" s="1"/>
  <c r="H16" i="7"/>
  <c r="W21" i="2"/>
  <c r="Z21" i="2" s="1"/>
  <c r="Z20" i="2"/>
  <c r="AA20" i="2"/>
  <c r="X21" i="2"/>
  <c r="AA21" i="2" s="1"/>
  <c r="W55" i="2"/>
  <c r="Z55" i="2" s="1"/>
  <c r="Z54" i="2"/>
  <c r="X55" i="2"/>
  <c r="AA55" i="2" s="1"/>
  <c r="AA54" i="2"/>
  <c r="AA14" i="2"/>
  <c r="T57" i="2" l="1"/>
  <c r="T53" i="2"/>
  <c r="V53" i="2" s="1"/>
  <c r="U52" i="2"/>
  <c r="T52" i="2"/>
  <c r="V52" i="2" s="1"/>
  <c r="U51" i="2"/>
  <c r="T51" i="2"/>
  <c r="V51" i="2" s="1"/>
  <c r="U50" i="2"/>
  <c r="T50" i="2"/>
  <c r="V50" i="2" s="1"/>
  <c r="U49" i="2"/>
  <c r="T49" i="2"/>
  <c r="V49" i="2" s="1"/>
  <c r="U48" i="2"/>
  <c r="U61" i="2" s="1"/>
  <c r="T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T20" i="2"/>
  <c r="T21" i="2" s="1"/>
  <c r="V19" i="2"/>
  <c r="V18" i="2"/>
  <c r="V17" i="2"/>
  <c r="U16" i="2"/>
  <c r="T16" i="2"/>
  <c r="V16" i="2" s="1"/>
  <c r="U15" i="2"/>
  <c r="U57" i="2" s="1"/>
  <c r="T15" i="2"/>
  <c r="V15" i="2" s="1"/>
  <c r="U14" i="2"/>
  <c r="U56" i="2" s="1"/>
  <c r="T14" i="2"/>
  <c r="T56" i="2" s="1"/>
  <c r="V13" i="2"/>
  <c r="V12" i="2"/>
  <c r="V11" i="2"/>
  <c r="V10" i="2"/>
  <c r="V9" i="2"/>
  <c r="V8" i="2"/>
  <c r="V7" i="2"/>
  <c r="V6" i="2"/>
  <c r="V5" i="2"/>
  <c r="V4" i="2"/>
  <c r="V3" i="2"/>
  <c r="I27" i="5"/>
  <c r="I28" i="5" s="1"/>
  <c r="I26" i="5"/>
  <c r="I13" i="5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2" i="10"/>
  <c r="H15" i="10"/>
  <c r="H13" i="10"/>
  <c r="H12" i="10"/>
  <c r="H11" i="10"/>
  <c r="H9" i="10"/>
  <c r="H8" i="10"/>
  <c r="H7" i="10"/>
  <c r="H6" i="10"/>
  <c r="H5" i="10"/>
  <c r="H4" i="10"/>
  <c r="H3" i="10"/>
  <c r="H2" i="10"/>
  <c r="H10" i="10" s="1"/>
  <c r="H14" i="10" s="1"/>
  <c r="H16" i="10" s="1"/>
  <c r="K27" i="6"/>
  <c r="K26" i="6"/>
  <c r="K25" i="6"/>
  <c r="K24" i="6"/>
  <c r="K23" i="6"/>
  <c r="K22" i="6"/>
  <c r="K20" i="6"/>
  <c r="K19" i="6"/>
  <c r="K18" i="6"/>
  <c r="K17" i="6"/>
  <c r="K16" i="6"/>
  <c r="K15" i="6"/>
  <c r="K14" i="6"/>
  <c r="K13" i="6"/>
  <c r="K12" i="6"/>
  <c r="K11" i="6"/>
  <c r="K9" i="6"/>
  <c r="K8" i="6"/>
  <c r="K7" i="6"/>
  <c r="K6" i="6"/>
  <c r="K5" i="6"/>
  <c r="K4" i="6"/>
  <c r="K3" i="6"/>
  <c r="K2" i="6"/>
  <c r="I21" i="6"/>
  <c r="I10" i="6"/>
  <c r="I29" i="6" s="1"/>
  <c r="J23" i="1"/>
  <c r="J19" i="1"/>
  <c r="J13" i="1"/>
  <c r="J7" i="1"/>
  <c r="J21" i="1" s="1"/>
  <c r="U20" i="2" l="1"/>
  <c r="U21" i="2" s="1"/>
  <c r="V48" i="2"/>
  <c r="U54" i="2"/>
  <c r="U55" i="2" s="1"/>
  <c r="T54" i="2"/>
  <c r="V20" i="2"/>
  <c r="T58" i="2"/>
  <c r="U58" i="2"/>
  <c r="V14" i="2"/>
  <c r="U60" i="2"/>
  <c r="I28" i="6"/>
  <c r="G3" i="13"/>
  <c r="G4" i="13"/>
  <c r="T55" i="2" l="1"/>
  <c r="V54" i="2"/>
  <c r="U59" i="2"/>
  <c r="V21" i="2"/>
  <c r="C9" i="10"/>
  <c r="D9" i="10"/>
  <c r="E9" i="10"/>
  <c r="F9" i="10"/>
  <c r="G9" i="10"/>
  <c r="B9" i="10"/>
  <c r="V55" i="2" l="1"/>
  <c r="T59" i="2"/>
  <c r="J9" i="12"/>
  <c r="J8" i="12"/>
  <c r="J7" i="12"/>
  <c r="J6" i="12"/>
  <c r="J5" i="12"/>
  <c r="J4" i="12"/>
  <c r="J3" i="12"/>
  <c r="J2" i="12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27" i="8" l="1"/>
  <c r="G5" i="7"/>
  <c r="G15" i="7"/>
  <c r="G20" i="8"/>
  <c r="G10" i="8"/>
  <c r="G15" i="8"/>
  <c r="G11" i="7"/>
  <c r="G21" i="8" l="1"/>
  <c r="G16" i="7"/>
  <c r="G30" i="8"/>
  <c r="G20" i="7"/>
  <c r="Q53" i="2"/>
  <c r="S53" i="2" s="1"/>
  <c r="S52" i="2"/>
  <c r="R52" i="2"/>
  <c r="Q52" i="2"/>
  <c r="R51" i="2"/>
  <c r="R54" i="2" s="1"/>
  <c r="R55" i="2" s="1"/>
  <c r="Q51" i="2"/>
  <c r="S51" i="2" s="1"/>
  <c r="R50" i="2"/>
  <c r="Q50" i="2"/>
  <c r="S50" i="2" s="1"/>
  <c r="S49" i="2"/>
  <c r="R49" i="2"/>
  <c r="Q49" i="2"/>
  <c r="S48" i="2"/>
  <c r="R48" i="2"/>
  <c r="R61" i="2" s="1"/>
  <c r="Q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19" i="2"/>
  <c r="S18" i="2"/>
  <c r="S17" i="2"/>
  <c r="S16" i="2"/>
  <c r="R16" i="2"/>
  <c r="Q16" i="2"/>
  <c r="R15" i="2"/>
  <c r="Q15" i="2"/>
  <c r="S15" i="2" s="1"/>
  <c r="R14" i="2"/>
  <c r="Q14" i="2"/>
  <c r="S13" i="2"/>
  <c r="S12" i="2"/>
  <c r="S11" i="2"/>
  <c r="S10" i="2"/>
  <c r="S9" i="2"/>
  <c r="S8" i="2"/>
  <c r="S7" i="2"/>
  <c r="S6" i="2"/>
  <c r="S5" i="2"/>
  <c r="S4" i="2"/>
  <c r="S3" i="2"/>
  <c r="H27" i="5"/>
  <c r="H28" i="5" s="1"/>
  <c r="H26" i="5"/>
  <c r="H13" i="5"/>
  <c r="G15" i="10"/>
  <c r="G13" i="10"/>
  <c r="G12" i="10"/>
  <c r="G11" i="10"/>
  <c r="G8" i="10"/>
  <c r="G7" i="10"/>
  <c r="G6" i="10"/>
  <c r="G4" i="10"/>
  <c r="G3" i="10"/>
  <c r="H21" i="6"/>
  <c r="G5" i="10" s="1"/>
  <c r="H10" i="6"/>
  <c r="I23" i="1"/>
  <c r="I19" i="1"/>
  <c r="I13" i="1"/>
  <c r="I7" i="1"/>
  <c r="I21" i="1" s="1"/>
  <c r="R56" i="2" l="1"/>
  <c r="R20" i="2"/>
  <c r="Q56" i="2"/>
  <c r="G2" i="9" s="1"/>
  <c r="R57" i="2"/>
  <c r="G4" i="9"/>
  <c r="G21" i="7"/>
  <c r="Q57" i="2"/>
  <c r="G31" i="8"/>
  <c r="H28" i="6"/>
  <c r="H29" i="6"/>
  <c r="G2" i="10"/>
  <c r="G10" i="10" s="1"/>
  <c r="G14" i="10" s="1"/>
  <c r="G16" i="10" s="1"/>
  <c r="Q20" i="2"/>
  <c r="Q54" i="2"/>
  <c r="Q58" i="2"/>
  <c r="G5" i="9" s="1"/>
  <c r="R58" i="2"/>
  <c r="S14" i="2"/>
  <c r="R60" i="2"/>
  <c r="G3" i="9" l="1"/>
  <c r="R21" i="2"/>
  <c r="Q21" i="2"/>
  <c r="S20" i="2"/>
  <c r="Q55" i="2"/>
  <c r="S55" i="2" s="1"/>
  <c r="S54" i="2"/>
  <c r="C28" i="5"/>
  <c r="D28" i="5"/>
  <c r="E28" i="5"/>
  <c r="F28" i="5"/>
  <c r="G28" i="5"/>
  <c r="B28" i="5"/>
  <c r="R59" i="2" l="1"/>
  <c r="S21" i="2"/>
  <c r="Q59" i="2"/>
  <c r="G6" i="9" s="1"/>
  <c r="G11" i="13"/>
  <c r="G10" i="13"/>
  <c r="G9" i="13"/>
  <c r="G8" i="13"/>
  <c r="G7" i="13"/>
  <c r="G6" i="13"/>
  <c r="G5" i="13"/>
  <c r="B27" i="5" l="1"/>
  <c r="C27" i="5"/>
  <c r="D27" i="5"/>
  <c r="E27" i="5"/>
  <c r="F27" i="5"/>
  <c r="G27" i="5"/>
  <c r="J27" i="5"/>
  <c r="I9" i="12" l="1"/>
  <c r="I8" i="12"/>
  <c r="I7" i="12"/>
  <c r="I6" i="12"/>
  <c r="I5" i="12"/>
  <c r="I4" i="12"/>
  <c r="I3" i="12"/>
  <c r="I2" i="12"/>
  <c r="F29" i="8"/>
  <c r="F28" i="8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15" i="7" l="1"/>
  <c r="F5" i="7"/>
  <c r="F10" i="8"/>
  <c r="F15" i="8"/>
  <c r="F27" i="8"/>
  <c r="F20" i="8"/>
  <c r="F11" i="7"/>
  <c r="F20" i="7" s="1"/>
  <c r="F16" i="7" l="1"/>
  <c r="F21" i="7"/>
  <c r="F21" i="8"/>
  <c r="F30" i="8"/>
  <c r="N54" i="2"/>
  <c r="N55" i="2" s="1"/>
  <c r="N53" i="2"/>
  <c r="P53" i="2" s="1"/>
  <c r="O52" i="2"/>
  <c r="N52" i="2"/>
  <c r="P52" i="2" s="1"/>
  <c r="O51" i="2"/>
  <c r="N51" i="2"/>
  <c r="P51" i="2" s="1"/>
  <c r="O50" i="2"/>
  <c r="N50" i="2"/>
  <c r="P50" i="2" s="1"/>
  <c r="O49" i="2"/>
  <c r="N49" i="2"/>
  <c r="P49" i="2" s="1"/>
  <c r="O48" i="2"/>
  <c r="O61" i="2" s="1"/>
  <c r="N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F4" i="9" s="1"/>
  <c r="O15" i="2"/>
  <c r="N15" i="2"/>
  <c r="O14" i="2"/>
  <c r="N14" i="2"/>
  <c r="P13" i="2"/>
  <c r="P12" i="2"/>
  <c r="P11" i="2"/>
  <c r="P10" i="2"/>
  <c r="P9" i="2"/>
  <c r="P8" i="2"/>
  <c r="P7" i="2"/>
  <c r="P6" i="2"/>
  <c r="P5" i="2"/>
  <c r="P4" i="2"/>
  <c r="P3" i="2"/>
  <c r="P16" i="2" l="1"/>
  <c r="N56" i="2"/>
  <c r="F2" i="9" s="1"/>
  <c r="O57" i="2"/>
  <c r="O56" i="2"/>
  <c r="F31" i="8"/>
  <c r="N57" i="2"/>
  <c r="F3" i="9" s="1"/>
  <c r="P14" i="2"/>
  <c r="N20" i="2"/>
  <c r="P20" i="2" s="1"/>
  <c r="P15" i="2"/>
  <c r="O20" i="2"/>
  <c r="P48" i="2"/>
  <c r="O54" i="2"/>
  <c r="O55" i="2" s="1"/>
  <c r="P55" i="2" s="1"/>
  <c r="N58" i="2"/>
  <c r="F5" i="9" s="1"/>
  <c r="O58" i="2"/>
  <c r="O60" i="2"/>
  <c r="G26" i="5"/>
  <c r="G13" i="5"/>
  <c r="F15" i="10"/>
  <c r="F13" i="10"/>
  <c r="F12" i="10"/>
  <c r="F11" i="10"/>
  <c r="F8" i="10"/>
  <c r="F7" i="10"/>
  <c r="F6" i="10"/>
  <c r="F4" i="10"/>
  <c r="F3" i="10"/>
  <c r="G21" i="6"/>
  <c r="F5" i="10" s="1"/>
  <c r="G10" i="6"/>
  <c r="H23" i="1"/>
  <c r="H19" i="1"/>
  <c r="H13" i="1"/>
  <c r="H7" i="1"/>
  <c r="H21" i="1" s="1"/>
  <c r="G28" i="6" l="1"/>
  <c r="G29" i="6"/>
  <c r="N21" i="2"/>
  <c r="N59" i="2" s="1"/>
  <c r="F6" i="9" s="1"/>
  <c r="O21" i="2"/>
  <c r="F2" i="10"/>
  <c r="F10" i="10" s="1"/>
  <c r="F14" i="10" s="1"/>
  <c r="F16" i="10" s="1"/>
  <c r="O59" i="2"/>
  <c r="P21" i="2"/>
  <c r="P54" i="2"/>
  <c r="H9" i="12" l="1"/>
  <c r="H8" i="12"/>
  <c r="H7" i="12"/>
  <c r="H6" i="12"/>
  <c r="H5" i="12"/>
  <c r="H4" i="12"/>
  <c r="H3" i="12"/>
  <c r="H2" i="12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M53" i="2"/>
  <c r="K53" i="2"/>
  <c r="E29" i="8" s="1"/>
  <c r="L52" i="2"/>
  <c r="K52" i="2"/>
  <c r="E28" i="8" s="1"/>
  <c r="L51" i="2"/>
  <c r="K51" i="2"/>
  <c r="M51" i="2" s="1"/>
  <c r="L50" i="2"/>
  <c r="K50" i="2"/>
  <c r="L49" i="2"/>
  <c r="K49" i="2"/>
  <c r="M49" i="2" s="1"/>
  <c r="M48" i="2"/>
  <c r="L48" i="2"/>
  <c r="K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19" i="2"/>
  <c r="M18" i="2"/>
  <c r="M17" i="2"/>
  <c r="L16" i="2"/>
  <c r="K16" i="2"/>
  <c r="L15" i="2"/>
  <c r="K15" i="2"/>
  <c r="K57" i="2" s="1"/>
  <c r="E3" i="9" s="1"/>
  <c r="L14" i="2"/>
  <c r="K14" i="2"/>
  <c r="M13" i="2"/>
  <c r="M12" i="2"/>
  <c r="M11" i="2"/>
  <c r="M10" i="2"/>
  <c r="M9" i="2"/>
  <c r="M8" i="2"/>
  <c r="M7" i="2"/>
  <c r="M6" i="2"/>
  <c r="M5" i="2"/>
  <c r="M4" i="2"/>
  <c r="M3" i="2"/>
  <c r="L20" i="2" l="1"/>
  <c r="L21" i="2" s="1"/>
  <c r="M15" i="2"/>
  <c r="E5" i="7"/>
  <c r="M16" i="2"/>
  <c r="M52" i="2"/>
  <c r="E4" i="9"/>
  <c r="K54" i="2"/>
  <c r="L57" i="2"/>
  <c r="K20" i="2"/>
  <c r="M50" i="2"/>
  <c r="E27" i="8"/>
  <c r="E10" i="8"/>
  <c r="E15" i="8"/>
  <c r="E20" i="8"/>
  <c r="E11" i="7"/>
  <c r="E15" i="7"/>
  <c r="L56" i="2"/>
  <c r="L58" i="2"/>
  <c r="L61" i="2"/>
  <c r="M14" i="2"/>
  <c r="K56" i="2"/>
  <c r="K58" i="2"/>
  <c r="L60" i="2"/>
  <c r="L54" i="2"/>
  <c r="L55" i="2" l="1"/>
  <c r="E30" i="8"/>
  <c r="E16" i="7"/>
  <c r="K55" i="2"/>
  <c r="K21" i="2"/>
  <c r="E5" i="9"/>
  <c r="M20" i="2"/>
  <c r="E2" i="9"/>
  <c r="E21" i="8"/>
  <c r="E20" i="7"/>
  <c r="M54" i="2"/>
  <c r="M21" i="2" l="1"/>
  <c r="K59" i="2"/>
  <c r="E6" i="9" s="1"/>
  <c r="L59" i="2"/>
  <c r="M55" i="2"/>
  <c r="E21" i="7"/>
  <c r="E31" i="8"/>
  <c r="J26" i="5"/>
  <c r="J28" i="5" s="1"/>
  <c r="J13" i="5"/>
  <c r="I15" i="10"/>
  <c r="I13" i="10"/>
  <c r="I12" i="10"/>
  <c r="I11" i="10"/>
  <c r="I8" i="10"/>
  <c r="I7" i="10"/>
  <c r="I6" i="10"/>
  <c r="I4" i="10"/>
  <c r="I3" i="10"/>
  <c r="J21" i="6"/>
  <c r="K21" i="6" s="1"/>
  <c r="J10" i="6"/>
  <c r="K10" i="6" s="1"/>
  <c r="K23" i="1"/>
  <c r="K19" i="1"/>
  <c r="K13" i="1"/>
  <c r="K7" i="1"/>
  <c r="L9" i="12"/>
  <c r="L8" i="12"/>
  <c r="L7" i="12"/>
  <c r="L6" i="12"/>
  <c r="L5" i="12"/>
  <c r="L4" i="12"/>
  <c r="L3" i="12"/>
  <c r="L2" i="12"/>
  <c r="K4" i="9"/>
  <c r="I4" i="9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X61" i="2"/>
  <c r="X57" i="2"/>
  <c r="K3" i="9" s="1"/>
  <c r="W57" i="2"/>
  <c r="I3" i="9" s="1"/>
  <c r="X60" i="2"/>
  <c r="H53" i="2"/>
  <c r="J53" i="2" s="1"/>
  <c r="I52" i="2"/>
  <c r="H52" i="2"/>
  <c r="J52" i="2" s="1"/>
  <c r="I51" i="2"/>
  <c r="H51" i="2"/>
  <c r="I50" i="2"/>
  <c r="H50" i="2"/>
  <c r="J50" i="2" s="1"/>
  <c r="I49" i="2"/>
  <c r="H49" i="2"/>
  <c r="J49" i="2" s="1"/>
  <c r="I48" i="2"/>
  <c r="I54" i="2" s="1"/>
  <c r="I55" i="2" s="1"/>
  <c r="H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I16" i="2"/>
  <c r="H16" i="2"/>
  <c r="I15" i="2"/>
  <c r="H15" i="2"/>
  <c r="H57" i="2" s="1"/>
  <c r="I14" i="2"/>
  <c r="H14" i="2"/>
  <c r="J13" i="2"/>
  <c r="J12" i="2"/>
  <c r="J11" i="2"/>
  <c r="J10" i="2"/>
  <c r="J9" i="2"/>
  <c r="J8" i="2"/>
  <c r="J7" i="2"/>
  <c r="J6" i="2"/>
  <c r="J5" i="2"/>
  <c r="J4" i="2"/>
  <c r="J3" i="2"/>
  <c r="F26" i="5"/>
  <c r="F13" i="5"/>
  <c r="E15" i="10"/>
  <c r="E13" i="10"/>
  <c r="E12" i="10"/>
  <c r="E11" i="10"/>
  <c r="E8" i="10"/>
  <c r="E7" i="10"/>
  <c r="E6" i="10"/>
  <c r="E4" i="10"/>
  <c r="E3" i="10"/>
  <c r="F21" i="6"/>
  <c r="F10" i="6"/>
  <c r="D23" i="1"/>
  <c r="E23" i="1"/>
  <c r="F23" i="1"/>
  <c r="G23" i="1"/>
  <c r="G19" i="1"/>
  <c r="G13" i="1"/>
  <c r="G7" i="1"/>
  <c r="E2" i="10" l="1"/>
  <c r="F29" i="6"/>
  <c r="J29" i="6"/>
  <c r="J14" i="2"/>
  <c r="I2" i="10"/>
  <c r="D4" i="9"/>
  <c r="I60" i="2"/>
  <c r="J51" i="2"/>
  <c r="I5" i="10"/>
  <c r="J48" i="2"/>
  <c r="J28" i="6"/>
  <c r="K28" i="6" s="1"/>
  <c r="K21" i="1"/>
  <c r="H58" i="2"/>
  <c r="D29" i="8"/>
  <c r="I57" i="2"/>
  <c r="I58" i="2"/>
  <c r="W56" i="2"/>
  <c r="Z56" i="2" s="1"/>
  <c r="W58" i="2"/>
  <c r="Z58" i="2" s="1"/>
  <c r="I61" i="2"/>
  <c r="D3" i="9"/>
  <c r="H56" i="2"/>
  <c r="E5" i="10"/>
  <c r="I56" i="2"/>
  <c r="J15" i="2"/>
  <c r="J16" i="2"/>
  <c r="X56" i="2"/>
  <c r="AA56" i="2" s="1"/>
  <c r="X58" i="2"/>
  <c r="AA58" i="2" s="1"/>
  <c r="D28" i="8"/>
  <c r="D10" i="8"/>
  <c r="D15" i="8"/>
  <c r="D20" i="8"/>
  <c r="D27" i="8"/>
  <c r="D5" i="7"/>
  <c r="D15" i="7"/>
  <c r="D11" i="7"/>
  <c r="H20" i="2"/>
  <c r="H54" i="2"/>
  <c r="I20" i="2"/>
  <c r="I21" i="2" s="1"/>
  <c r="I59" i="2" s="1"/>
  <c r="F28" i="6"/>
  <c r="G21" i="1"/>
  <c r="K29" i="6" l="1"/>
  <c r="I9" i="10"/>
  <c r="I10" i="10"/>
  <c r="K5" i="9"/>
  <c r="K2" i="9"/>
  <c r="I5" i="9"/>
  <c r="I2" i="9"/>
  <c r="D16" i="7"/>
  <c r="D2" i="9"/>
  <c r="E10" i="10"/>
  <c r="D20" i="7"/>
  <c r="D21" i="8"/>
  <c r="D30" i="8"/>
  <c r="D5" i="9"/>
  <c r="J20" i="2"/>
  <c r="H21" i="2"/>
  <c r="J54" i="2"/>
  <c r="H55" i="2"/>
  <c r="J55" i="2" s="1"/>
  <c r="I14" i="10" l="1"/>
  <c r="H59" i="2"/>
  <c r="D6" i="9" s="1"/>
  <c r="D21" i="7"/>
  <c r="E14" i="10"/>
  <c r="D31" i="8"/>
  <c r="J21" i="2"/>
  <c r="I16" i="10" l="1"/>
  <c r="E16" i="10"/>
  <c r="B24" i="5"/>
  <c r="B23" i="5"/>
  <c r="B21" i="5"/>
  <c r="C24" i="5"/>
  <c r="C23" i="5"/>
  <c r="C21" i="5"/>
  <c r="B15" i="5"/>
  <c r="C15" i="5"/>
  <c r="C5" i="5" l="1"/>
  <c r="C16" i="6"/>
  <c r="C14" i="6"/>
  <c r="C5" i="6"/>
  <c r="C4" i="6"/>
  <c r="E53" i="2"/>
  <c r="F52" i="2"/>
  <c r="E52" i="2"/>
  <c r="E51" i="2"/>
  <c r="F50" i="2"/>
  <c r="E50" i="2"/>
  <c r="F49" i="2"/>
  <c r="E49" i="2"/>
  <c r="F48" i="2"/>
  <c r="E48" i="2"/>
  <c r="F16" i="2"/>
  <c r="E16" i="2"/>
  <c r="F15" i="2"/>
  <c r="E15" i="2"/>
  <c r="F14" i="2"/>
  <c r="E14" i="2"/>
  <c r="B53" i="2"/>
  <c r="C52" i="2"/>
  <c r="B52" i="2"/>
  <c r="C50" i="2"/>
  <c r="B50" i="2"/>
  <c r="C49" i="2"/>
  <c r="B49" i="2"/>
  <c r="C48" i="2"/>
  <c r="B48" i="2"/>
  <c r="B42" i="2"/>
  <c r="B40" i="2"/>
  <c r="C16" i="2"/>
  <c r="B16" i="2"/>
  <c r="B4" i="9" s="1"/>
  <c r="C15" i="2"/>
  <c r="B15" i="2"/>
  <c r="B57" i="2" s="1"/>
  <c r="B3" i="9" s="1"/>
  <c r="C14" i="2"/>
  <c r="B14" i="2"/>
  <c r="C57" i="2" l="1"/>
  <c r="E57" i="2"/>
  <c r="C3" i="9" s="1"/>
  <c r="F57" i="2"/>
  <c r="B58" i="2"/>
  <c r="B5" i="9" s="1"/>
  <c r="B56" i="2"/>
  <c r="B2" i="9" s="1"/>
  <c r="F61" i="2"/>
  <c r="E58" i="2"/>
  <c r="C5" i="9" s="1"/>
  <c r="E56" i="2"/>
  <c r="C2" i="9" s="1"/>
  <c r="C58" i="2"/>
  <c r="C60" i="2"/>
  <c r="C56" i="2"/>
  <c r="C61" i="2"/>
  <c r="C4" i="9"/>
  <c r="F58" i="2"/>
  <c r="F56" i="2"/>
  <c r="F60" i="2"/>
  <c r="B20" i="2"/>
  <c r="B21" i="2" s="1"/>
  <c r="F20" i="2"/>
  <c r="F21" i="2" s="1"/>
  <c r="C20" i="2"/>
  <c r="C21" i="2" s="1"/>
  <c r="E20" i="2"/>
  <c r="E21" i="2" s="1"/>
  <c r="B51" i="2"/>
  <c r="B13" i="1" l="1"/>
  <c r="B7" i="1"/>
  <c r="C7" i="1"/>
  <c r="B21" i="1" l="1"/>
  <c r="C21" i="1"/>
  <c r="D21" i="6" l="1"/>
  <c r="E21" i="6"/>
  <c r="C21" i="6"/>
  <c r="E10" i="6"/>
  <c r="E29" i="6" s="1"/>
  <c r="D10" i="6"/>
  <c r="D29" i="6" s="1"/>
  <c r="C10" i="6"/>
  <c r="C29" i="6" s="1"/>
  <c r="B26" i="5" l="1"/>
  <c r="B13" i="5"/>
  <c r="E19" i="1"/>
  <c r="D19" i="1"/>
  <c r="F19" i="1"/>
  <c r="D13" i="1"/>
  <c r="E13" i="1"/>
  <c r="F13" i="1"/>
  <c r="D7" i="1"/>
  <c r="E7" i="1"/>
  <c r="F7" i="1"/>
  <c r="E26" i="5" l="1"/>
  <c r="D26" i="5"/>
  <c r="C26" i="5"/>
  <c r="E13" i="5"/>
  <c r="D13" i="5"/>
  <c r="C13" i="5"/>
  <c r="D28" i="6"/>
  <c r="E28" i="6"/>
  <c r="C28" i="6"/>
  <c r="D21" i="1" l="1"/>
  <c r="E21" i="1"/>
  <c r="F21" i="1"/>
  <c r="B6" i="10" l="1"/>
  <c r="C6" i="10"/>
  <c r="D6" i="10"/>
  <c r="B7" i="10"/>
  <c r="C7" i="10"/>
  <c r="D7" i="10"/>
  <c r="B8" i="10"/>
  <c r="C8" i="10"/>
  <c r="D8" i="10"/>
  <c r="B3" i="10"/>
  <c r="C3" i="10"/>
  <c r="D3" i="10"/>
  <c r="B4" i="10"/>
  <c r="C4" i="10"/>
  <c r="D4" i="10"/>
  <c r="G6" i="12" l="1"/>
  <c r="F2" i="12"/>
  <c r="G2" i="12"/>
  <c r="F3" i="12"/>
  <c r="G3" i="12"/>
  <c r="F4" i="12"/>
  <c r="G4" i="12"/>
  <c r="F5" i="12"/>
  <c r="G5" i="12"/>
  <c r="F6" i="12"/>
  <c r="F7" i="12"/>
  <c r="G7" i="12"/>
  <c r="F8" i="12"/>
  <c r="G8" i="12"/>
  <c r="F9" i="12"/>
  <c r="G9" i="12"/>
  <c r="E9" i="12"/>
  <c r="E8" i="12"/>
  <c r="E7" i="12"/>
  <c r="E6" i="12"/>
  <c r="E5" i="12"/>
  <c r="E4" i="12"/>
  <c r="E3" i="12"/>
  <c r="E2" i="12"/>
  <c r="B11" i="10"/>
  <c r="C11" i="10"/>
  <c r="D11" i="10"/>
  <c r="B12" i="10"/>
  <c r="C12" i="10"/>
  <c r="D12" i="10"/>
  <c r="B13" i="10"/>
  <c r="C13" i="10"/>
  <c r="D13" i="10"/>
  <c r="B15" i="10"/>
  <c r="C15" i="10"/>
  <c r="D15" i="10"/>
  <c r="L2" i="8" l="1"/>
  <c r="L3" i="8"/>
  <c r="L4" i="8"/>
  <c r="L5" i="8"/>
  <c r="L6" i="8"/>
  <c r="L7" i="8"/>
  <c r="L8" i="8"/>
  <c r="L9" i="8"/>
  <c r="L11" i="8"/>
  <c r="L12" i="8"/>
  <c r="L13" i="8"/>
  <c r="L14" i="8"/>
  <c r="L16" i="8"/>
  <c r="L17" i="8"/>
  <c r="L18" i="8"/>
  <c r="L19" i="8"/>
  <c r="L22" i="8"/>
  <c r="L23" i="8"/>
  <c r="L24" i="8"/>
  <c r="L25" i="8"/>
  <c r="L26" i="8"/>
  <c r="L29" i="8"/>
  <c r="I26" i="8"/>
  <c r="M26" i="8" s="1"/>
  <c r="I25" i="8"/>
  <c r="M25" i="8" s="1"/>
  <c r="I24" i="8"/>
  <c r="I23" i="8"/>
  <c r="I22" i="8"/>
  <c r="I19" i="8"/>
  <c r="I18" i="8"/>
  <c r="I17" i="8"/>
  <c r="M17" i="8" s="1"/>
  <c r="I16" i="8"/>
  <c r="I14" i="8"/>
  <c r="I13" i="8"/>
  <c r="M13" i="8" s="1"/>
  <c r="I12" i="8"/>
  <c r="I11" i="8"/>
  <c r="I9" i="8"/>
  <c r="I8" i="8"/>
  <c r="I7" i="8"/>
  <c r="I6" i="8"/>
  <c r="I5" i="8"/>
  <c r="I4" i="8"/>
  <c r="I3" i="8"/>
  <c r="I2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L2" i="7"/>
  <c r="L3" i="7"/>
  <c r="L4" i="7"/>
  <c r="L6" i="7"/>
  <c r="L7" i="7"/>
  <c r="L8" i="7"/>
  <c r="L9" i="7"/>
  <c r="L10" i="7"/>
  <c r="L12" i="7"/>
  <c r="L13" i="7"/>
  <c r="L14" i="7"/>
  <c r="L17" i="7"/>
  <c r="L18" i="7"/>
  <c r="L19" i="7"/>
  <c r="I19" i="7"/>
  <c r="I18" i="7"/>
  <c r="I17" i="7"/>
  <c r="I14" i="7"/>
  <c r="I13" i="7"/>
  <c r="I12" i="7"/>
  <c r="I10" i="7"/>
  <c r="I9" i="7"/>
  <c r="I8" i="7"/>
  <c r="I7" i="7"/>
  <c r="I6" i="7"/>
  <c r="I4" i="7"/>
  <c r="I3" i="7"/>
  <c r="I2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M19" i="8" l="1"/>
  <c r="M5" i="8"/>
  <c r="M9" i="8"/>
  <c r="M7" i="8"/>
  <c r="M8" i="7"/>
  <c r="M13" i="7"/>
  <c r="M6" i="7"/>
  <c r="M18" i="8"/>
  <c r="M6" i="8"/>
  <c r="M22" i="8"/>
  <c r="L20" i="8"/>
  <c r="M10" i="7"/>
  <c r="M9" i="7"/>
  <c r="M19" i="7"/>
  <c r="L11" i="7"/>
  <c r="I15" i="8"/>
  <c r="M23" i="8"/>
  <c r="B5" i="7"/>
  <c r="M4" i="8"/>
  <c r="M8" i="8"/>
  <c r="M24" i="8"/>
  <c r="L15" i="7"/>
  <c r="M14" i="7"/>
  <c r="B11" i="7"/>
  <c r="M4" i="7"/>
  <c r="B27" i="8"/>
  <c r="B15" i="7"/>
  <c r="I27" i="8"/>
  <c r="L27" i="8"/>
  <c r="L15" i="8"/>
  <c r="C27" i="8"/>
  <c r="L10" i="8"/>
  <c r="I10" i="8"/>
  <c r="I20" i="8"/>
  <c r="C10" i="8"/>
  <c r="C15" i="8"/>
  <c r="C20" i="8"/>
  <c r="M14" i="8"/>
  <c r="M3" i="8"/>
  <c r="M12" i="8"/>
  <c r="B20" i="8"/>
  <c r="B15" i="8"/>
  <c r="B10" i="8"/>
  <c r="M2" i="8"/>
  <c r="M11" i="8"/>
  <c r="M16" i="8"/>
  <c r="M2" i="7"/>
  <c r="L5" i="7"/>
  <c r="M17" i="7"/>
  <c r="C15" i="7"/>
  <c r="C11" i="7"/>
  <c r="M7" i="7"/>
  <c r="M12" i="7"/>
  <c r="M18" i="7"/>
  <c r="I11" i="7"/>
  <c r="I5" i="7"/>
  <c r="I15" i="7"/>
  <c r="M3" i="7"/>
  <c r="C5" i="7"/>
  <c r="I21" i="8" l="1"/>
  <c r="B21" i="8"/>
  <c r="C21" i="8"/>
  <c r="L21" i="8"/>
  <c r="C16" i="7"/>
  <c r="L16" i="7"/>
  <c r="I16" i="7"/>
  <c r="B16" i="7"/>
  <c r="B20" i="7"/>
  <c r="B21" i="7" s="1"/>
  <c r="L20" i="7"/>
  <c r="L21" i="7" s="1"/>
  <c r="M11" i="7"/>
  <c r="M20" i="8"/>
  <c r="M15" i="7"/>
  <c r="C30" i="8"/>
  <c r="C31" i="8" s="1"/>
  <c r="M27" i="8"/>
  <c r="B30" i="8"/>
  <c r="B31" i="8" s="1"/>
  <c r="M15" i="8"/>
  <c r="M10" i="8"/>
  <c r="C20" i="7"/>
  <c r="C21" i="7" s="1"/>
  <c r="I20" i="7"/>
  <c r="M5" i="7"/>
  <c r="I21" i="7" l="1"/>
  <c r="M21" i="8"/>
  <c r="M16" i="7"/>
  <c r="M20" i="7"/>
  <c r="L28" i="8"/>
  <c r="L30" i="8" s="1"/>
  <c r="L31" i="8" s="1"/>
  <c r="J2" i="7" l="1"/>
  <c r="J16" i="7"/>
  <c r="J13" i="7"/>
  <c r="J12" i="7"/>
  <c r="J5" i="7"/>
  <c r="J9" i="7"/>
  <c r="J10" i="7"/>
  <c r="J8" i="7"/>
  <c r="J21" i="7"/>
  <c r="M21" i="7"/>
  <c r="J6" i="7"/>
  <c r="J17" i="7"/>
  <c r="J3" i="7"/>
  <c r="J4" i="7"/>
  <c r="J15" i="7"/>
  <c r="J14" i="7"/>
  <c r="J18" i="7"/>
  <c r="J7" i="7"/>
  <c r="J11" i="7"/>
  <c r="C5" i="10"/>
  <c r="D5" i="10"/>
  <c r="B5" i="10"/>
  <c r="C2" i="10"/>
  <c r="D2" i="10"/>
  <c r="B2" i="10"/>
  <c r="C10" i="10" l="1"/>
  <c r="C14" i="10" s="1"/>
  <c r="C16" i="10" s="1"/>
  <c r="B10" i="10"/>
  <c r="B14" i="10" s="1"/>
  <c r="B16" i="10" s="1"/>
  <c r="D10" i="10"/>
  <c r="E54" i="2"/>
  <c r="E55" i="2" s="1"/>
  <c r="E59" i="2" s="1"/>
  <c r="C6" i="9" s="1"/>
  <c r="F54" i="2"/>
  <c r="F55" i="2" s="1"/>
  <c r="F59" i="2" s="1"/>
  <c r="D14" i="10" l="1"/>
  <c r="D16" i="10" l="1"/>
  <c r="Y47" i="2" l="1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I28" i="8" l="1"/>
  <c r="Y53" i="2" l="1"/>
  <c r="I29" i="8"/>
  <c r="M28" i="8"/>
  <c r="Y49" i="2"/>
  <c r="Y52" i="2"/>
  <c r="Y51" i="2"/>
  <c r="Y50" i="2"/>
  <c r="Y48" i="2"/>
  <c r="Y16" i="2"/>
  <c r="Y14" i="2"/>
  <c r="Y15" i="2"/>
  <c r="I30" i="8" l="1"/>
  <c r="M29" i="8"/>
  <c r="Y21" i="2"/>
  <c r="Y20" i="2"/>
  <c r="Y54" i="2"/>
  <c r="G12" i="2"/>
  <c r="D53" i="2"/>
  <c r="D52" i="2"/>
  <c r="W59" i="2" l="1"/>
  <c r="I31" i="8"/>
  <c r="M30" i="8"/>
  <c r="X59" i="2"/>
  <c r="Y55" i="2"/>
  <c r="J25" i="8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K6" i="9" l="1"/>
  <c r="AA59" i="2"/>
  <c r="I6" i="9"/>
  <c r="Z59" i="2"/>
  <c r="J18" i="8"/>
  <c r="J17" i="8"/>
  <c r="J31" i="8"/>
  <c r="J4" i="8"/>
  <c r="J27" i="8"/>
  <c r="J24" i="8"/>
  <c r="J21" i="8"/>
  <c r="M31" i="8"/>
  <c r="J22" i="8"/>
  <c r="J16" i="8"/>
  <c r="J20" i="8"/>
  <c r="J3" i="8"/>
  <c r="J8" i="8"/>
  <c r="J23" i="8"/>
  <c r="J19" i="8"/>
  <c r="J11" i="8"/>
  <c r="J13" i="8"/>
  <c r="J28" i="8"/>
  <c r="J7" i="8"/>
  <c r="J10" i="8"/>
  <c r="J15" i="8"/>
  <c r="J6" i="8"/>
  <c r="J9" i="8"/>
  <c r="J14" i="8"/>
  <c r="J2" i="8"/>
  <c r="J5" i="8"/>
  <c r="J26" i="8"/>
  <c r="J12" i="8"/>
  <c r="G20" i="2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<sst xmlns="http://schemas.openxmlformats.org/spreadsheetml/2006/main" count="499" uniqueCount="368">
  <si>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</si>
  <si>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</si>
  <si>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</si>
  <si>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</si>
  <si>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</si>
  <si>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</si>
  <si>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</si>
  <si>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</si>
  <si>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</si>
  <si>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</si>
  <si>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</si>
  <si>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</si>
  <si>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</si>
  <si>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</si>
  <si>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</si>
  <si>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</si>
  <si>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</si>
  <si>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</si>
  <si>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</si>
  <si>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</si>
  <si>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</si>
  <si>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</si>
  <si>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</si>
  <si>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</si>
  <si>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</si>
  <si>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</si>
  <si>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</si>
  <si>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</si>
  <si>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</si>
  <si>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</si>
  <si>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</si>
  <si>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</si>
  <si>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</si>
  <si>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</si>
  <si>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</si>
  <si>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</si>
  <si>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</si>
  <si>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</si>
  <si>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</si>
  <si>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</si>
  <si>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</si>
  <si>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</si>
  <si>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</si>
  <si>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</si>
  <si>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</si>
  <si>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</si>
  <si>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</si>
  <si>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</si>
  <si>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</si>
  <si>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</si>
  <si>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</si>
  <si>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</si>
  <si>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</si>
  <si>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</si>
  <si>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</si>
  <si>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</si>
  <si>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</si>
  <si>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</si>
  <si>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</si>
  <si>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</si>
  <si>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</si>
  <si>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</si>
  <si>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</si>
  <si>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</si>
  <si>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</si>
  <si>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</si>
  <si>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</si>
  <si>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</si>
  <si>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</si>
  <si>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</si>
  <si>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</si>
  <si>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</si>
  <si>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</si>
  <si>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</si>
  <si>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</si>
  <si>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</si>
  <si>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</si>
  <si>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</si>
  <si>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</si>
  <si>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</si>
  <si>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</si>
  <si>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</si>
  <si>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</si>
  <si>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</si>
  <si>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</si>
  <si>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</si>
  <si>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</si>
  <si>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</si>
  <si>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</si>
  <si>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</si>
  <si>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</si>
  <si>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</si>
  <si>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</si>
  <si>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</si>
  <si>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</si>
  <si>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</si>
  <si>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</si>
  <si>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</si>
  <si>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</si>
  <si>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</si>
  <si>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</si>
  <si>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</si>
  <si>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</si>
  <si>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</si>
  <si>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</si>
  <si>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</si>
  <si>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</si>
  <si>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</si>
  <si>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</si>
  <si>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</si>
  <si>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</si>
  <si>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</si>
  <si>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</si>
  <si>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</si>
  <si>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</si>
  <si>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</si>
  <si>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</si>
  <si>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</si>
  <si>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</si>
  <si>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</si>
  <si>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</si>
  <si>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</si>
  <si>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</si>
  <si>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</si>
  <si>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</si>
  <si>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</si>
  <si>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</si>
  <si>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</si>
  <si>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</si>
  <si>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</si>
  <si>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</si>
  <si>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</si>
  <si>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</si>
  <si>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</si>
  <si>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</si>
  <si>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</si>
  <si>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</si>
  <si>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</si>
  <si>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</si>
  <si>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</si>
  <si>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</si>
  <si>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</si>
  <si>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</si>
  <si>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</si>
  <si>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</si>
  <si>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</si>
  <si>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</si>
  <si>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</si>
  <si>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</si>
  <si>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</si>
  <si>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</si>
  <si>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</si>
  <si>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</si>
  <si>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</si>
  <si>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</si>
  <si>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</si>
  <si>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</si>
  <si>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</si>
  <si>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</si>
  <si>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</si>
  <si>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</si>
  <si>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</si>
  <si>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</si>
  <si>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</si>
  <si>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</si>
  <si>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</si>
  <si>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</si>
  <si>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</si>
  <si>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</si>
  <si>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</si>
  <si>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</si>
  <si>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</si>
  <si>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</si>
  <si>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</si>
  <si>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</si>
  <si>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</si>
  <si>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</si>
  <si>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</si>
  <si>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</si>
  <si>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</si>
  <si>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</si>
  <si>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</si>
  <si>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</si>
  <si>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</si>
  <si>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</si>
  <si>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</si>
  <si>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</si>
  <si>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</si>
  <si>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</si>
  <si>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</si>
  <si>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</si>
  <si>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</si>
  <si>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</si>
  <si>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</si>
  <si>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</si>
  <si>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</si>
  <si>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</si>
  <si>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</si>
  <si>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</si>
  <si>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</si>
  <si>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</si>
  <si>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</si>
  <si>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</si>
  <si>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</si>
  <si>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</si>
  <si>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</si>
  <si>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</si>
  <si>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</si>
  <si>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</si>
  <si>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</si>
  <si>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</si>
  <si>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</si>
  <si>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</si>
  <si>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</si>
  <si>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</si>
  <si>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</si>
  <si>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</si>
  <si>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</si>
  <si>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</si>
  <si>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</si>
  <si>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</si>
  <si>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</si>
  <si>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</si>
  <si>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</si>
  <si>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</si>
  <si>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</si>
  <si>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</si>
  <si>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</si>
  <si>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</si>
  <si>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</si>
  <si>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</si>
  <si>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</si>
  <si>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</si>
  <si>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</si>
  <si>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</si>
  <si>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</si>
  <si>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</si>
  <si>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</si>
  <si>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</si>
  <si>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</si>
  <si>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</si>
  <si>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</si>
  <si>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</si>
  <si>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</si>
  <si>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</si>
  <si>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</si>
  <si>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</si>
  <si>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</si>
  <si>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</si>
  <si>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</si>
  <si>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</si>
  <si>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</si>
  <si>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</si>
  <si>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</si>
  <si>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</si>
  <si>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</si>
  <si>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</si>
  <si>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</si>
  <si>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</si>
  <si>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</si>
  <si>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</si>
  <si>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</si>
  <si>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</si>
  <si>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</si>
  <si>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</si>
  <si>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</si>
  <si>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</si>
  <si>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</si>
  <si>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</si>
  <si>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</si>
  <si>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</si>
  <si>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</si>
  <si>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</si>
  <si>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</si>
  <si>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</si>
  <si>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</si>
  <si>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</si>
  <si>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</si>
  <si>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</si>
  <si>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</si>
  <si>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</si>
  <si>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</si>
  <si>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</si>
  <si>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</si>
  <si>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</si>
  <si>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</si>
  <si>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</si>
  <si>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</si>
  <si>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</si>
  <si>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</si>
  <si>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</si>
  <si>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</si>
  <si>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</si>
  <si>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</si>
  <si>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</si>
  <si>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</si>
  <si>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</si>
  <si>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</si>
  <si>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</si>
  <si>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</si>
  <si>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</si>
  <si>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</si>
  <si>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</si>
  <si>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</si>
  <si>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</si>
  <si>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</si>
  <si>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</si>
  <si>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</si>
  <si>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</si>
  <si>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</si>
  <si>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</si>
  <si>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</si>
  <si>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</si>
  <si>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</si>
  <si>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</si>
  <si>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</si>
  <si>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</si>
  <si>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</si>
  <si>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</si>
  <si>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</si>
  <si>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</si>
  <si>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</si>
  <si>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</si>
  <si>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</si>
  <si>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</si>
  <si>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</si>
  <si>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</si>
  <si>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</si>
  <si>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</si>
  <si>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</si>
  <si>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</si>
  <si>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</si>
  <si>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</si>
  <si>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</si>
  <si>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</si>
  <si>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</si>
  <si>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</si>
  <si>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</si>
  <si>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</si>
  <si>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</si>
  <si>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</si>
  <si>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</si>
  <si>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</si>
  <si>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</si>
  <si>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</si>
  <si>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</si>
  <si>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</si>
  <si>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</si>
  <si>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</si>
  <si>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</si>
  <si>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</si>
  <si>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Città metro-politana</t>
  </si>
  <si>
    <t>Saldo naturale</t>
  </si>
  <si>
    <t>Saldo migratorio</t>
  </si>
  <si>
    <t>Verifica</t>
  </si>
  <si>
    <t/>
  </si>
  <si>
    <t>Riaccertamento residui attivi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</si>
  <si>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</si>
  <si>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</si>
  <si>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</si>
  <si>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</si>
  <si>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</si>
  <si>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Risultato economico di esercizi precedenti (A4)</t>
  </si>
  <si>
    <t>Riserve negative per beni indisponibili (A5)</t>
  </si>
  <si>
    <t>Saldo censuario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</si>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</sst>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26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4" borderId="0" xfId="1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0" fontId="0" fillId="0" borderId="0" xfId="0" applyAlignment="1">
      <alignment wrapText="1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3" fontId="0" fillId="0" borderId="0" xfId="0" applyNumberFormat="1" applyAlignment="1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106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1447899978855"/>
          <c:y val="5.4234059497589075E-2"/>
          <c:w val="0.89146514769465224"/>
          <c:h val="0.75986292724645377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133600926.06999999</c:v>
                </c:pt>
                <c:pt idx="1">
                  <c:v>144015214.37</c:v>
                </c:pt>
                <c:pt idx="2">
                  <c:v>178715141.16</c:v>
                </c:pt>
                <c:pt idx="3">
                  <c:v>185426889.66999999</c:v>
                </c:pt>
                <c:pt idx="4">
                  <c:v>179344132.50999999</c:v>
                </c:pt>
                <c:pt idx="5">
                  <c:v>203778840.99000001</c:v>
                </c:pt>
                <c:pt idx="6">
                  <c:v>221177019.21000001</c:v>
                </c:pt>
                <c:pt idx="7">
                  <c:v>221021912.05000001</c:v>
                </c:pt>
                <c:pt idx="8">
                  <c:v>278421216.86000001</c:v>
                </c:pt>
                <c:pt idx="9">
                  <c:v>356574324.29000002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Risultato_amministrazione!$B$4:$K$4</c:f>
              <c:numCache>
                <c:formatCode>#,##0</c:formatCode>
                <c:ptCount val="10"/>
                <c:pt idx="0">
                  <c:v>140669036.43000001</c:v>
                </c:pt>
                <c:pt idx="1">
                  <c:v>100579942.25</c:v>
                </c:pt>
                <c:pt idx="2">
                  <c:v>94630982.060000002</c:v>
                </c:pt>
                <c:pt idx="3">
                  <c:v>99400451.969999999</c:v>
                </c:pt>
                <c:pt idx="4">
                  <c:v>96289167.849999994</c:v>
                </c:pt>
                <c:pt idx="5">
                  <c:v>98974625.450000003</c:v>
                </c:pt>
                <c:pt idx="6">
                  <c:v>110268432.45999999</c:v>
                </c:pt>
                <c:pt idx="7">
                  <c:v>135128777.49000001</c:v>
                </c:pt>
                <c:pt idx="8">
                  <c:v>158910844.72999999</c:v>
                </c:pt>
                <c:pt idx="9">
                  <c:v>170711609.90000001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695328"/>
        <c:axId val="1433693152"/>
      </c:lineChart>
      <c:catAx>
        <c:axId val="143369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33693152"/>
        <c:crosses val="autoZero"/>
        <c:auto val="1"/>
        <c:lblAlgn val="ctr"/>
        <c:lblOffset val="100"/>
        <c:noMultiLvlLbl val="0"/>
      </c:catAx>
      <c:valAx>
        <c:axId val="1433693152"/>
        <c:scaling>
          <c:orientation val="minMax"/>
          <c:max val="35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433695328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0076222937063E-2"/>
          <c:y val="8.5869935617540014E-2"/>
          <c:w val="0.95679921453118433"/>
          <c:h val="0.75077889502039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125.84</c:v>
                </c:pt>
                <c:pt idx="1">
                  <c:v>134.64117999999999</c:v>
                </c:pt>
                <c:pt idx="2">
                  <c:v>209.16295</c:v>
                </c:pt>
                <c:pt idx="3">
                  <c:v>238.08418</c:v>
                </c:pt>
                <c:pt idx="4">
                  <c:v>211.46100999999999</c:v>
                </c:pt>
                <c:pt idx="5">
                  <c:v>254.86278999999999</c:v>
                </c:pt>
                <c:pt idx="6">
                  <c:v>597.74</c:v>
                </c:pt>
                <c:pt idx="7">
                  <c:v>298.45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1"/>
              <c:layout>
                <c:manualLayout>
                  <c:x val="5.7257371886630408E-3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8171581257753604E-3"/>
                  <c:y val="3.84689363339096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343162515506505E-3"/>
                  <c:y val="1.1540680900173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45147437732601E-2"/>
                  <c:y val="-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6343162515505802E-3"/>
                  <c:y val="1.1540680900173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63431625155072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0122832"/>
        <c:axId val="1450123376"/>
      </c:barChart>
      <c:catAx>
        <c:axId val="145012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50123376"/>
        <c:crosses val="autoZero"/>
        <c:auto val="1"/>
        <c:lblAlgn val="ctr"/>
        <c:lblOffset val="100"/>
        <c:noMultiLvlLbl val="0"/>
      </c:catAx>
      <c:valAx>
        <c:axId val="1450123376"/>
        <c:scaling>
          <c:orientation val="minMax"/>
          <c:max val="6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450122832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37E-2"/>
          <c:y val="3.693444136657449E-3"/>
          <c:w val="0.95679921453118433"/>
          <c:h val="0.880049439803404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0</c:v>
                </c:pt>
                <c:pt idx="1">
                  <c:v>13.46</c:v>
                </c:pt>
                <c:pt idx="2">
                  <c:v>6.67</c:v>
                </c:pt>
                <c:pt idx="3">
                  <c:v>-9.32</c:v>
                </c:pt>
                <c:pt idx="4">
                  <c:v>-12.93</c:v>
                </c:pt>
                <c:pt idx="5">
                  <c:v>-15</c:v>
                </c:pt>
                <c:pt idx="6">
                  <c:v>-15.66</c:v>
                </c:pt>
                <c:pt idx="7">
                  <c:v>-21.47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0125552"/>
        <c:axId val="1450119568"/>
      </c:barChart>
      <c:catAx>
        <c:axId val="145012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50119568"/>
        <c:crosses val="autoZero"/>
        <c:auto val="1"/>
        <c:lblAlgn val="ctr"/>
        <c:lblOffset val="100"/>
        <c:noMultiLvlLbl val="0"/>
      </c:catAx>
      <c:valAx>
        <c:axId val="1450119568"/>
        <c:scaling>
          <c:orientation val="minMax"/>
          <c:max val="50"/>
          <c:min val="-23"/>
        </c:scaling>
        <c:delete val="1"/>
        <c:axPos val="l"/>
        <c:numFmt formatCode="0" sourceLinked="0"/>
        <c:majorTickMark val="out"/>
        <c:minorTickMark val="none"/>
        <c:tickLblPos val="nextTo"/>
        <c:crossAx val="1450125552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37E-2"/>
          <c:y val="4.5598200224971894E-2"/>
          <c:w val="0.95679921453118433"/>
          <c:h val="0.756888788901387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449.5</c:v>
                </c:pt>
                <c:pt idx="1">
                  <c:v>420.93339776675293</c:v>
                </c:pt>
                <c:pt idx="2">
                  <c:v>418.77197000000001</c:v>
                </c:pt>
                <c:pt idx="3">
                  <c:v>395.77652999999998</c:v>
                </c:pt>
                <c:pt idx="4">
                  <c:v>407.61734000000001</c:v>
                </c:pt>
                <c:pt idx="5">
                  <c:v>420.43572999999998</c:v>
                </c:pt>
                <c:pt idx="6">
                  <c:v>403.83</c:v>
                </c:pt>
                <c:pt idx="7">
                  <c:v>403.71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0126096"/>
        <c:axId val="1450126640"/>
      </c:barChart>
      <c:catAx>
        <c:axId val="145012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50126640"/>
        <c:crosses val="autoZero"/>
        <c:auto val="1"/>
        <c:lblAlgn val="ctr"/>
        <c:lblOffset val="100"/>
        <c:noMultiLvlLbl val="0"/>
      </c:catAx>
      <c:valAx>
        <c:axId val="1450126640"/>
        <c:scaling>
          <c:orientation val="minMax"/>
          <c:max val="185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450126096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7944588737157314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207301</c:v>
                </c:pt>
                <c:pt idx="1">
                  <c:v>207112</c:v>
                </c:pt>
                <c:pt idx="2">
                  <c:v>206651</c:v>
                </c:pt>
                <c:pt idx="3">
                  <c:v>209730</c:v>
                </c:pt>
                <c:pt idx="4">
                  <c:v>210077</c:v>
                </c:pt>
                <c:pt idx="5">
                  <c:v>209995</c:v>
                </c:pt>
                <c:pt idx="6">
                  <c:v>209425</c:v>
                </c:pt>
                <c:pt idx="7">
                  <c:v>208573</c:v>
                </c:pt>
                <c:pt idx="8">
                  <c:v>209269</c:v>
                </c:pt>
                <c:pt idx="9">
                  <c:v>209959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0120112"/>
        <c:axId val="1450120656"/>
      </c:barChart>
      <c:catAx>
        <c:axId val="1450120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450120656"/>
        <c:crosses val="autoZero"/>
        <c:auto val="1"/>
        <c:lblAlgn val="ctr"/>
        <c:lblOffset val="100"/>
        <c:noMultiLvlLbl val="0"/>
      </c:catAx>
      <c:valAx>
        <c:axId val="1450120656"/>
        <c:scaling>
          <c:orientation val="minMax"/>
          <c:max val="25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1450120112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Risultato_amministrazione!$D$3:$K$3</c:f>
              <c:numCache>
                <c:formatCode>#,##0</c:formatCode>
                <c:ptCount val="8"/>
                <c:pt idx="0">
                  <c:v>178715141.16</c:v>
                </c:pt>
                <c:pt idx="1">
                  <c:v>185426889.66999999</c:v>
                </c:pt>
                <c:pt idx="2">
                  <c:v>179344132.50999999</c:v>
                </c:pt>
                <c:pt idx="3">
                  <c:v>203778840.99000001</c:v>
                </c:pt>
                <c:pt idx="4">
                  <c:v>221177019.21000001</c:v>
                </c:pt>
                <c:pt idx="5">
                  <c:v>221021912.05000001</c:v>
                </c:pt>
                <c:pt idx="6">
                  <c:v>278421216.86000001</c:v>
                </c:pt>
                <c:pt idx="7">
                  <c:v>356574324.29000002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Risultato_amministrazione!$D$8:$K$8</c:f>
              <c:numCache>
                <c:formatCode>#,##0</c:formatCode>
                <c:ptCount val="8"/>
                <c:pt idx="0">
                  <c:v>38892001.009999998</c:v>
                </c:pt>
                <c:pt idx="1">
                  <c:v>49241113.049999997</c:v>
                </c:pt>
                <c:pt idx="2">
                  <c:v>65117606.020000003</c:v>
                </c:pt>
                <c:pt idx="3">
                  <c:v>86780538.790000007</c:v>
                </c:pt>
                <c:pt idx="4">
                  <c:v>81002409.870000005</c:v>
                </c:pt>
                <c:pt idx="5">
                  <c:v>88473630.280000001</c:v>
                </c:pt>
                <c:pt idx="6">
                  <c:v>128012684.55</c:v>
                </c:pt>
                <c:pt idx="7">
                  <c:v>171275215.34999999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33705120"/>
        <c:axId val="1433693696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Risultato_amministrazione!$D$1:$K$1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Risultato_amministrazione!$D$23:$K$23</c:f>
              <c:numCache>
                <c:formatCode>0.0</c:formatCode>
                <c:ptCount val="8"/>
                <c:pt idx="0">
                  <c:v>21.762006709426366</c:v>
                </c:pt>
                <c:pt idx="1">
                  <c:v>26.55554064334104</c:v>
                </c:pt>
                <c:pt idx="2">
                  <c:v>36.308746268222144</c:v>
                </c:pt>
                <c:pt idx="3">
                  <c:v>42.585647444259713</c:v>
                </c:pt>
                <c:pt idx="4">
                  <c:v>36.623339151293557</c:v>
                </c:pt>
                <c:pt idx="5">
                  <c:v>40.02934797703918</c:v>
                </c:pt>
                <c:pt idx="6">
                  <c:v>45.97806373871618</c:v>
                </c:pt>
                <c:pt idx="7">
                  <c:v>48.033524480776343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694784"/>
        <c:axId val="1433695872"/>
      </c:lineChart>
      <c:catAx>
        <c:axId val="143370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33693696"/>
        <c:crosses val="autoZero"/>
        <c:auto val="1"/>
        <c:lblAlgn val="ctr"/>
        <c:lblOffset val="100"/>
        <c:noMultiLvlLbl val="0"/>
      </c:catAx>
      <c:valAx>
        <c:axId val="14336936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33705120"/>
        <c:crosses val="autoZero"/>
        <c:crossBetween val="between"/>
      </c:valAx>
      <c:valAx>
        <c:axId val="1433695872"/>
        <c:scaling>
          <c:orientation val="minMax"/>
          <c:max val="49"/>
          <c:min val="2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33694784"/>
        <c:crosses val="max"/>
        <c:crossBetween val="between"/>
        <c:majorUnit val="5"/>
      </c:valAx>
      <c:catAx>
        <c:axId val="1433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3369587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86878163907868E-2"/>
          <c:y val="1.1497736695956483E-2"/>
          <c:w val="0.88374896145829007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6857051405159852E-2"/>
                  <c:y val="3.86473429951697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1963655837855647E-2"/>
                  <c:y val="3.8647342995169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Conto_economico!$C$1:$J$1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Conto_economico!$C$28:$J$28</c:f>
              <c:numCache>
                <c:formatCode>#,##0</c:formatCode>
                <c:ptCount val="8"/>
                <c:pt idx="0">
                  <c:v>790407.01000003144</c:v>
                </c:pt>
                <c:pt idx="1">
                  <c:v>1833390.9299999583</c:v>
                </c:pt>
                <c:pt idx="2">
                  <c:v>383976.8200000925</c:v>
                </c:pt>
                <c:pt idx="3">
                  <c:v>2265035.9900000729</c:v>
                </c:pt>
                <c:pt idx="4">
                  <c:v>23273114.079999991</c:v>
                </c:pt>
                <c:pt idx="5">
                  <c:v>13586346.750000019</c:v>
                </c:pt>
                <c:pt idx="6">
                  <c:v>16441625.930000039</c:v>
                </c:pt>
                <c:pt idx="7">
                  <c:v>12492170.460000105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3696416"/>
        <c:axId val="1433696960"/>
      </c:barChart>
      <c:catAx>
        <c:axId val="1433696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433696960"/>
        <c:crosses val="autoZero"/>
        <c:auto val="1"/>
        <c:lblAlgn val="ctr"/>
        <c:lblOffset val="100"/>
        <c:noMultiLvlLbl val="0"/>
      </c:catAx>
      <c:valAx>
        <c:axId val="1433696960"/>
        <c:scaling>
          <c:orientation val="minMax"/>
          <c:max val="25000000"/>
          <c:min val="0"/>
        </c:scaling>
        <c:delete val="0"/>
        <c:axPos val="b"/>
        <c:numFmt formatCode="#,##0" sourceLinked="1"/>
        <c:majorTickMark val="none"/>
        <c:minorTickMark val="none"/>
        <c:tickLblPos val="none"/>
        <c:crossAx val="14336964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Stato_patrimoniale!$B$21:$J$21</c:f>
              <c:numCache>
                <c:formatCode>#,##0</c:formatCode>
                <c:ptCount val="9"/>
                <c:pt idx="0">
                  <c:v>90264227.650000006</c:v>
                </c:pt>
                <c:pt idx="1">
                  <c:v>94317131.63000001</c:v>
                </c:pt>
                <c:pt idx="2">
                  <c:v>88324033.920000002</c:v>
                </c:pt>
                <c:pt idx="3">
                  <c:v>83287213.859999999</c:v>
                </c:pt>
                <c:pt idx="4">
                  <c:v>85363222.420000002</c:v>
                </c:pt>
                <c:pt idx="5">
                  <c:v>87745776.760000005</c:v>
                </c:pt>
                <c:pt idx="6">
                  <c:v>88419869.510000005</c:v>
                </c:pt>
                <c:pt idx="7">
                  <c:v>84734590.109999999</c:v>
                </c:pt>
                <c:pt idx="8">
                  <c:v>80079471.469999999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Stato_patrimoniale!$B$22:$J$22</c:f>
              <c:numCache>
                <c:formatCode>#,##0</c:formatCode>
                <c:ptCount val="9"/>
                <c:pt idx="0">
                  <c:v>68033713.170000002</c:v>
                </c:pt>
                <c:pt idx="1">
                  <c:v>56748943.140000001</c:v>
                </c:pt>
                <c:pt idx="2">
                  <c:v>61203818.009999998</c:v>
                </c:pt>
                <c:pt idx="3">
                  <c:v>57857022.649999999</c:v>
                </c:pt>
                <c:pt idx="4">
                  <c:v>55485715.479999997</c:v>
                </c:pt>
                <c:pt idx="5">
                  <c:v>58453833.710000001</c:v>
                </c:pt>
                <c:pt idx="6">
                  <c:v>67786059.659999996</c:v>
                </c:pt>
                <c:pt idx="7">
                  <c:v>84765115.420000002</c:v>
                </c:pt>
                <c:pt idx="8">
                  <c:v>81152092.930000007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Stato_patrimoniale!$B$23:$J$23</c:f>
              <c:numCache>
                <c:formatCode>#,##0</c:formatCode>
                <c:ptCount val="9"/>
                <c:pt idx="0">
                  <c:v>8928426.1600000001</c:v>
                </c:pt>
                <c:pt idx="1">
                  <c:v>14917689.58</c:v>
                </c:pt>
                <c:pt idx="2">
                  <c:v>17193056.98</c:v>
                </c:pt>
                <c:pt idx="3">
                  <c:v>22684135.890000001</c:v>
                </c:pt>
                <c:pt idx="4">
                  <c:v>31134006.309999999</c:v>
                </c:pt>
                <c:pt idx="5">
                  <c:v>32750401.940000001</c:v>
                </c:pt>
                <c:pt idx="6">
                  <c:v>47423914.280000001</c:v>
                </c:pt>
                <c:pt idx="7">
                  <c:v>52164312.240000002</c:v>
                </c:pt>
                <c:pt idx="8">
                  <c:v>61218910.880000003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Stato_patrimoniale!$B$24:$J$24</c:f>
              <c:numCache>
                <c:formatCode>#,##0</c:formatCode>
                <c:ptCount val="9"/>
                <c:pt idx="0">
                  <c:v>23616246.48</c:v>
                </c:pt>
                <c:pt idx="1">
                  <c:v>23893629.030000001</c:v>
                </c:pt>
                <c:pt idx="2">
                  <c:v>26405487.989999998</c:v>
                </c:pt>
                <c:pt idx="3">
                  <c:v>15748009.310000001</c:v>
                </c:pt>
                <c:pt idx="4">
                  <c:v>12300266.560000001</c:v>
                </c:pt>
                <c:pt idx="5">
                  <c:v>18939965.699999999</c:v>
                </c:pt>
                <c:pt idx="6">
                  <c:v>19918803.550000001</c:v>
                </c:pt>
                <c:pt idx="7">
                  <c:v>21971527.59</c:v>
                </c:pt>
                <c:pt idx="8">
                  <c:v>28331356.719999999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3706208"/>
        <c:axId val="1433704032"/>
      </c:barChart>
      <c:catAx>
        <c:axId val="143370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33704032"/>
        <c:crosses val="autoZero"/>
        <c:auto val="1"/>
        <c:lblAlgn val="ctr"/>
        <c:lblOffset val="100"/>
        <c:noMultiLvlLbl val="0"/>
      </c:catAx>
      <c:valAx>
        <c:axId val="1433704032"/>
        <c:scaling>
          <c:orientation val="minMax"/>
          <c:max val="25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433706208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667983845192786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Stato_patrimoniale!$B$14:$J$14</c:f>
              <c:numCache>
                <c:formatCode>#,##0</c:formatCode>
                <c:ptCount val="9"/>
                <c:pt idx="0">
                  <c:v>796078641.98000002</c:v>
                </c:pt>
                <c:pt idx="1">
                  <c:v>796078641.98000002</c:v>
                </c:pt>
                <c:pt idx="2">
                  <c:v>406609289.38999999</c:v>
                </c:pt>
                <c:pt idx="3">
                  <c:v>408442680.31999999</c:v>
                </c:pt>
                <c:pt idx="4">
                  <c:v>408442680.31999999</c:v>
                </c:pt>
                <c:pt idx="5">
                  <c:v>408442680.31999999</c:v>
                </c:pt>
                <c:pt idx="6">
                  <c:v>408442680.31999999</c:v>
                </c:pt>
                <c:pt idx="7">
                  <c:v>408442680.31999999</c:v>
                </c:pt>
                <c:pt idx="8">
                  <c:v>408442680.31999999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Stato_patrimoniale!$B$15:$J$15</c:f>
              <c:numCache>
                <c:formatCode>#,##0</c:formatCode>
                <c:ptCount val="9"/>
                <c:pt idx="0">
                  <c:v>241239366.56999999</c:v>
                </c:pt>
                <c:pt idx="1">
                  <c:v>241239366.56999999</c:v>
                </c:pt>
                <c:pt idx="2">
                  <c:v>637947956.74000001</c:v>
                </c:pt>
                <c:pt idx="3">
                  <c:v>670928648.08000004</c:v>
                </c:pt>
                <c:pt idx="4">
                  <c:v>669140596.65999997</c:v>
                </c:pt>
                <c:pt idx="5">
                  <c:v>641028192.73000002</c:v>
                </c:pt>
                <c:pt idx="6">
                  <c:v>641742171.42999995</c:v>
                </c:pt>
                <c:pt idx="7">
                  <c:v>645211301.72000003</c:v>
                </c:pt>
                <c:pt idx="8">
                  <c:v>657755905.99000001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Stato_patrimoniale!$B$17:$J$17</c:f>
              <c:numCache>
                <c:formatCode>#,##0</c:formatCode>
                <c:ptCount val="9"/>
                <c:pt idx="0">
                  <c:v>0</c:v>
                </c:pt>
                <c:pt idx="1">
                  <c:v>790407.01</c:v>
                </c:pt>
                <c:pt idx="2">
                  <c:v>1833390.93</c:v>
                </c:pt>
                <c:pt idx="3">
                  <c:v>383976.82</c:v>
                </c:pt>
                <c:pt idx="4">
                  <c:v>2265035.9900000002</c:v>
                </c:pt>
                <c:pt idx="5">
                  <c:v>23273114.079999998</c:v>
                </c:pt>
                <c:pt idx="6">
                  <c:v>13586346.75</c:v>
                </c:pt>
                <c:pt idx="7">
                  <c:v>16441625.93</c:v>
                </c:pt>
                <c:pt idx="8">
                  <c:v>12492170.460000001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Stato_patrimoniale!$A$18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Stato_patrimoniale!$B$18:$J$18</c:f>
              <c:numCache>
                <c:formatCode>#,##0</c:formatCode>
                <c:ptCount val="9"/>
                <c:pt idx="5">
                  <c:v>31952910.920000002</c:v>
                </c:pt>
                <c:pt idx="6">
                  <c:v>55226025</c:v>
                </c:pt>
                <c:pt idx="7">
                  <c:v>68812371.75</c:v>
                </c:pt>
                <c:pt idx="8">
                  <c:v>85253997.680000007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3697504"/>
        <c:axId val="1433705664"/>
      </c:barChart>
      <c:catAx>
        <c:axId val="1433697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433705664"/>
        <c:crosses val="autoZero"/>
        <c:auto val="1"/>
        <c:lblAlgn val="ctr"/>
        <c:lblOffset val="100"/>
        <c:noMultiLvlLbl val="0"/>
      </c:catAx>
      <c:valAx>
        <c:axId val="1433705664"/>
        <c:scaling>
          <c:orientation val="minMax"/>
          <c:max val="1200000000"/>
          <c:min val="0"/>
        </c:scaling>
        <c:delete val="0"/>
        <c:axPos val="b"/>
        <c:numFmt formatCode="#,##0" sourceLinked="0"/>
        <c:majorTickMark val="none"/>
        <c:minorTickMark val="none"/>
        <c:tickLblPos val="nextTo"/>
        <c:crossAx val="1433697504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27E-2"/>
          <c:w val="0.91226637907374597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76.98</c:v>
                </c:pt>
                <c:pt idx="1">
                  <c:v>69.715729999999994</c:v>
                </c:pt>
                <c:pt idx="2">
                  <c:v>78.156989999999993</c:v>
                </c:pt>
                <c:pt idx="3">
                  <c:v>74.956320000000005</c:v>
                </c:pt>
                <c:pt idx="4">
                  <c:v>70.870289999999997</c:v>
                </c:pt>
                <c:pt idx="5">
                  <c:v>76.435820000000007</c:v>
                </c:pt>
                <c:pt idx="6">
                  <c:v>71.365715047328422</c:v>
                </c:pt>
                <c:pt idx="7">
                  <c:v>65.454893473569271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65.866632792264738</c:v>
                </c:pt>
                <c:pt idx="1">
                  <c:v>64.283656421898911</c:v>
                </c:pt>
                <c:pt idx="2">
                  <c:v>68.306346260276854</c:v>
                </c:pt>
                <c:pt idx="3">
                  <c:v>63.219258189360374</c:v>
                </c:pt>
                <c:pt idx="4">
                  <c:v>61.804354367973247</c:v>
                </c:pt>
                <c:pt idx="5">
                  <c:v>65.636054925191885</c:v>
                </c:pt>
                <c:pt idx="6">
                  <c:v>63.814593826553811</c:v>
                </c:pt>
                <c:pt idx="7">
                  <c:v>50.911755867704912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63.319288588024627</c:v>
                </c:pt>
                <c:pt idx="1">
                  <c:v>61.60298893351812</c:v>
                </c:pt>
                <c:pt idx="2">
                  <c:v>65.79859931812166</c:v>
                </c:pt>
                <c:pt idx="3">
                  <c:v>59.623909208214286</c:v>
                </c:pt>
                <c:pt idx="4">
                  <c:v>58.51860292486937</c:v>
                </c:pt>
                <c:pt idx="5">
                  <c:v>63.212576568621159</c:v>
                </c:pt>
                <c:pt idx="6">
                  <c:v>59.231550664121755</c:v>
                </c:pt>
                <c:pt idx="7">
                  <c:v>48.622046562958261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702400"/>
        <c:axId val="1433698048"/>
      </c:lineChart>
      <c:catAx>
        <c:axId val="143370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33698048"/>
        <c:crosses val="autoZero"/>
        <c:auto val="1"/>
        <c:lblAlgn val="ctr"/>
        <c:lblOffset val="100"/>
        <c:noMultiLvlLbl val="0"/>
      </c:catAx>
      <c:valAx>
        <c:axId val="1433698048"/>
        <c:scaling>
          <c:orientation val="minMax"/>
          <c:max val="80"/>
          <c:min val="4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433702400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877"/>
          <c:w val="0.96177967444791435"/>
          <c:h val="0.1795680460155256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3.3901356969247662E-2"/>
          <c:w val="0.9029842635309353"/>
          <c:h val="0.711992426872871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7.4761035260879707</c:v>
                </c:pt>
                <c:pt idx="1">
                  <c:v>8.5547640352685566</c:v>
                </c:pt>
                <c:pt idx="2">
                  <c:v>7.7836092242560104</c:v>
                </c:pt>
                <c:pt idx="3">
                  <c:v>8.2010825034118113</c:v>
                </c:pt>
                <c:pt idx="4">
                  <c:v>7.7121475762550391</c:v>
                </c:pt>
                <c:pt idx="5">
                  <c:v>6.4507413120584793</c:v>
                </c:pt>
                <c:pt idx="6">
                  <c:v>6.024096385542169</c:v>
                </c:pt>
                <c:pt idx="7">
                  <c:v>6.8181818181818175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13.671042284113021</c:v>
                </c:pt>
                <c:pt idx="1">
                  <c:v>15.567432351544808</c:v>
                </c:pt>
                <c:pt idx="2">
                  <c:v>14.027326517405584</c:v>
                </c:pt>
                <c:pt idx="3">
                  <c:v>15.281112786799886</c:v>
                </c:pt>
                <c:pt idx="4">
                  <c:v>16.144675454801643</c:v>
                </c:pt>
                <c:pt idx="5">
                  <c:v>14.464706209859923</c:v>
                </c:pt>
                <c:pt idx="6">
                  <c:v>12.048192771084338</c:v>
                </c:pt>
                <c:pt idx="7">
                  <c:v>13.636363636363635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21.145674338822552</c:v>
                </c:pt>
                <c:pt idx="1">
                  <c:v>21.919917847452933</c:v>
                </c:pt>
                <c:pt idx="2">
                  <c:v>19.592404038694475</c:v>
                </c:pt>
                <c:pt idx="3">
                  <c:v>20.280997398039467</c:v>
                </c:pt>
                <c:pt idx="4">
                  <c:v>18.435122271972947</c:v>
                </c:pt>
                <c:pt idx="5">
                  <c:v>19.746586012613388</c:v>
                </c:pt>
                <c:pt idx="6">
                  <c:v>26.506024096385545</c:v>
                </c:pt>
                <c:pt idx="7">
                  <c:v>26.136363636363637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12.857174783804345</c:v>
                </c:pt>
                <c:pt idx="1">
                  <c:v>14.051777549207795</c:v>
                </c:pt>
                <c:pt idx="2">
                  <c:v>12.28927485814291</c:v>
                </c:pt>
                <c:pt idx="3">
                  <c:v>13.752951095554666</c:v>
                </c:pt>
                <c:pt idx="4">
                  <c:v>15.240965472201969</c:v>
                </c:pt>
                <c:pt idx="5">
                  <c:v>13.631113600164191</c:v>
                </c:pt>
                <c:pt idx="6">
                  <c:v>13.253012048192772</c:v>
                </c:pt>
                <c:pt idx="7">
                  <c:v>14.772727272727273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3704576"/>
        <c:axId val="1433699680"/>
      </c:barChart>
      <c:catAx>
        <c:axId val="143370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433699680"/>
        <c:crosses val="autoZero"/>
        <c:auto val="1"/>
        <c:lblAlgn val="ctr"/>
        <c:lblOffset val="100"/>
        <c:noMultiLvlLbl val="0"/>
      </c:catAx>
      <c:valAx>
        <c:axId val="1433699680"/>
        <c:scaling>
          <c:orientation val="minMax"/>
          <c:max val="65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433704576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4788290275053724"/>
          <c:w val="0.95561111111111163"/>
          <c:h val="0.1243395801465827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37E-2"/>
          <c:w val="0.9122665336936"/>
          <c:h val="0.72979616909588463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81.998540000000006</c:v>
                </c:pt>
                <c:pt idx="1">
                  <c:v>81.299610000000001</c:v>
                </c:pt>
                <c:pt idx="2">
                  <c:v>84.070650000000001</c:v>
                </c:pt>
                <c:pt idx="3">
                  <c:v>85.29795</c:v>
                </c:pt>
                <c:pt idx="4">
                  <c:v>74.216499999999996</c:v>
                </c:pt>
                <c:pt idx="5">
                  <c:v>81.525134501494321</c:v>
                </c:pt>
                <c:pt idx="6">
                  <c:v>73.250593635242353</c:v>
                </c:pt>
                <c:pt idx="7">
                  <c:v>78.205842425025835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71.493970000000004</c:v>
                </c:pt>
                <c:pt idx="1">
                  <c:v>74.224230000000006</c:v>
                </c:pt>
                <c:pt idx="2">
                  <c:v>57.661850000000001</c:v>
                </c:pt>
                <c:pt idx="3">
                  <c:v>67.548820000000006</c:v>
                </c:pt>
                <c:pt idx="4">
                  <c:v>73.710509999999999</c:v>
                </c:pt>
                <c:pt idx="5">
                  <c:v>59.688382508345207</c:v>
                </c:pt>
                <c:pt idx="6">
                  <c:v>58.290834978735376</c:v>
                </c:pt>
                <c:pt idx="7">
                  <c:v>59.932935443454291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71.650189999999995</c:v>
                </c:pt>
                <c:pt idx="1">
                  <c:v>70.350769999999997</c:v>
                </c:pt>
                <c:pt idx="2">
                  <c:v>74.279129999999995</c:v>
                </c:pt>
                <c:pt idx="3">
                  <c:v>69.378270000000001</c:v>
                </c:pt>
                <c:pt idx="4">
                  <c:v>63.268090000000001</c:v>
                </c:pt>
                <c:pt idx="5">
                  <c:v>65.243711481746033</c:v>
                </c:pt>
                <c:pt idx="6">
                  <c:v>65.024900940031088</c:v>
                </c:pt>
                <c:pt idx="7">
                  <c:v>60.793729494160729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73.639380000000003</c:v>
                </c:pt>
                <c:pt idx="1">
                  <c:v>76.780240000000006</c:v>
                </c:pt>
                <c:pt idx="2">
                  <c:v>80.867270000000005</c:v>
                </c:pt>
                <c:pt idx="3">
                  <c:v>78.80292</c:v>
                </c:pt>
                <c:pt idx="4">
                  <c:v>78.399370000000005</c:v>
                </c:pt>
                <c:pt idx="5">
                  <c:v>77.245927150659071</c:v>
                </c:pt>
                <c:pt idx="6">
                  <c:v>78.519027072568193</c:v>
                </c:pt>
                <c:pt idx="7">
                  <c:v>78.566599830533903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698592"/>
        <c:axId val="1433699136"/>
      </c:lineChart>
      <c:catAx>
        <c:axId val="143369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33699136"/>
        <c:crosses val="autoZero"/>
        <c:auto val="1"/>
        <c:lblAlgn val="ctr"/>
        <c:lblOffset val="100"/>
        <c:noMultiLvlLbl val="0"/>
      </c:catAx>
      <c:valAx>
        <c:axId val="1433699136"/>
        <c:scaling>
          <c:orientation val="minMax"/>
          <c:max val="87"/>
          <c:min val="5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433698592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6298514547383764"/>
          <c:w val="0.97653411880215957"/>
          <c:h val="0.109617468029262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2E-2"/>
          <c:y val="0"/>
          <c:w val="0.95679921453118366"/>
          <c:h val="0.802487112933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5.72573718866304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343162515507554E-3"/>
                  <c:y val="-1.76313921403623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7257371886630408E-3"/>
                  <c:y val="3.846893633391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451474377326151E-2"/>
                  <c:y val="-1.76313921403623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63431625155065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63431625155086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389.33</c:v>
                </c:pt>
                <c:pt idx="1">
                  <c:v>344.39524999999998</c:v>
                </c:pt>
                <c:pt idx="2">
                  <c:v>356.39080000000001</c:v>
                </c:pt>
                <c:pt idx="3">
                  <c:v>359.50198</c:v>
                </c:pt>
                <c:pt idx="4">
                  <c:v>357.32776000000001</c:v>
                </c:pt>
                <c:pt idx="5">
                  <c:v>369.49115</c:v>
                </c:pt>
                <c:pt idx="6">
                  <c:v>386.95</c:v>
                </c:pt>
                <c:pt idx="7">
                  <c:v>384.68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7"/>
              <c:layout>
                <c:manualLayout>
                  <c:x val="5.72573718866290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3700224"/>
        <c:axId val="1433700768"/>
      </c:barChart>
      <c:catAx>
        <c:axId val="143370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33700768"/>
        <c:crosses val="autoZero"/>
        <c:auto val="1"/>
        <c:lblAlgn val="ctr"/>
        <c:lblOffset val="100"/>
        <c:noMultiLvlLbl val="0"/>
      </c:catAx>
      <c:valAx>
        <c:axId val="1433700768"/>
        <c:scaling>
          <c:orientation val="minMax"/>
          <c:max val="5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433700224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1219199</xdr:colOff>
      <xdr:row>25</xdr:row>
      <xdr:rowOff>0</xdr:rowOff>
    </xdr:from>
    <xdr:to>
      <xdr:col>9</xdr:col>
      <xdr:colOff>861060</xdr:colOff>
      <xdr:row>47</xdr:row>
      <xdr:rowOff>47625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49</xdr:row>
      <xdr:rowOff>0</xdr:rowOff>
    </xdr:from>
    <xdr:to>
      <xdr:col>10</xdr:col>
      <xdr:colOff>76201</xdr:colOff>
      <xdr:row>71</xdr:row>
      <xdr:rowOff>47625</xdr:rowOff>
    </xdr:to>
    <xdr:graphicFrame macro="">
      <xdr:nvGraphicFramePr>
        <xdr:cNvPr id="4" name="Grafico 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68581</xdr:colOff>
      <xdr:row>30</xdr:row>
      <xdr:rowOff>140969</xdr:rowOff>
    </xdr:from>
    <xdr:to>
      <xdr:col>9</xdr:col>
      <xdr:colOff>563880</xdr:colOff>
      <xdr:row>48</xdr:row>
      <xdr:rowOff>5714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29</xdr:row>
      <xdr:rowOff>38100</xdr:rowOff>
    </xdr:from>
    <xdr:to>
      <xdr:col>7</xdr:col>
      <xdr:colOff>655321</xdr:colOff>
      <xdr:row>49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52</xdr:row>
      <xdr:rowOff>85725</xdr:rowOff>
    </xdr:from>
    <xdr:to>
      <xdr:col>8</xdr:col>
      <xdr:colOff>922020</xdr:colOff>
      <xdr:row>74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104775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57147</xdr:colOff>
      <xdr:row>12</xdr:row>
      <xdr:rowOff>19048</xdr:rowOff>
    </xdr:from>
    <xdr:to>
      <xdr:col>12</xdr:col>
      <xdr:colOff>200024</xdr:colOff>
      <xdr:row>29</xdr:row>
      <xdr:rowOff>190499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S3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  <col min="17" max="18" width="15.33203125" bestFit="1" customWidth="1"/>
    <col min="19" max="19" width="7.109375" customWidth="1"/>
    <col min="20" max="21" width="15.33203125" bestFit="1" customWidth="1"/>
    <col min="22" max="22" width="7.109375" customWidth="1"/>
    <col min="23" max="24" width="15.33203125" bestFit="1" customWidth="1"/>
    <col min="25" max="25" width="7.109375" customWidth="1"/>
  </cols>
  <sheetData>
    <row r="1" spans="1:27" x14ac:dyDescent="0.3">
      <c r="B1" s="120">
        <v>2016</v>
      </c>
      <c r="C1" s="120"/>
      <c r="D1" s="121"/>
      <c r="E1" s="122">
        <v>2017</v>
      </c>
      <c r="F1" s="123"/>
      <c r="G1" s="124"/>
      <c r="H1" s="122">
        <v>2018</v>
      </c>
      <c r="I1" s="123"/>
      <c r="J1" s="124"/>
      <c r="K1" s="122">
        <v>2019</v>
      </c>
      <c r="L1" s="123"/>
      <c r="M1" s="124"/>
      <c r="N1" s="122">
        <v>2020</v>
      </c>
      <c r="O1" s="123"/>
      <c r="P1" s="124"/>
      <c r="Q1" s="122">
        <v>2021</v>
      </c>
      <c r="R1" s="123"/>
      <c r="S1" s="124"/>
      <c r="T1" s="122">
        <v>2022</v>
      </c>
      <c r="U1" s="123"/>
      <c r="V1" s="124"/>
      <c r="W1" s="122">
        <v>2023</v>
      </c>
      <c r="X1" s="123"/>
      <c r="Y1" s="124"/>
      <c r="Z1" s="119" t="s">
        <v>233</v>
      </c>
      <c r="AA1" s="119"/>
    </row>
    <row r="2" spans="1:27" x14ac:dyDescent="0.3">
      <c r="B2" s="17" t="s">
        <v>73</v>
      </c>
      <c r="C2" s="17" t="s">
        <v>74</v>
      </c>
      <c r="D2" s="18" t="s">
        <v>234</v>
      </c>
      <c r="E2" s="23" t="s">
        <v>73</v>
      </c>
      <c r="F2" s="17" t="s">
        <v>74</v>
      </c>
      <c r="G2" s="18" t="s">
        <v>234</v>
      </c>
      <c r="H2" s="23" t="s">
        <v>73</v>
      </c>
      <c r="I2" s="99" t="s">
        <v>74</v>
      </c>
      <c r="J2" s="100" t="s">
        <v>234</v>
      </c>
      <c r="K2" s="23" t="s">
        <v>73</v>
      </c>
      <c r="L2" s="102" t="s">
        <v>74</v>
      </c>
      <c r="M2" s="103" t="s">
        <v>234</v>
      </c>
      <c r="N2" s="23" t="s">
        <v>73</v>
      </c>
      <c r="O2" s="108" t="s">
        <v>74</v>
      </c>
      <c r="P2" s="109" t="s">
        <v>234</v>
      </c>
      <c r="Q2" s="23" t="s">
        <v>73</v>
      </c>
      <c r="R2" s="111" t="s">
        <v>74</v>
      </c>
      <c r="S2" s="112" t="s">
        <v>234</v>
      </c>
      <c r="T2" s="23" t="s">
        <v>73</v>
      </c>
      <c r="U2" s="116" t="s">
        <v>74</v>
      </c>
      <c r="V2" s="117" t="s">
        <v>234</v>
      </c>
      <c r="W2" s="23" t="s">
        <v>73</v>
      </c>
      <c r="X2" s="17" t="s">
        <v>74</v>
      </c>
      <c r="Y2" s="18" t="s">
        <v>234</v>
      </c>
      <c r="Z2" s="12" t="s">
        <v>73</v>
      </c>
      <c r="AA2" s="12" t="s">
        <v>74</v>
      </c>
    </row>
    <row r="3" spans="1:27" x14ac:dyDescent="0.3">
      <c r="A3" t="s">
        <v>20</v>
      </c>
      <c r="B3" s="28">
        <v>169501778.91</v>
      </c>
      <c r="C3" s="28">
        <v>143298744.71000001</v>
      </c>
      <c r="D3" s="20">
        <f>IF(B3&gt;0,C3/B3*100,"-")</f>
        <v>84.541145014228462</v>
      </c>
      <c r="E3" s="28">
        <v>162192563.81999999</v>
      </c>
      <c r="F3" s="28">
        <v>121195224.59999999</v>
      </c>
      <c r="G3" s="20">
        <f>IF(E3&gt;0,F3/E3*100,"-")</f>
        <v>74.723046325663532</v>
      </c>
      <c r="H3" s="28">
        <v>168103413.75</v>
      </c>
      <c r="I3" s="28">
        <v>140693011.65000001</v>
      </c>
      <c r="J3" s="20">
        <f>IF(H3&gt;0,I3/H3*100,"-")</f>
        <v>83.694321555679892</v>
      </c>
      <c r="K3" s="28">
        <v>173946160.30000001</v>
      </c>
      <c r="L3" s="28">
        <v>143737261.21000001</v>
      </c>
      <c r="M3" s="20">
        <f>IF(K3&gt;0,L3/K3*100,"-")</f>
        <v>82.633190041160105</v>
      </c>
      <c r="N3" s="28">
        <v>168131782.22</v>
      </c>
      <c r="O3" s="28">
        <v>136173484.38999999</v>
      </c>
      <c r="P3" s="20">
        <f>IF(N3&gt;0,O3/N3*100,"-")</f>
        <v>80.992113800243516</v>
      </c>
      <c r="Q3" s="28">
        <v>205177494.44999999</v>
      </c>
      <c r="R3" s="28">
        <v>178317623.59999999</v>
      </c>
      <c r="S3" s="20">
        <f>IF(Q3&gt;0,R3/Q3*100,"-")</f>
        <v>86.908958547329604</v>
      </c>
      <c r="T3" s="28">
        <v>179669141.08000001</v>
      </c>
      <c r="U3" s="28">
        <v>150473708.94999999</v>
      </c>
      <c r="V3" s="20">
        <f>IF(T3&gt;0,U3/T3*100,"-")</f>
        <v>83.750447097089207</v>
      </c>
      <c r="W3" s="1">
        <v>178981234.19999999</v>
      </c>
      <c r="X3" s="1">
        <v>139908928.90000001</v>
      </c>
      <c r="Y3" s="20">
        <f>IF(W3&gt;0,X3/W3*100,"-")</f>
        <v>78.169607850430182</v>
      </c>
      <c r="Z3" s="13">
        <f>IF(T3&gt;0,W3/T3*100-100,"-")</f>
        <v>-0.38287425200843472</v>
      </c>
      <c r="AA3" s="13">
        <f>IF(U3&gt;0,X3/U3*100-100,"-")</f>
        <v>-7.0210139191228933</v>
      </c>
    </row>
    <row r="4" spans="1:27" x14ac:dyDescent="0.3">
      <c r="A4" t="s">
        <v>21</v>
      </c>
      <c r="B4" s="28">
        <v>32600379.239999998</v>
      </c>
      <c r="C4" s="28">
        <v>22544328.710000001</v>
      </c>
      <c r="D4" s="20">
        <f t="shared" ref="D4:D21" si="0">IF(B4&gt;0,C4/B4*100,"-")</f>
        <v>69.153578073529189</v>
      </c>
      <c r="E4" s="28">
        <v>32557464.850000001</v>
      </c>
      <c r="F4" s="28">
        <v>21959073.27</v>
      </c>
      <c r="G4" s="20">
        <f t="shared" ref="G4:G21" si="1">IF(E4&gt;0,F4/E4*100,"-")</f>
        <v>67.447122714163044</v>
      </c>
      <c r="H4" s="28">
        <v>36232831.619999997</v>
      </c>
      <c r="I4" s="28">
        <v>27906400.609999999</v>
      </c>
      <c r="J4" s="20">
        <f t="shared" ref="J4:J13" si="2">IF(H4&gt;0,I4/H4*100,"-")</f>
        <v>77.019651410838321</v>
      </c>
      <c r="K4" s="28">
        <v>40854779.149999999</v>
      </c>
      <c r="L4" s="28">
        <v>31423765.91</v>
      </c>
      <c r="M4" s="20">
        <f t="shared" ref="M4:M13" si="3">IF(K4&gt;0,L4/K4*100,"-")</f>
        <v>76.915764969934983</v>
      </c>
      <c r="N4" s="28">
        <v>77621781.790000007</v>
      </c>
      <c r="O4" s="28">
        <v>69331512.769999996</v>
      </c>
      <c r="P4" s="20">
        <f t="shared" ref="P4:P13" si="4">IF(N4&gt;0,O4/N4*100,"-")</f>
        <v>89.319661532082932</v>
      </c>
      <c r="Q4" s="28">
        <v>61711546.609999999</v>
      </c>
      <c r="R4" s="28">
        <v>53908824.020000003</v>
      </c>
      <c r="S4" s="20">
        <f t="shared" ref="S4:S13" si="5">IF(Q4&gt;0,R4/Q4*100,"-")</f>
        <v>87.356138326412307</v>
      </c>
      <c r="T4" s="28">
        <v>55388456.530000001</v>
      </c>
      <c r="U4" s="28">
        <v>48048442.280000001</v>
      </c>
      <c r="V4" s="20">
        <f t="shared" ref="V4:V13" si="6">IF(T4&gt;0,U4/T4*100,"-")</f>
        <v>86.748115564432766</v>
      </c>
      <c r="W4" s="1">
        <v>53891644.740000002</v>
      </c>
      <c r="X4" s="1">
        <v>45687617.310000002</v>
      </c>
      <c r="Y4" s="20">
        <f t="shared" ref="Y4:Y21" si="7">IF(W4&gt;0,X4/W4*100,"-")</f>
        <v>84.776810079595279</v>
      </c>
      <c r="Z4" s="13">
        <f t="shared" ref="Z4:AA55" si="8">IF(T4&gt;0,W4/T4*100-100,"-")</f>
        <v>-2.7023894215020761</v>
      </c>
      <c r="AA4" s="13">
        <f t="shared" si="8"/>
        <v>-4.9134266543801886</v>
      </c>
    </row>
    <row r="5" spans="1:27" x14ac:dyDescent="0.3">
      <c r="A5" t="s">
        <v>22</v>
      </c>
      <c r="B5" s="28">
        <v>81254068.959999993</v>
      </c>
      <c r="C5" s="28">
        <v>50971611.710000001</v>
      </c>
      <c r="D5" s="20">
        <f t="shared" si="0"/>
        <v>62.731149790286153</v>
      </c>
      <c r="E5" s="28">
        <v>73118118.280000001</v>
      </c>
      <c r="F5" s="28">
        <v>57552128.560000002</v>
      </c>
      <c r="G5" s="20">
        <f t="shared" si="1"/>
        <v>78.7111729812421</v>
      </c>
      <c r="H5" s="28">
        <v>74037267.859999999</v>
      </c>
      <c r="I5" s="28">
        <v>53540483.990000002</v>
      </c>
      <c r="J5" s="20">
        <f t="shared" si="2"/>
        <v>72.315585836097867</v>
      </c>
      <c r="K5" s="28">
        <v>67337737.420000002</v>
      </c>
      <c r="L5" s="28">
        <v>50292222.899999999</v>
      </c>
      <c r="M5" s="20">
        <f t="shared" si="3"/>
        <v>74.686535109305126</v>
      </c>
      <c r="N5" s="28">
        <v>52688544.469999999</v>
      </c>
      <c r="O5" s="28">
        <v>40482312.829999998</v>
      </c>
      <c r="P5" s="20">
        <f t="shared" si="4"/>
        <v>76.833234315383237</v>
      </c>
      <c r="Q5" s="28">
        <v>55055222.329999998</v>
      </c>
      <c r="R5" s="28">
        <v>46020998.869999997</v>
      </c>
      <c r="S5" s="20">
        <f t="shared" si="5"/>
        <v>83.590614881456602</v>
      </c>
      <c r="T5" s="28">
        <v>97945622.170000002</v>
      </c>
      <c r="U5" s="28">
        <v>56093165.619999997</v>
      </c>
      <c r="V5" s="20">
        <f t="shared" si="6"/>
        <v>57.269701674508234</v>
      </c>
      <c r="W5" s="1">
        <v>102674190.34</v>
      </c>
      <c r="X5" s="1">
        <v>60968767.359999999</v>
      </c>
      <c r="Y5" s="20">
        <f t="shared" si="7"/>
        <v>59.380811436744949</v>
      </c>
      <c r="Z5" s="13">
        <f t="shared" si="8"/>
        <v>4.8277483620378945</v>
      </c>
      <c r="AA5" s="13">
        <f t="shared" si="8"/>
        <v>8.6919710915042572</v>
      </c>
    </row>
    <row r="6" spans="1:27" x14ac:dyDescent="0.3">
      <c r="A6" t="s">
        <v>23</v>
      </c>
      <c r="B6" s="28">
        <v>0</v>
      </c>
      <c r="C6" s="28">
        <v>0</v>
      </c>
      <c r="D6" s="20" t="str">
        <f t="shared" si="0"/>
        <v>-</v>
      </c>
      <c r="E6" s="28">
        <v>0</v>
      </c>
      <c r="F6" s="28">
        <v>0</v>
      </c>
      <c r="G6" s="20" t="str">
        <f t="shared" si="1"/>
        <v>-</v>
      </c>
      <c r="H6" s="28">
        <v>0</v>
      </c>
      <c r="I6" s="28">
        <v>0</v>
      </c>
      <c r="J6" s="20" t="str">
        <f t="shared" si="2"/>
        <v>-</v>
      </c>
      <c r="K6" s="28">
        <v>0</v>
      </c>
      <c r="L6" s="28">
        <v>0</v>
      </c>
      <c r="M6" s="20" t="str">
        <f t="shared" si="3"/>
        <v>-</v>
      </c>
      <c r="N6" s="28">
        <v>0</v>
      </c>
      <c r="O6" s="28">
        <v>0</v>
      </c>
      <c r="P6" s="20" t="str">
        <f t="shared" si="4"/>
        <v>-</v>
      </c>
      <c r="Q6" s="28">
        <v>0</v>
      </c>
      <c r="R6" s="28">
        <v>0</v>
      </c>
      <c r="S6" s="20" t="str">
        <f t="shared" si="5"/>
        <v>-</v>
      </c>
      <c r="T6" s="28">
        <v>0</v>
      </c>
      <c r="U6" s="28">
        <v>0</v>
      </c>
      <c r="V6" s="20" t="str">
        <f t="shared" si="6"/>
        <v>-</v>
      </c>
      <c r="W6" s="28">
        <v>0</v>
      </c>
      <c r="X6" s="28">
        <v>0</v>
      </c>
      <c r="Y6" s="20" t="str">
        <f t="shared" si="7"/>
        <v>-</v>
      </c>
      <c r="Z6" s="13" t="str">
        <f t="shared" si="8"/>
        <v>-</v>
      </c>
      <c r="AA6" s="13" t="str">
        <f t="shared" si="8"/>
        <v>-</v>
      </c>
    </row>
    <row r="7" spans="1:27" x14ac:dyDescent="0.3">
      <c r="A7" t="s">
        <v>24</v>
      </c>
      <c r="B7" s="28">
        <v>19345451.510000002</v>
      </c>
      <c r="C7" s="28">
        <v>6637514.6100000003</v>
      </c>
      <c r="D7" s="20">
        <f t="shared" si="0"/>
        <v>34.310466243545427</v>
      </c>
      <c r="E7" s="28">
        <v>5626823.2999999998</v>
      </c>
      <c r="F7" s="28">
        <v>3362990.83</v>
      </c>
      <c r="G7" s="20">
        <f t="shared" si="1"/>
        <v>59.767130593917898</v>
      </c>
      <c r="H7" s="28">
        <v>14063601.1</v>
      </c>
      <c r="I7" s="28">
        <v>2421029.1</v>
      </c>
      <c r="J7" s="20">
        <f t="shared" si="2"/>
        <v>17.214859002222411</v>
      </c>
      <c r="K7" s="28">
        <v>27815130.859999999</v>
      </c>
      <c r="L7" s="28">
        <v>2915873.47</v>
      </c>
      <c r="M7" s="20">
        <f t="shared" si="3"/>
        <v>10.483047822698614</v>
      </c>
      <c r="N7" s="28">
        <v>18219463.170000002</v>
      </c>
      <c r="O7" s="28">
        <v>6979258.3600000003</v>
      </c>
      <c r="P7" s="20">
        <f t="shared" si="4"/>
        <v>38.30660813043044</v>
      </c>
      <c r="Q7" s="28">
        <v>28840349.73</v>
      </c>
      <c r="R7" s="28">
        <v>6896156.9299999997</v>
      </c>
      <c r="S7" s="20">
        <f t="shared" si="5"/>
        <v>23.911488572645681</v>
      </c>
      <c r="T7" s="28">
        <v>95815535.230000004</v>
      </c>
      <c r="U7" s="28">
        <v>71735410.359999999</v>
      </c>
      <c r="V7" s="20">
        <f t="shared" si="6"/>
        <v>74.86824572633553</v>
      </c>
      <c r="W7" s="1">
        <v>45292488.399999999</v>
      </c>
      <c r="X7" s="1">
        <v>4984264.7300000004</v>
      </c>
      <c r="Y7" s="20">
        <f t="shared" si="7"/>
        <v>11.004616672816768</v>
      </c>
      <c r="Z7" s="13">
        <f t="shared" si="8"/>
        <v>-52.729493926764768</v>
      </c>
      <c r="AA7" s="13">
        <f t="shared" si="8"/>
        <v>-93.051876744014208</v>
      </c>
    </row>
    <row r="8" spans="1:27" x14ac:dyDescent="0.3">
      <c r="A8" t="s">
        <v>25</v>
      </c>
      <c r="B8" s="28">
        <v>40214.370000000003</v>
      </c>
      <c r="C8" s="28">
        <v>39325.01</v>
      </c>
      <c r="D8" s="20">
        <f t="shared" si="0"/>
        <v>97.788452237347002</v>
      </c>
      <c r="E8" s="28">
        <v>19291.77</v>
      </c>
      <c r="F8" s="28">
        <v>19291.77</v>
      </c>
      <c r="G8" s="20">
        <f t="shared" si="1"/>
        <v>100</v>
      </c>
      <c r="H8" s="28">
        <v>283329.19</v>
      </c>
      <c r="I8" s="28">
        <v>52922.79</v>
      </c>
      <c r="J8" s="20">
        <f t="shared" si="2"/>
        <v>18.678904916221303</v>
      </c>
      <c r="K8" s="28">
        <v>71247</v>
      </c>
      <c r="L8" s="28">
        <v>69908</v>
      </c>
      <c r="M8" s="20">
        <f t="shared" si="3"/>
        <v>98.120622622706918</v>
      </c>
      <c r="N8" s="28">
        <v>415571.77</v>
      </c>
      <c r="O8" s="28">
        <v>414335.77</v>
      </c>
      <c r="P8" s="20">
        <f t="shared" si="4"/>
        <v>99.702578449926946</v>
      </c>
      <c r="Q8" s="28">
        <v>502218.05</v>
      </c>
      <c r="R8" s="28">
        <v>202218.05</v>
      </c>
      <c r="S8" s="20">
        <f t="shared" si="5"/>
        <v>40.264990475750523</v>
      </c>
      <c r="T8" s="28">
        <v>44801.95</v>
      </c>
      <c r="U8" s="28">
        <v>44801.95</v>
      </c>
      <c r="V8" s="20">
        <f t="shared" si="6"/>
        <v>100</v>
      </c>
      <c r="W8" s="1">
        <v>254416</v>
      </c>
      <c r="X8" s="1">
        <v>7416</v>
      </c>
      <c r="Y8" s="20">
        <f t="shared" si="7"/>
        <v>2.9149110118860446</v>
      </c>
      <c r="Z8" s="13">
        <f t="shared" si="8"/>
        <v>467.86813966802788</v>
      </c>
      <c r="AA8" s="13">
        <f t="shared" si="8"/>
        <v>-83.447149063824227</v>
      </c>
    </row>
    <row r="9" spans="1:27" x14ac:dyDescent="0.3">
      <c r="A9" t="s">
        <v>26</v>
      </c>
      <c r="B9" s="28">
        <v>1317389.6499999999</v>
      </c>
      <c r="C9" s="28">
        <v>1020928.39</v>
      </c>
      <c r="D9" s="20">
        <f t="shared" si="0"/>
        <v>77.496311740417894</v>
      </c>
      <c r="E9" s="28">
        <v>2138823.56</v>
      </c>
      <c r="F9" s="28">
        <v>1633793.32</v>
      </c>
      <c r="G9" s="20">
        <f t="shared" si="1"/>
        <v>76.387475365195627</v>
      </c>
      <c r="H9" s="28">
        <v>38687052.009999998</v>
      </c>
      <c r="I9" s="28">
        <v>38665258.990000002</v>
      </c>
      <c r="J9" s="20">
        <f t="shared" si="2"/>
        <v>99.943668439780936</v>
      </c>
      <c r="K9" s="28">
        <v>2259438.85</v>
      </c>
      <c r="L9" s="28">
        <v>2144666.4</v>
      </c>
      <c r="M9" s="20">
        <f t="shared" si="3"/>
        <v>94.920311740235846</v>
      </c>
      <c r="N9" s="28">
        <v>1631886.64</v>
      </c>
      <c r="O9" s="28">
        <v>1445104.28</v>
      </c>
      <c r="P9" s="20">
        <f t="shared" si="4"/>
        <v>88.55420741725051</v>
      </c>
      <c r="Q9" s="28">
        <v>14355565.48</v>
      </c>
      <c r="R9" s="28">
        <v>10121861.039999999</v>
      </c>
      <c r="S9" s="20">
        <f t="shared" si="5"/>
        <v>70.508271193507866</v>
      </c>
      <c r="T9" s="28">
        <v>3179216.89</v>
      </c>
      <c r="U9" s="28">
        <v>2727804.6</v>
      </c>
      <c r="V9" s="20">
        <f t="shared" si="6"/>
        <v>85.80114834505676</v>
      </c>
      <c r="W9" s="1">
        <v>2115289.9700000002</v>
      </c>
      <c r="X9" s="1">
        <v>1979732.71</v>
      </c>
      <c r="Y9" s="20">
        <f t="shared" si="7"/>
        <v>93.591551894892206</v>
      </c>
      <c r="Z9" s="13">
        <f t="shared" si="8"/>
        <v>-33.465062523620389</v>
      </c>
      <c r="AA9" s="13">
        <f t="shared" si="8"/>
        <v>-27.423954413743573</v>
      </c>
    </row>
    <row r="10" spans="1:27" x14ac:dyDescent="0.3">
      <c r="A10" t="s">
        <v>27</v>
      </c>
      <c r="B10" s="28">
        <v>4613680.33</v>
      </c>
      <c r="C10" s="28">
        <v>4613589.54</v>
      </c>
      <c r="D10" s="20">
        <f t="shared" si="0"/>
        <v>99.998032156683905</v>
      </c>
      <c r="E10" s="28">
        <v>5582355.4800000004</v>
      </c>
      <c r="F10" s="28">
        <v>5563487.5099999998</v>
      </c>
      <c r="G10" s="20">
        <f t="shared" si="1"/>
        <v>99.66200701356982</v>
      </c>
      <c r="H10" s="28">
        <v>7087164.3899999997</v>
      </c>
      <c r="I10" s="28">
        <v>5840358.1299999999</v>
      </c>
      <c r="J10" s="20">
        <f t="shared" si="2"/>
        <v>82.407544239283553</v>
      </c>
      <c r="K10" s="28">
        <v>10031967.640000001</v>
      </c>
      <c r="L10" s="28">
        <v>9622596.3800000008</v>
      </c>
      <c r="M10" s="20">
        <f t="shared" si="3"/>
        <v>95.919332331498623</v>
      </c>
      <c r="N10" s="28">
        <v>5405762.1699999999</v>
      </c>
      <c r="O10" s="28">
        <v>5182599.5599999996</v>
      </c>
      <c r="P10" s="20">
        <f t="shared" si="4"/>
        <v>95.871764184549761</v>
      </c>
      <c r="Q10" s="28">
        <v>7520131.29</v>
      </c>
      <c r="R10" s="28">
        <v>7491364.25</v>
      </c>
      <c r="S10" s="20">
        <f t="shared" si="5"/>
        <v>99.617466253039311</v>
      </c>
      <c r="T10" s="28">
        <v>10733650.43</v>
      </c>
      <c r="U10" s="28">
        <v>9807435.75</v>
      </c>
      <c r="V10" s="20">
        <f t="shared" si="6"/>
        <v>91.370925613421534</v>
      </c>
      <c r="W10" s="1">
        <v>8789969.4000000004</v>
      </c>
      <c r="X10" s="1">
        <v>8514174.4199999999</v>
      </c>
      <c r="Y10" s="20">
        <f t="shared" si="7"/>
        <v>96.862389759855134</v>
      </c>
      <c r="Z10" s="13">
        <f t="shared" si="8"/>
        <v>-18.108294495668602</v>
      </c>
      <c r="AA10" s="13">
        <f t="shared" si="8"/>
        <v>-13.18653889728516</v>
      </c>
    </row>
    <row r="11" spans="1:27" x14ac:dyDescent="0.3">
      <c r="A11" t="s">
        <v>28</v>
      </c>
      <c r="B11" s="28">
        <v>19995054.899999999</v>
      </c>
      <c r="C11" s="28">
        <v>19995054.899999999</v>
      </c>
      <c r="D11" s="20">
        <f t="shared" si="0"/>
        <v>100</v>
      </c>
      <c r="E11" s="28">
        <v>23543822.34</v>
      </c>
      <c r="F11" s="28">
        <v>23543822.34</v>
      </c>
      <c r="G11" s="20">
        <f t="shared" si="1"/>
        <v>100</v>
      </c>
      <c r="H11" s="28">
        <v>0</v>
      </c>
      <c r="I11" s="28">
        <v>0</v>
      </c>
      <c r="J11" s="20" t="str">
        <f t="shared" si="2"/>
        <v>-</v>
      </c>
      <c r="K11" s="28">
        <v>0</v>
      </c>
      <c r="L11" s="28">
        <v>0</v>
      </c>
      <c r="M11" s="20" t="str">
        <f t="shared" si="3"/>
        <v>-</v>
      </c>
      <c r="N11" s="28">
        <v>0</v>
      </c>
      <c r="O11" s="28">
        <v>0</v>
      </c>
      <c r="P11" s="20" t="str">
        <f t="shared" si="4"/>
        <v>-</v>
      </c>
      <c r="Q11" s="28">
        <v>0</v>
      </c>
      <c r="R11" s="28">
        <v>0</v>
      </c>
      <c r="S11" s="20" t="str">
        <f t="shared" si="5"/>
        <v>-</v>
      </c>
      <c r="T11" s="28">
        <v>0</v>
      </c>
      <c r="U11" s="28">
        <v>0</v>
      </c>
      <c r="V11" s="20" t="str">
        <f t="shared" si="6"/>
        <v>-</v>
      </c>
      <c r="W11" s="28">
        <v>0</v>
      </c>
      <c r="X11" s="28">
        <v>0</v>
      </c>
      <c r="Y11" s="20" t="str">
        <f t="shared" si="7"/>
        <v>-</v>
      </c>
      <c r="Z11" s="13" t="str">
        <f t="shared" si="8"/>
        <v>-</v>
      </c>
      <c r="AA11" s="13" t="str">
        <f t="shared" si="8"/>
        <v>-</v>
      </c>
    </row>
    <row r="12" spans="1:27" x14ac:dyDescent="0.3">
      <c r="A12" t="s">
        <v>29</v>
      </c>
      <c r="B12" s="28">
        <v>5619326.0099999998</v>
      </c>
      <c r="C12" s="28">
        <v>0</v>
      </c>
      <c r="D12" s="20">
        <f t="shared" si="0"/>
        <v>0</v>
      </c>
      <c r="E12" s="28">
        <v>0</v>
      </c>
      <c r="F12" s="28">
        <v>0</v>
      </c>
      <c r="G12" s="20" t="str">
        <f t="shared" si="1"/>
        <v>-</v>
      </c>
      <c r="H12" s="28">
        <v>0</v>
      </c>
      <c r="I12" s="28">
        <v>0</v>
      </c>
      <c r="J12" s="20" t="str">
        <f t="shared" si="2"/>
        <v>-</v>
      </c>
      <c r="K12" s="28">
        <v>3673382.35</v>
      </c>
      <c r="L12" s="28">
        <v>0</v>
      </c>
      <c r="M12" s="20">
        <f t="shared" si="3"/>
        <v>0</v>
      </c>
      <c r="N12" s="28">
        <v>4408556.45</v>
      </c>
      <c r="O12" s="28">
        <v>0</v>
      </c>
      <c r="P12" s="20">
        <f t="shared" si="4"/>
        <v>0</v>
      </c>
      <c r="Q12" s="28">
        <v>0</v>
      </c>
      <c r="R12" s="28">
        <v>0</v>
      </c>
      <c r="S12" s="20" t="str">
        <f t="shared" si="5"/>
        <v>-</v>
      </c>
      <c r="T12" s="28">
        <v>0</v>
      </c>
      <c r="U12" s="28">
        <v>0</v>
      </c>
      <c r="V12" s="20" t="str">
        <f t="shared" si="6"/>
        <v>-</v>
      </c>
      <c r="W12" s="28">
        <v>0</v>
      </c>
      <c r="X12" s="28">
        <v>0</v>
      </c>
      <c r="Y12" s="20" t="str">
        <f t="shared" si="7"/>
        <v>-</v>
      </c>
      <c r="Z12" s="13" t="str">
        <f t="shared" si="8"/>
        <v>-</v>
      </c>
      <c r="AA12" s="13" t="str">
        <f t="shared" si="8"/>
        <v>-</v>
      </c>
    </row>
    <row r="13" spans="1:27" x14ac:dyDescent="0.3">
      <c r="A13" t="s">
        <v>30</v>
      </c>
      <c r="B13" s="28">
        <v>0</v>
      </c>
      <c r="C13" s="28">
        <v>0</v>
      </c>
      <c r="D13" s="20" t="str">
        <f t="shared" si="0"/>
        <v>-</v>
      </c>
      <c r="E13" s="28">
        <v>0</v>
      </c>
      <c r="F13" s="28">
        <v>0</v>
      </c>
      <c r="G13" s="20" t="str">
        <f t="shared" si="1"/>
        <v>-</v>
      </c>
      <c r="H13" s="28">
        <v>0</v>
      </c>
      <c r="I13" s="28">
        <v>0</v>
      </c>
      <c r="J13" s="20" t="str">
        <f t="shared" si="2"/>
        <v>-</v>
      </c>
      <c r="K13" s="28">
        <v>0</v>
      </c>
      <c r="L13" s="28">
        <v>0</v>
      </c>
      <c r="M13" s="20" t="str">
        <f t="shared" si="3"/>
        <v>-</v>
      </c>
      <c r="N13" s="28">
        <v>0</v>
      </c>
      <c r="O13" s="28">
        <v>0</v>
      </c>
      <c r="P13" s="20" t="str">
        <f t="shared" si="4"/>
        <v>-</v>
      </c>
      <c r="Q13" s="28">
        <v>2944208.24</v>
      </c>
      <c r="R13" s="28">
        <v>0</v>
      </c>
      <c r="S13" s="20">
        <f t="shared" si="5"/>
        <v>0</v>
      </c>
      <c r="T13" s="28">
        <v>0</v>
      </c>
      <c r="U13" s="28">
        <v>0</v>
      </c>
      <c r="V13" s="20" t="str">
        <f t="shared" si="6"/>
        <v>-</v>
      </c>
      <c r="W13" s="28">
        <v>0</v>
      </c>
      <c r="X13" s="28">
        <v>0</v>
      </c>
      <c r="Y13" s="20" t="str">
        <f t="shared" si="7"/>
        <v>-</v>
      </c>
      <c r="Z13" s="13" t="str">
        <f t="shared" si="8"/>
        <v>-</v>
      </c>
      <c r="AA13" s="13" t="str">
        <f t="shared" si="8"/>
        <v>-</v>
      </c>
    </row>
    <row r="14" spans="1:27" x14ac:dyDescent="0.3">
      <c r="A14" t="s">
        <v>31</v>
      </c>
      <c r="B14" s="28">
        <f t="shared" ref="B14:C14" si="9">SUM(B3:B5)</f>
        <v>283356227.11000001</v>
      </c>
      <c r="C14" s="28">
        <f t="shared" si="9"/>
        <v>216814685.13000003</v>
      </c>
      <c r="D14" s="20">
        <f>IF(B14&gt;0,C14/B14*100,"-")</f>
        <v>76.516647381047918</v>
      </c>
      <c r="E14" s="28">
        <f t="shared" ref="E14:F14" si="10">SUM(E3:E5)</f>
        <v>267868146.94999999</v>
      </c>
      <c r="F14" s="28">
        <f t="shared" si="10"/>
        <v>200706426.43000001</v>
      </c>
      <c r="G14" s="20">
        <f>IF(E14&gt;0,F14/E14*100,"-")</f>
        <v>74.92732104032649</v>
      </c>
      <c r="H14" s="28">
        <f t="shared" ref="H14:I14" si="11">SUM(H3:H5)</f>
        <v>278373513.23000002</v>
      </c>
      <c r="I14" s="28">
        <f t="shared" si="11"/>
        <v>222139896.25</v>
      </c>
      <c r="J14" s="20">
        <f>IF(H14&gt;0,I14/H14*100,"-")</f>
        <v>79.799221439024549</v>
      </c>
      <c r="K14" s="28">
        <f t="shared" ref="K14:L14" si="12">SUM(K3:K5)</f>
        <v>282138676.87</v>
      </c>
      <c r="L14" s="28">
        <f t="shared" si="12"/>
        <v>225453250.02000001</v>
      </c>
      <c r="M14" s="20">
        <f>IF(K14&gt;0,L14/K14*100,"-")</f>
        <v>79.908664959069498</v>
      </c>
      <c r="N14" s="28">
        <f t="shared" ref="N14:O14" si="13">SUM(N3:N5)</f>
        <v>298442108.48000002</v>
      </c>
      <c r="O14" s="28">
        <f t="shared" si="13"/>
        <v>245987309.98999995</v>
      </c>
      <c r="P14" s="20">
        <f>IF(N14&gt;0,O14/N14*100,"-")</f>
        <v>82.423794431302483</v>
      </c>
      <c r="Q14" s="28">
        <f t="shared" ref="Q14:R14" si="14">SUM(Q3:Q5)</f>
        <v>321944263.38999999</v>
      </c>
      <c r="R14" s="28">
        <f t="shared" si="14"/>
        <v>278247446.49000001</v>
      </c>
      <c r="S14" s="20">
        <f>IF(Q14&gt;0,R14/Q14*100,"-")</f>
        <v>86.427210586117482</v>
      </c>
      <c r="T14" s="28">
        <f t="shared" ref="T14:U14" si="15">SUM(T3:T5)</f>
        <v>333003219.78000003</v>
      </c>
      <c r="U14" s="28">
        <f t="shared" si="15"/>
        <v>254615316.84999999</v>
      </c>
      <c r="V14" s="20">
        <f>IF(T14&gt;0,U14/T14*100,"-")</f>
        <v>76.460316815618981</v>
      </c>
      <c r="W14" s="28">
        <f t="shared" ref="W14:X14" si="16">SUM(W3:W5)</f>
        <v>335547069.27999997</v>
      </c>
      <c r="X14" s="28">
        <f t="shared" si="16"/>
        <v>246565313.56999999</v>
      </c>
      <c r="Y14" s="20">
        <f>IF(W14&gt;0,X14/W14*100,"-")</f>
        <v>73.481587575497969</v>
      </c>
      <c r="Z14" s="13">
        <f t="shared" si="8"/>
        <v>0.7639113825027124</v>
      </c>
      <c r="AA14" s="13">
        <f t="shared" si="8"/>
        <v>-3.1616335496196513</v>
      </c>
    </row>
    <row r="15" spans="1:27" x14ac:dyDescent="0.3">
      <c r="A15" t="s">
        <v>32</v>
      </c>
      <c r="B15" s="27">
        <f t="shared" ref="B15:C15" si="17">SUM(B6:B10)</f>
        <v>25316735.859999999</v>
      </c>
      <c r="C15" s="27">
        <f t="shared" si="17"/>
        <v>12311357.550000001</v>
      </c>
      <c r="D15" s="20">
        <f>IF(B15&gt;0,C15/B15*100,"-")</f>
        <v>48.629324167542983</v>
      </c>
      <c r="E15" s="27">
        <f t="shared" ref="E15:F15" si="18">SUM(E6:E10)</f>
        <v>13367294.109999999</v>
      </c>
      <c r="F15" s="27">
        <f t="shared" si="18"/>
        <v>10579563.43</v>
      </c>
      <c r="G15" s="20">
        <f>IF(E15&gt;0,F15/E15*100,"-")</f>
        <v>79.145138447170737</v>
      </c>
      <c r="H15" s="27">
        <f t="shared" ref="H15:I15" si="19">SUM(H6:H10)</f>
        <v>60121146.689999998</v>
      </c>
      <c r="I15" s="27">
        <f t="shared" si="19"/>
        <v>46979569.010000005</v>
      </c>
      <c r="J15" s="20">
        <f>IF(H15&gt;0,I15/H15*100,"-")</f>
        <v>78.141505271412527</v>
      </c>
      <c r="K15" s="27">
        <f t="shared" ref="K15:L15" si="20">SUM(K6:K10)</f>
        <v>40177784.350000001</v>
      </c>
      <c r="L15" s="27">
        <f t="shared" si="20"/>
        <v>14753044.25</v>
      </c>
      <c r="M15" s="20">
        <f>IF(K15&gt;0,L15/K15*100,"-")</f>
        <v>36.719407226346959</v>
      </c>
      <c r="N15" s="27">
        <f t="shared" ref="N15:O15" si="21">SUM(N6:N10)</f>
        <v>25672683.75</v>
      </c>
      <c r="O15" s="27">
        <f t="shared" si="21"/>
        <v>14021297.969999999</v>
      </c>
      <c r="P15" s="20">
        <f>IF(N15&gt;0,O15/N15*100,"-")</f>
        <v>54.615630007906745</v>
      </c>
      <c r="Q15" s="27">
        <f t="shared" ref="Q15:R15" si="22">SUM(Q6:Q10)</f>
        <v>51218264.550000004</v>
      </c>
      <c r="R15" s="27">
        <f t="shared" si="22"/>
        <v>24711600.27</v>
      </c>
      <c r="S15" s="20">
        <f>IF(Q15&gt;0,R15/Q15*100,"-")</f>
        <v>48.247632923751603</v>
      </c>
      <c r="T15" s="27">
        <f t="shared" ref="T15:U15" si="23">SUM(T6:T10)</f>
        <v>109773204.5</v>
      </c>
      <c r="U15" s="27">
        <f t="shared" si="23"/>
        <v>84315452.659999996</v>
      </c>
      <c r="V15" s="20">
        <f>IF(T15&gt;0,U15/T15*100,"-")</f>
        <v>76.808774093863676</v>
      </c>
      <c r="W15" s="27">
        <f t="shared" ref="W15:X15" si="24">SUM(W6:W10)</f>
        <v>56452163.769999996</v>
      </c>
      <c r="X15" s="27">
        <f t="shared" si="24"/>
        <v>15485587.859999999</v>
      </c>
      <c r="Y15" s="20">
        <f>IF(W15&gt;0,X15/W15*100,"-")</f>
        <v>27.431345099706178</v>
      </c>
      <c r="Z15" s="13">
        <f t="shared" si="8"/>
        <v>-48.573821792730854</v>
      </c>
      <c r="AA15" s="13">
        <f t="shared" si="8"/>
        <v>-81.633748771479347</v>
      </c>
    </row>
    <row r="16" spans="1:27" x14ac:dyDescent="0.3">
      <c r="A16" t="s">
        <v>33</v>
      </c>
      <c r="B16" s="28">
        <f t="shared" ref="B16:C16" si="25">SUM(B11:B13)</f>
        <v>25614380.909999996</v>
      </c>
      <c r="C16" s="28">
        <f t="shared" si="25"/>
        <v>19995054.899999999</v>
      </c>
      <c r="D16" s="20">
        <f t="shared" si="0"/>
        <v>78.061831633782802</v>
      </c>
      <c r="E16" s="28">
        <f t="shared" ref="E16:F16" si="26">SUM(E11:E13)</f>
        <v>23543822.34</v>
      </c>
      <c r="F16" s="28">
        <f t="shared" si="26"/>
        <v>23543822.34</v>
      </c>
      <c r="G16" s="20">
        <f t="shared" si="1"/>
        <v>100</v>
      </c>
      <c r="H16" s="28">
        <f t="shared" ref="H16:I16" si="27">SUM(H11:H13)</f>
        <v>0</v>
      </c>
      <c r="I16" s="28">
        <f t="shared" si="27"/>
        <v>0</v>
      </c>
      <c r="J16" s="20" t="str">
        <f t="shared" ref="J16:J21" si="28">IF(H16&gt;0,I16/H16*100,"-")</f>
        <v>-</v>
      </c>
      <c r="K16" s="28">
        <f t="shared" ref="K16:L16" si="29">SUM(K11:K13)</f>
        <v>3673382.35</v>
      </c>
      <c r="L16" s="28">
        <f t="shared" si="29"/>
        <v>0</v>
      </c>
      <c r="M16" s="20">
        <f t="shared" ref="M16:M21" si="30">IF(K16&gt;0,L16/K16*100,"-")</f>
        <v>0</v>
      </c>
      <c r="N16" s="28">
        <f t="shared" ref="N16:O16" si="31">SUM(N11:N13)</f>
        <v>4408556.45</v>
      </c>
      <c r="O16" s="28">
        <f t="shared" si="31"/>
        <v>0</v>
      </c>
      <c r="P16" s="20">
        <f t="shared" ref="P16:P21" si="32">IF(N16&gt;0,O16/N16*100,"-")</f>
        <v>0</v>
      </c>
      <c r="Q16" s="28">
        <f t="shared" ref="Q16:R16" si="33">SUM(Q11:Q13)</f>
        <v>2944208.24</v>
      </c>
      <c r="R16" s="28">
        <f t="shared" si="33"/>
        <v>0</v>
      </c>
      <c r="S16" s="20">
        <f t="shared" ref="S16:S21" si="34">IF(Q16&gt;0,R16/Q16*100,"-")</f>
        <v>0</v>
      </c>
      <c r="T16" s="28">
        <f t="shared" ref="T16:U16" si="35">SUM(T11:T13)</f>
        <v>0</v>
      </c>
      <c r="U16" s="28">
        <f t="shared" si="35"/>
        <v>0</v>
      </c>
      <c r="V16" s="20" t="str">
        <f t="shared" ref="V16:V21" si="36">IF(T16&gt;0,U16/T16*100,"-")</f>
        <v>-</v>
      </c>
      <c r="W16" s="28">
        <f t="shared" ref="W16:X16" si="37">SUM(W11:W13)</f>
        <v>0</v>
      </c>
      <c r="X16" s="28">
        <f t="shared" si="37"/>
        <v>0</v>
      </c>
      <c r="Y16" s="20" t="str">
        <f t="shared" si="7"/>
        <v>-</v>
      </c>
      <c r="Z16" s="13" t="str">
        <f t="shared" si="8"/>
        <v>-</v>
      </c>
      <c r="AA16" s="13" t="str">
        <f t="shared" si="8"/>
        <v>-</v>
      </c>
    </row>
    <row r="17" spans="1:27" x14ac:dyDescent="0.3">
      <c r="A17" t="s">
        <v>34</v>
      </c>
      <c r="B17" s="28">
        <v>10169326.01</v>
      </c>
      <c r="C17" s="28">
        <v>5619326.0099999998</v>
      </c>
      <c r="D17" s="20">
        <f t="shared" si="0"/>
        <v>55.25760512028269</v>
      </c>
      <c r="E17" s="28">
        <v>4150000</v>
      </c>
      <c r="F17" s="28">
        <v>4150000</v>
      </c>
      <c r="G17" s="20">
        <f t="shared" si="1"/>
        <v>100</v>
      </c>
      <c r="H17" s="28">
        <v>0</v>
      </c>
      <c r="I17" s="28">
        <v>0</v>
      </c>
      <c r="J17" s="20" t="str">
        <f t="shared" si="28"/>
        <v>-</v>
      </c>
      <c r="K17" s="28">
        <v>6673382.3499999996</v>
      </c>
      <c r="L17" s="28">
        <v>6673382.3499999996</v>
      </c>
      <c r="M17" s="20">
        <f t="shared" si="30"/>
        <v>100</v>
      </c>
      <c r="N17" s="28">
        <v>4408556.45</v>
      </c>
      <c r="O17" s="28">
        <v>4408556.45</v>
      </c>
      <c r="P17" s="20">
        <f t="shared" si="32"/>
        <v>100</v>
      </c>
      <c r="Q17" s="28">
        <v>4244208.24</v>
      </c>
      <c r="R17" s="28">
        <v>4244208.24</v>
      </c>
      <c r="S17" s="20">
        <f t="shared" si="34"/>
        <v>100</v>
      </c>
      <c r="T17" s="28">
        <v>0</v>
      </c>
      <c r="U17" s="28">
        <v>0</v>
      </c>
      <c r="V17" s="20" t="str">
        <f t="shared" si="36"/>
        <v>-</v>
      </c>
      <c r="W17" s="28">
        <v>0</v>
      </c>
      <c r="X17" s="28">
        <v>0</v>
      </c>
      <c r="Y17" s="20" t="str">
        <f t="shared" si="7"/>
        <v>-</v>
      </c>
      <c r="Z17" s="13" t="str">
        <f t="shared" si="8"/>
        <v>-</v>
      </c>
      <c r="AA17" s="13" t="str">
        <f t="shared" si="8"/>
        <v>-</v>
      </c>
    </row>
    <row r="18" spans="1:27" x14ac:dyDescent="0.3">
      <c r="A18" t="s">
        <v>35</v>
      </c>
      <c r="B18" s="28">
        <v>0</v>
      </c>
      <c r="C18" s="28">
        <v>0</v>
      </c>
      <c r="D18" s="20" t="str">
        <f t="shared" si="0"/>
        <v>-</v>
      </c>
      <c r="E18" s="28">
        <v>0</v>
      </c>
      <c r="F18" s="28">
        <v>0</v>
      </c>
      <c r="G18" s="20" t="str">
        <f t="shared" si="1"/>
        <v>-</v>
      </c>
      <c r="H18" s="28">
        <v>0</v>
      </c>
      <c r="I18" s="28">
        <v>0</v>
      </c>
      <c r="J18" s="20" t="str">
        <f t="shared" si="28"/>
        <v>-</v>
      </c>
      <c r="K18" s="28">
        <v>0</v>
      </c>
      <c r="L18" s="28">
        <v>0</v>
      </c>
      <c r="M18" s="20" t="str">
        <f t="shared" si="30"/>
        <v>-</v>
      </c>
      <c r="N18" s="28">
        <v>0</v>
      </c>
      <c r="O18" s="28">
        <v>0</v>
      </c>
      <c r="P18" s="20" t="str">
        <f t="shared" si="32"/>
        <v>-</v>
      </c>
      <c r="Q18" s="28">
        <v>0</v>
      </c>
      <c r="R18" s="28">
        <v>0</v>
      </c>
      <c r="S18" s="20" t="str">
        <f t="shared" si="34"/>
        <v>-</v>
      </c>
      <c r="T18" s="28">
        <v>0</v>
      </c>
      <c r="U18" s="28">
        <v>0</v>
      </c>
      <c r="V18" s="20" t="str">
        <f t="shared" si="36"/>
        <v>-</v>
      </c>
      <c r="W18" s="28">
        <v>0</v>
      </c>
      <c r="X18" s="28">
        <v>0</v>
      </c>
      <c r="Y18" s="20" t="str">
        <f t="shared" si="7"/>
        <v>-</v>
      </c>
      <c r="Z18" s="13" t="str">
        <f t="shared" si="8"/>
        <v>-</v>
      </c>
      <c r="AA18" s="13" t="str">
        <f t="shared" si="8"/>
        <v>-</v>
      </c>
    </row>
    <row r="19" spans="1:27" x14ac:dyDescent="0.3">
      <c r="A19" t="s">
        <v>36</v>
      </c>
      <c r="B19" s="28">
        <v>38001509.490000002</v>
      </c>
      <c r="C19" s="28">
        <v>37743109.359999999</v>
      </c>
      <c r="D19" s="20">
        <f t="shared" si="0"/>
        <v>99.32002666876167</v>
      </c>
      <c r="E19" s="28">
        <v>37735685.399999999</v>
      </c>
      <c r="F19" s="28">
        <v>37527914.450000003</v>
      </c>
      <c r="G19" s="20">
        <f t="shared" si="1"/>
        <v>99.449404594622806</v>
      </c>
      <c r="H19" s="28">
        <v>43831164.18</v>
      </c>
      <c r="I19" s="28">
        <v>43286922.93</v>
      </c>
      <c r="J19" s="20">
        <f t="shared" si="28"/>
        <v>98.758323534905486</v>
      </c>
      <c r="K19" s="28">
        <v>49643451.420000002</v>
      </c>
      <c r="L19" s="28">
        <v>49476818.270000003</v>
      </c>
      <c r="M19" s="20">
        <f t="shared" si="30"/>
        <v>99.664340118920762</v>
      </c>
      <c r="N19" s="28">
        <v>46623390.630000003</v>
      </c>
      <c r="O19" s="28">
        <v>46420955.539999999</v>
      </c>
      <c r="P19" s="20">
        <f t="shared" si="32"/>
        <v>99.565807876122705</v>
      </c>
      <c r="Q19" s="28">
        <v>43138419.109999999</v>
      </c>
      <c r="R19" s="28">
        <v>42948673.25</v>
      </c>
      <c r="S19" s="20">
        <f t="shared" si="34"/>
        <v>99.560146468241769</v>
      </c>
      <c r="T19" s="28">
        <v>108443397.95999999</v>
      </c>
      <c r="U19" s="28">
        <v>99620451.430000007</v>
      </c>
      <c r="V19" s="20">
        <f t="shared" si="36"/>
        <v>91.864007679605919</v>
      </c>
      <c r="W19" s="1">
        <v>58153195.210000001</v>
      </c>
      <c r="X19" s="1">
        <v>49181940.329999998</v>
      </c>
      <c r="Y19" s="20">
        <f t="shared" si="7"/>
        <v>84.57306628190689</v>
      </c>
      <c r="Z19" s="13">
        <f t="shared" si="8"/>
        <v>-46.374609885011019</v>
      </c>
      <c r="AA19" s="13">
        <f t="shared" si="8"/>
        <v>-50.630679118575848</v>
      </c>
    </row>
    <row r="20" spans="1:27" x14ac:dyDescent="0.3">
      <c r="A20" t="s">
        <v>37</v>
      </c>
      <c r="B20" s="28">
        <f t="shared" ref="B20:C20" si="38">B14+B15+B16+B17+B18+B19</f>
        <v>382458179.38</v>
      </c>
      <c r="C20" s="28">
        <f t="shared" si="38"/>
        <v>292483532.95000005</v>
      </c>
      <c r="D20" s="20">
        <f t="shared" si="0"/>
        <v>76.474644475937964</v>
      </c>
      <c r="E20" s="28">
        <f t="shared" ref="E20:F20" si="39">E14+E15+E16+E17+E18+E19</f>
        <v>346664948.79999995</v>
      </c>
      <c r="F20" s="28">
        <f t="shared" si="39"/>
        <v>276507726.65000004</v>
      </c>
      <c r="G20" s="20">
        <f t="shared" si="1"/>
        <v>79.76223947853596</v>
      </c>
      <c r="H20" s="28">
        <f t="shared" ref="H20:I20" si="40">H14+H15+H16+H17+H18+H19</f>
        <v>382325824.10000002</v>
      </c>
      <c r="I20" s="28">
        <f t="shared" si="40"/>
        <v>312406388.19</v>
      </c>
      <c r="J20" s="20">
        <f t="shared" si="28"/>
        <v>81.712081292287465</v>
      </c>
      <c r="K20" s="28">
        <f t="shared" ref="K20:L20" si="41">K14+K15+K16+K17+K18+K19</f>
        <v>382306677.34000009</v>
      </c>
      <c r="L20" s="28">
        <f t="shared" si="41"/>
        <v>296356494.88999999</v>
      </c>
      <c r="M20" s="20">
        <f t="shared" si="30"/>
        <v>77.518001242347836</v>
      </c>
      <c r="N20" s="28">
        <f t="shared" ref="N20:O20" si="42">N14+N15+N16+N17+N18+N19</f>
        <v>379555295.75999999</v>
      </c>
      <c r="O20" s="28">
        <f t="shared" si="42"/>
        <v>310838119.94999993</v>
      </c>
      <c r="P20" s="20">
        <f t="shared" si="32"/>
        <v>81.895345269151193</v>
      </c>
      <c r="Q20" s="28">
        <f t="shared" ref="Q20:R20" si="43">Q14+Q15+Q16+Q17+Q18+Q19</f>
        <v>423489363.53000003</v>
      </c>
      <c r="R20" s="28">
        <f t="shared" si="43"/>
        <v>350151928.25</v>
      </c>
      <c r="S20" s="20">
        <f t="shared" si="34"/>
        <v>82.682579163572129</v>
      </c>
      <c r="T20" s="28">
        <f t="shared" ref="T20:U20" si="44">T14+T15+T16+T17+T18+T19</f>
        <v>551219822.24000001</v>
      </c>
      <c r="U20" s="28">
        <f t="shared" si="44"/>
        <v>438551220.94</v>
      </c>
      <c r="V20" s="20">
        <f t="shared" si="36"/>
        <v>79.560132499925899</v>
      </c>
      <c r="W20" s="28">
        <f t="shared" ref="W20:X20" si="45">W14+W15+W16+W17+W18+W19</f>
        <v>450152428.25999993</v>
      </c>
      <c r="X20" s="28">
        <f t="shared" si="45"/>
        <v>311232841.75999999</v>
      </c>
      <c r="Y20" s="20">
        <f t="shared" si="7"/>
        <v>69.139434160785541</v>
      </c>
      <c r="Z20" s="13">
        <f t="shared" si="8"/>
        <v>-18.335224878033415</v>
      </c>
      <c r="AA20" s="13">
        <f t="shared" si="8"/>
        <v>-29.031586984777533</v>
      </c>
    </row>
    <row r="21" spans="1:27" x14ac:dyDescent="0.3">
      <c r="A21" t="s">
        <v>38</v>
      </c>
      <c r="B21" s="28">
        <f t="shared" ref="B21:C21" si="46">B20-B19</f>
        <v>344456669.88999999</v>
      </c>
      <c r="C21" s="28">
        <f t="shared" si="46"/>
        <v>254740423.59000003</v>
      </c>
      <c r="D21" s="20">
        <f t="shared" si="0"/>
        <v>73.95427229536584</v>
      </c>
      <c r="E21" s="28">
        <f t="shared" ref="E21:F21" si="47">E20-E19</f>
        <v>308929263.39999998</v>
      </c>
      <c r="F21" s="28">
        <f t="shared" si="47"/>
        <v>238979812.20000005</v>
      </c>
      <c r="G21" s="20">
        <f t="shared" si="1"/>
        <v>77.357453796978191</v>
      </c>
      <c r="H21" s="28">
        <f t="shared" ref="H21:I21" si="48">H20-H19</f>
        <v>338494659.92000002</v>
      </c>
      <c r="I21" s="28">
        <f t="shared" si="48"/>
        <v>269119465.25999999</v>
      </c>
      <c r="J21" s="20">
        <f t="shared" si="28"/>
        <v>79.504789033777897</v>
      </c>
      <c r="K21" s="28">
        <f t="shared" ref="K21:L21" si="49">K20-K19</f>
        <v>332663225.92000008</v>
      </c>
      <c r="L21" s="28">
        <f t="shared" si="49"/>
        <v>246879676.61999997</v>
      </c>
      <c r="M21" s="20">
        <f t="shared" si="30"/>
        <v>74.21309522182365</v>
      </c>
      <c r="N21" s="28">
        <f t="shared" ref="N21:O21" si="50">N20-N19</f>
        <v>332931905.13</v>
      </c>
      <c r="O21" s="28">
        <f t="shared" si="50"/>
        <v>264417164.40999994</v>
      </c>
      <c r="P21" s="20">
        <f t="shared" si="32"/>
        <v>79.420794563606904</v>
      </c>
      <c r="Q21" s="28">
        <f t="shared" ref="Q21:R21" si="51">Q20-Q19</f>
        <v>380350944.42000002</v>
      </c>
      <c r="R21" s="28">
        <f t="shared" si="51"/>
        <v>307203255</v>
      </c>
      <c r="S21" s="20">
        <f t="shared" si="34"/>
        <v>80.768369188212887</v>
      </c>
      <c r="T21" s="28">
        <f t="shared" ref="T21:U21" si="52">T20-T19</f>
        <v>442776424.28000003</v>
      </c>
      <c r="U21" s="28">
        <f t="shared" si="52"/>
        <v>338930769.50999999</v>
      </c>
      <c r="V21" s="20">
        <f t="shared" si="36"/>
        <v>76.546706401800009</v>
      </c>
      <c r="W21" s="28">
        <f t="shared" ref="W21:X21" si="53">W20-W19</f>
        <v>391999233.04999995</v>
      </c>
      <c r="X21" s="28">
        <f t="shared" si="53"/>
        <v>262050901.43000001</v>
      </c>
      <c r="Y21" s="20">
        <f t="shared" si="7"/>
        <v>66.849850544624687</v>
      </c>
      <c r="Z21" s="13">
        <f t="shared" si="8"/>
        <v>-11.467907604287873</v>
      </c>
      <c r="AA21" s="13">
        <f t="shared" si="8"/>
        <v>-22.683059490629006</v>
      </c>
    </row>
    <row r="22" spans="1:27" x14ac:dyDescent="0.3">
      <c r="B22" s="12" t="s">
        <v>75</v>
      </c>
      <c r="C22" s="12" t="s">
        <v>76</v>
      </c>
      <c r="D22" s="18"/>
      <c r="E22" s="12" t="s">
        <v>75</v>
      </c>
      <c r="F22" s="12" t="s">
        <v>76</v>
      </c>
      <c r="G22" s="18"/>
      <c r="H22" s="12" t="s">
        <v>75</v>
      </c>
      <c r="I22" s="12" t="s">
        <v>76</v>
      </c>
      <c r="J22" s="100"/>
      <c r="K22" s="12" t="s">
        <v>75</v>
      </c>
      <c r="L22" s="12" t="s">
        <v>76</v>
      </c>
      <c r="M22" s="103"/>
      <c r="N22" s="12" t="s">
        <v>75</v>
      </c>
      <c r="O22" s="12" t="s">
        <v>76</v>
      </c>
      <c r="P22" s="109"/>
      <c r="Q22" s="12" t="s">
        <v>75</v>
      </c>
      <c r="R22" s="12" t="s">
        <v>76</v>
      </c>
      <c r="S22" s="112"/>
      <c r="T22" s="12" t="s">
        <v>75</v>
      </c>
      <c r="U22" s="12" t="s">
        <v>76</v>
      </c>
      <c r="V22" s="117"/>
      <c r="W22" s="12" t="s">
        <v>75</v>
      </c>
      <c r="X22" s="12" t="s">
        <v>76</v>
      </c>
      <c r="Y22" s="18"/>
    </row>
    <row r="23" spans="1:27" x14ac:dyDescent="0.3">
      <c r="A23" s="5" t="s">
        <v>39</v>
      </c>
      <c r="B23" s="27">
        <v>69936222.909999996</v>
      </c>
      <c r="C23" s="27">
        <v>65503813.969999999</v>
      </c>
      <c r="D23" s="20">
        <f>IF(B23&gt;0,C23/B23*100,"-")</f>
        <v>93.66221286256193</v>
      </c>
      <c r="E23" s="27">
        <v>68650691.760000005</v>
      </c>
      <c r="F23" s="27">
        <v>65210609.289999999</v>
      </c>
      <c r="G23" s="20">
        <f>IF(E23&gt;0,F23/E23*100,"-")</f>
        <v>94.989005380999814</v>
      </c>
      <c r="H23" s="27">
        <v>71068013.109999999</v>
      </c>
      <c r="I23" s="27">
        <v>67592167.730000004</v>
      </c>
      <c r="J23" s="20">
        <f>IF(H23&gt;0,I23/H23*100,"-")</f>
        <v>95.109128245051636</v>
      </c>
      <c r="K23" s="27">
        <v>70606670.560000002</v>
      </c>
      <c r="L23" s="27">
        <v>67407444.909999996</v>
      </c>
      <c r="M23" s="20">
        <f>IF(K23&gt;0,L23/K23*100,"-")</f>
        <v>95.468947020690663</v>
      </c>
      <c r="N23" s="27">
        <v>71563525.540000007</v>
      </c>
      <c r="O23" s="27">
        <v>66366677.960000001</v>
      </c>
      <c r="P23" s="20">
        <f>IF(N23&gt;0,O23/N23*100,"-")</f>
        <v>92.738133650087903</v>
      </c>
      <c r="Q23" s="1">
        <v>72540836.530000001</v>
      </c>
      <c r="R23" s="1">
        <v>68071776.849999994</v>
      </c>
      <c r="S23" s="20">
        <f>IF(Q23&gt;0,R23/Q23*100,"-")</f>
        <v>93.839249871137369</v>
      </c>
      <c r="T23" s="1">
        <v>77710157.530000001</v>
      </c>
      <c r="U23" s="1">
        <v>75109196.590000004</v>
      </c>
      <c r="V23" s="20">
        <f>IF(T23&gt;0,U23/T23*100,"-")</f>
        <v>96.652997468193405</v>
      </c>
      <c r="W23" s="1">
        <v>75490961.590000004</v>
      </c>
      <c r="X23" s="1">
        <v>73603436.280000001</v>
      </c>
      <c r="Y23" s="20">
        <f>IF(W23&gt;0,X23/W23*100,"-")</f>
        <v>97.499667151875258</v>
      </c>
      <c r="Z23" s="13">
        <f t="shared" si="8"/>
        <v>-2.8557347077095727</v>
      </c>
      <c r="AA23" s="13">
        <f t="shared" si="8"/>
        <v>-2.0047615716348588</v>
      </c>
    </row>
    <row r="24" spans="1:27" x14ac:dyDescent="0.3">
      <c r="A24" s="5" t="s">
        <v>40</v>
      </c>
      <c r="B24" s="27">
        <v>4783963.91</v>
      </c>
      <c r="C24" s="27">
        <v>3654597.04</v>
      </c>
      <c r="D24" s="20">
        <f t="shared" ref="D24:D55" si="54">IF(B24&gt;0,C24/B24*100,"-")</f>
        <v>76.392654893585927</v>
      </c>
      <c r="E24" s="27">
        <v>4730004.87</v>
      </c>
      <c r="F24" s="27">
        <v>3649269.91</v>
      </c>
      <c r="G24" s="20">
        <f t="shared" ref="G24:G55" si="55">IF(E24&gt;0,F24/E24*100,"-")</f>
        <v>77.151504285871908</v>
      </c>
      <c r="H24" s="27">
        <v>7147728.1399999997</v>
      </c>
      <c r="I24" s="27">
        <v>6006942.0899999999</v>
      </c>
      <c r="J24" s="20">
        <f t="shared" ref="J24:J55" si="56">IF(H24&gt;0,I24/H24*100,"-")</f>
        <v>84.039879138436291</v>
      </c>
      <c r="K24" s="27">
        <v>4809018.47</v>
      </c>
      <c r="L24" s="27">
        <v>4042264.5</v>
      </c>
      <c r="M24" s="20">
        <f t="shared" ref="M24:M55" si="57">IF(K24&gt;0,L24/K24*100,"-")</f>
        <v>84.05591546833881</v>
      </c>
      <c r="N24" s="27">
        <v>5601611.75</v>
      </c>
      <c r="O24" s="27">
        <v>3929293.68</v>
      </c>
      <c r="P24" s="20">
        <f t="shared" ref="P24:P55" si="58">IF(N24&gt;0,O24/N24*100,"-")</f>
        <v>70.145769742074677</v>
      </c>
      <c r="Q24" s="1">
        <v>4972516.97</v>
      </c>
      <c r="R24" s="1">
        <v>4034432.56</v>
      </c>
      <c r="S24" s="20">
        <f t="shared" ref="S24:S55" si="59">IF(Q24&gt;0,R24/Q24*100,"-")</f>
        <v>81.134616218313283</v>
      </c>
      <c r="T24" s="1">
        <v>5244731.66</v>
      </c>
      <c r="U24" s="1">
        <v>4603090.16</v>
      </c>
      <c r="V24" s="20">
        <f t="shared" ref="V24:V55" si="60">IF(T24&gt;0,U24/T24*100,"-")</f>
        <v>87.765980385734352</v>
      </c>
      <c r="W24" s="1">
        <v>5495249.4100000001</v>
      </c>
      <c r="X24" s="1">
        <v>5218380.38</v>
      </c>
      <c r="Y24" s="20">
        <f t="shared" ref="Y24:Y55" si="61">IF(W24&gt;0,X24/W24*100,"-")</f>
        <v>94.961665807266783</v>
      </c>
      <c r="Z24" s="13">
        <f t="shared" si="8"/>
        <v>4.7765599126953191</v>
      </c>
      <c r="AA24" s="13">
        <f t="shared" si="8"/>
        <v>13.366894816589905</v>
      </c>
    </row>
    <row r="25" spans="1:27" x14ac:dyDescent="0.3">
      <c r="A25" s="5" t="s">
        <v>41</v>
      </c>
      <c r="B25" s="27">
        <v>134514929.53</v>
      </c>
      <c r="C25" s="27">
        <v>95869892.109999999</v>
      </c>
      <c r="D25" s="20">
        <f t="shared" si="54"/>
        <v>71.270819116489776</v>
      </c>
      <c r="E25" s="27">
        <v>139218846.41999999</v>
      </c>
      <c r="F25" s="27">
        <v>99449160.569999993</v>
      </c>
      <c r="G25" s="20">
        <f t="shared" si="55"/>
        <v>71.433691003284494</v>
      </c>
      <c r="H25" s="27">
        <v>143890803.28999999</v>
      </c>
      <c r="I25" s="27">
        <v>102611412.31999999</v>
      </c>
      <c r="J25" s="20">
        <f t="shared" si="56"/>
        <v>71.312001861018999</v>
      </c>
      <c r="K25" s="27">
        <v>149745346.74000001</v>
      </c>
      <c r="L25" s="27">
        <v>109469530.84</v>
      </c>
      <c r="M25" s="20">
        <f t="shared" si="57"/>
        <v>73.10379469090941</v>
      </c>
      <c r="N25" s="27">
        <v>139888077.25</v>
      </c>
      <c r="O25" s="27">
        <v>101812231.45</v>
      </c>
      <c r="P25" s="20">
        <f t="shared" si="58"/>
        <v>72.781207270471654</v>
      </c>
      <c r="Q25" s="1">
        <v>148348418.37</v>
      </c>
      <c r="R25" s="1">
        <v>106294041.54000001</v>
      </c>
      <c r="S25" s="20">
        <f t="shared" si="59"/>
        <v>71.651617663283091</v>
      </c>
      <c r="T25" s="1">
        <v>160298221.94</v>
      </c>
      <c r="U25" s="1">
        <v>99511522.769999996</v>
      </c>
      <c r="V25" s="20">
        <f t="shared" si="60"/>
        <v>62.078993494542566</v>
      </c>
      <c r="W25" s="1">
        <v>160200850.43000001</v>
      </c>
      <c r="X25" s="1">
        <v>102821047.65000001</v>
      </c>
      <c r="Y25" s="20">
        <f t="shared" si="61"/>
        <v>64.182585407015551</v>
      </c>
      <c r="Z25" s="13">
        <f t="shared" si="8"/>
        <v>-6.0743973839237242E-2</v>
      </c>
      <c r="AA25" s="13">
        <f t="shared" si="8"/>
        <v>3.3257705116715783</v>
      </c>
    </row>
    <row r="26" spans="1:27" x14ac:dyDescent="0.3">
      <c r="A26" s="5" t="s">
        <v>42</v>
      </c>
      <c r="B26" s="27">
        <v>24981684.32</v>
      </c>
      <c r="C26" s="27">
        <v>20378502.32</v>
      </c>
      <c r="D26" s="20">
        <f t="shared" si="54"/>
        <v>81.573772444499454</v>
      </c>
      <c r="E26" s="27">
        <v>16755667.810000001</v>
      </c>
      <c r="F26" s="27">
        <v>10997852.75</v>
      </c>
      <c r="G26" s="20">
        <f t="shared" si="55"/>
        <v>65.636612486649668</v>
      </c>
      <c r="H26" s="27">
        <v>18853385.949999999</v>
      </c>
      <c r="I26" s="27">
        <v>12864974.84</v>
      </c>
      <c r="J26" s="20">
        <f t="shared" si="56"/>
        <v>68.236946265877506</v>
      </c>
      <c r="K26" s="27">
        <v>19759395.719999999</v>
      </c>
      <c r="L26" s="27">
        <v>12688935.57</v>
      </c>
      <c r="M26" s="20">
        <f t="shared" si="57"/>
        <v>64.217224806913279</v>
      </c>
      <c r="N26" s="27">
        <v>24690971.829999998</v>
      </c>
      <c r="O26" s="27">
        <v>15982217.720000001</v>
      </c>
      <c r="P26" s="20">
        <f t="shared" si="58"/>
        <v>64.728994184754214</v>
      </c>
      <c r="Q26" s="1">
        <v>37530476.789999999</v>
      </c>
      <c r="R26" s="1">
        <v>22792871.280000001</v>
      </c>
      <c r="S26" s="20">
        <f t="shared" si="59"/>
        <v>60.731632607644258</v>
      </c>
      <c r="T26" s="1">
        <v>28881757.329999998</v>
      </c>
      <c r="U26" s="1">
        <v>20642055.210000001</v>
      </c>
      <c r="V26" s="20">
        <f t="shared" si="60"/>
        <v>71.470911462020808</v>
      </c>
      <c r="W26" s="1">
        <v>32269570.109999999</v>
      </c>
      <c r="X26" s="1">
        <v>22706833.75</v>
      </c>
      <c r="Y26" s="20">
        <f t="shared" si="61"/>
        <v>70.366086912832444</v>
      </c>
      <c r="Z26" s="13">
        <f t="shared" si="8"/>
        <v>11.729939910827454</v>
      </c>
      <c r="AA26" s="13">
        <f t="shared" si="8"/>
        <v>10.002775978429341</v>
      </c>
    </row>
    <row r="27" spans="1:27" x14ac:dyDescent="0.3">
      <c r="A27" s="5" t="s">
        <v>43</v>
      </c>
      <c r="B27" s="27">
        <v>3321241.78</v>
      </c>
      <c r="C27" s="27">
        <v>2248798.85</v>
      </c>
      <c r="D27" s="20">
        <f t="shared" si="54"/>
        <v>67.709579698229632</v>
      </c>
      <c r="E27" s="27">
        <v>3402246.14</v>
      </c>
      <c r="F27" s="27">
        <v>3379442.56</v>
      </c>
      <c r="G27" s="20">
        <f t="shared" si="55"/>
        <v>99.329749257941685</v>
      </c>
      <c r="H27" s="27">
        <v>3386374.33</v>
      </c>
      <c r="I27" s="27">
        <v>3260780.91</v>
      </c>
      <c r="J27" s="20">
        <f t="shared" si="56"/>
        <v>96.29121273193681</v>
      </c>
      <c r="K27" s="27">
        <v>3140924.27</v>
      </c>
      <c r="L27" s="27">
        <v>3086287.17</v>
      </c>
      <c r="M27" s="20">
        <f t="shared" si="57"/>
        <v>98.260477002840958</v>
      </c>
      <c r="N27" s="27">
        <v>3004387.42</v>
      </c>
      <c r="O27" s="27">
        <v>2880156.31</v>
      </c>
      <c r="P27" s="20">
        <f t="shared" si="58"/>
        <v>95.865010312152094</v>
      </c>
      <c r="Q27" s="1">
        <v>2841250.12</v>
      </c>
      <c r="R27" s="1">
        <v>2841250.12</v>
      </c>
      <c r="S27" s="20">
        <f t="shared" si="59"/>
        <v>100</v>
      </c>
      <c r="T27" s="1">
        <v>2806982.46</v>
      </c>
      <c r="U27" s="1">
        <v>2797092.98</v>
      </c>
      <c r="V27" s="20">
        <f t="shared" si="60"/>
        <v>99.647682871520331</v>
      </c>
      <c r="W27" s="1">
        <v>2657167.9300000002</v>
      </c>
      <c r="X27" s="1">
        <v>2647918.56</v>
      </c>
      <c r="Y27" s="20">
        <f t="shared" si="61"/>
        <v>99.651908714704376</v>
      </c>
      <c r="Z27" s="13">
        <f t="shared" si="8"/>
        <v>-5.3372093390280639</v>
      </c>
      <c r="AA27" s="13">
        <f t="shared" si="8"/>
        <v>-5.3331948943649365</v>
      </c>
    </row>
    <row r="28" spans="1:27" x14ac:dyDescent="0.3">
      <c r="A28" s="5" t="s">
        <v>44</v>
      </c>
      <c r="B28" s="27">
        <v>0</v>
      </c>
      <c r="C28" s="27">
        <v>0</v>
      </c>
      <c r="D28" s="20" t="str">
        <f t="shared" si="54"/>
        <v>-</v>
      </c>
      <c r="E28" s="27">
        <v>40000</v>
      </c>
      <c r="F28" s="27">
        <v>40000</v>
      </c>
      <c r="G28" s="20">
        <f t="shared" si="55"/>
        <v>100</v>
      </c>
      <c r="H28" s="27">
        <v>31199.8</v>
      </c>
      <c r="I28" s="27">
        <v>31199.8</v>
      </c>
      <c r="J28" s="20">
        <f t="shared" si="56"/>
        <v>100</v>
      </c>
      <c r="K28" s="27">
        <v>0</v>
      </c>
      <c r="L28" s="27">
        <v>0</v>
      </c>
      <c r="M28" s="20" t="str">
        <f t="shared" si="57"/>
        <v>-</v>
      </c>
      <c r="N28" s="27">
        <v>0</v>
      </c>
      <c r="O28" s="27">
        <v>0</v>
      </c>
      <c r="P28" s="20" t="str">
        <f t="shared" si="58"/>
        <v>-</v>
      </c>
      <c r="Q28" s="28">
        <v>0</v>
      </c>
      <c r="R28" s="28">
        <v>0</v>
      </c>
      <c r="S28" s="20" t="str">
        <f t="shared" si="59"/>
        <v>-</v>
      </c>
      <c r="T28" s="28">
        <v>0</v>
      </c>
      <c r="U28" s="28">
        <v>0</v>
      </c>
      <c r="V28" s="20" t="str">
        <f t="shared" si="60"/>
        <v>-</v>
      </c>
      <c r="W28" s="28">
        <v>0</v>
      </c>
      <c r="X28" s="1">
        <v>0</v>
      </c>
      <c r="Y28" s="20" t="str">
        <f t="shared" si="61"/>
        <v>-</v>
      </c>
      <c r="Z28" s="13" t="str">
        <f t="shared" si="8"/>
        <v>-</v>
      </c>
      <c r="AA28" s="13" t="str">
        <f t="shared" si="8"/>
        <v>-</v>
      </c>
    </row>
    <row r="29" spans="1:27" x14ac:dyDescent="0.3">
      <c r="A29" s="5" t="s">
        <v>45</v>
      </c>
      <c r="B29" s="27">
        <v>856107.7</v>
      </c>
      <c r="C29" s="27">
        <v>1564</v>
      </c>
      <c r="D29" s="20">
        <f t="shared" si="54"/>
        <v>0.18268729506813219</v>
      </c>
      <c r="E29" s="27">
        <v>1256476.5</v>
      </c>
      <c r="F29" s="27">
        <v>1619.1</v>
      </c>
      <c r="G29" s="20">
        <f t="shared" si="55"/>
        <v>0.1288603487609995</v>
      </c>
      <c r="H29" s="27">
        <v>3004758.74</v>
      </c>
      <c r="I29" s="27">
        <v>575842.05000000005</v>
      </c>
      <c r="J29" s="20">
        <f t="shared" si="56"/>
        <v>19.164335636477755</v>
      </c>
      <c r="K29" s="27">
        <v>1572419.37</v>
      </c>
      <c r="L29" s="27">
        <v>477429.37</v>
      </c>
      <c r="M29" s="20">
        <f t="shared" si="57"/>
        <v>30.362725053431511</v>
      </c>
      <c r="N29" s="27">
        <v>1099591.83</v>
      </c>
      <c r="O29" s="27">
        <v>756051.65</v>
      </c>
      <c r="P29" s="20">
        <f t="shared" si="58"/>
        <v>68.75748158296156</v>
      </c>
      <c r="Q29" s="1">
        <v>1688731.86</v>
      </c>
      <c r="R29" s="1">
        <v>751651.35</v>
      </c>
      <c r="S29" s="20">
        <f t="shared" si="59"/>
        <v>44.509810456231932</v>
      </c>
      <c r="T29" s="1">
        <v>1313632.78</v>
      </c>
      <c r="U29" s="1">
        <v>880726.31</v>
      </c>
      <c r="V29" s="20">
        <f t="shared" si="60"/>
        <v>67.045092312632462</v>
      </c>
      <c r="W29" s="1">
        <v>1491982.19</v>
      </c>
      <c r="X29" s="1">
        <v>168630.81</v>
      </c>
      <c r="Y29" s="20">
        <f t="shared" si="61"/>
        <v>11.302468027450113</v>
      </c>
      <c r="Z29" s="13">
        <f t="shared" si="8"/>
        <v>13.576808733411781</v>
      </c>
      <c r="AA29" s="13">
        <f t="shared" si="8"/>
        <v>-80.853210800526668</v>
      </c>
    </row>
    <row r="30" spans="1:27" x14ac:dyDescent="0.3">
      <c r="A30" s="5" t="s">
        <v>46</v>
      </c>
      <c r="B30" s="27">
        <v>3712106.88</v>
      </c>
      <c r="C30" s="27">
        <v>2740326.99</v>
      </c>
      <c r="D30" s="20">
        <f t="shared" si="54"/>
        <v>73.821338624818907</v>
      </c>
      <c r="E30" s="27">
        <v>3013964.4</v>
      </c>
      <c r="F30" s="27">
        <v>2984623.91</v>
      </c>
      <c r="G30" s="20">
        <f t="shared" si="55"/>
        <v>99.026515044437829</v>
      </c>
      <c r="H30" s="27">
        <v>3143346.26</v>
      </c>
      <c r="I30" s="27">
        <v>2859935.2</v>
      </c>
      <c r="J30" s="20">
        <f t="shared" si="56"/>
        <v>90.98377854178878</v>
      </c>
      <c r="K30" s="27">
        <v>3255455.28</v>
      </c>
      <c r="L30" s="27">
        <v>2279065.2999999998</v>
      </c>
      <c r="M30" s="20">
        <f t="shared" si="57"/>
        <v>70.007575100217622</v>
      </c>
      <c r="N30" s="27">
        <v>2981458.56</v>
      </c>
      <c r="O30" s="27">
        <v>2077174.27</v>
      </c>
      <c r="P30" s="20">
        <f t="shared" si="58"/>
        <v>69.669734735471224</v>
      </c>
      <c r="Q30" s="1">
        <v>3434101.12</v>
      </c>
      <c r="R30" s="1">
        <v>1914461.05</v>
      </c>
      <c r="S30" s="20">
        <f t="shared" si="59"/>
        <v>55.748534568487017</v>
      </c>
      <c r="T30" s="1">
        <v>3063074.7</v>
      </c>
      <c r="U30" s="1">
        <v>2186569.08</v>
      </c>
      <c r="V30" s="20">
        <f t="shared" si="60"/>
        <v>71.384778177300078</v>
      </c>
      <c r="W30" s="1">
        <v>2822754.55</v>
      </c>
      <c r="X30" s="1">
        <v>2078813.25</v>
      </c>
      <c r="Y30" s="20">
        <f t="shared" si="61"/>
        <v>73.644846308014991</v>
      </c>
      <c r="Z30" s="13">
        <f t="shared" si="8"/>
        <v>-7.8457162667302924</v>
      </c>
      <c r="AA30" s="13">
        <f t="shared" si="8"/>
        <v>-4.9280780097741115</v>
      </c>
    </row>
    <row r="31" spans="1:27" x14ac:dyDescent="0.3">
      <c r="A31" s="5" t="s">
        <v>47</v>
      </c>
      <c r="B31" s="28">
        <v>0</v>
      </c>
      <c r="C31" s="28">
        <v>0</v>
      </c>
      <c r="D31" s="20" t="str">
        <f t="shared" si="54"/>
        <v>-</v>
      </c>
      <c r="E31" s="28">
        <v>0</v>
      </c>
      <c r="F31" s="28">
        <v>0</v>
      </c>
      <c r="G31" s="20" t="str">
        <f t="shared" si="55"/>
        <v>-</v>
      </c>
      <c r="H31" s="28">
        <v>0</v>
      </c>
      <c r="I31" s="28">
        <v>0</v>
      </c>
      <c r="J31" s="20" t="str">
        <f t="shared" si="56"/>
        <v>-</v>
      </c>
      <c r="K31" s="28">
        <v>0</v>
      </c>
      <c r="L31" s="28">
        <v>0</v>
      </c>
      <c r="M31" s="20" t="str">
        <f t="shared" si="57"/>
        <v>-</v>
      </c>
      <c r="N31" s="28">
        <v>0</v>
      </c>
      <c r="O31" s="28">
        <v>0</v>
      </c>
      <c r="P31" s="20" t="str">
        <f t="shared" si="58"/>
        <v>-</v>
      </c>
      <c r="Q31" s="28">
        <v>0</v>
      </c>
      <c r="R31" s="28">
        <v>0</v>
      </c>
      <c r="S31" s="20" t="str">
        <f t="shared" si="59"/>
        <v>-</v>
      </c>
      <c r="T31" s="28">
        <v>0</v>
      </c>
      <c r="U31" s="28">
        <v>0</v>
      </c>
      <c r="V31" s="20" t="str">
        <f t="shared" si="60"/>
        <v>-</v>
      </c>
      <c r="W31" s="28">
        <v>0</v>
      </c>
      <c r="X31" s="28">
        <v>0</v>
      </c>
      <c r="Y31" s="20" t="str">
        <f t="shared" si="61"/>
        <v>-</v>
      </c>
      <c r="Z31" s="13" t="str">
        <f t="shared" si="8"/>
        <v>-</v>
      </c>
      <c r="AA31" s="13" t="str">
        <f t="shared" si="8"/>
        <v>-</v>
      </c>
    </row>
    <row r="32" spans="1:27" x14ac:dyDescent="0.3">
      <c r="A32" s="5" t="s">
        <v>48</v>
      </c>
      <c r="B32" s="27">
        <v>19780302.84</v>
      </c>
      <c r="C32" s="27">
        <v>15682287.98</v>
      </c>
      <c r="D32" s="20">
        <f t="shared" si="54"/>
        <v>79.282345203972625</v>
      </c>
      <c r="E32" s="27">
        <v>22666155.350000001</v>
      </c>
      <c r="F32" s="27">
        <v>12902009.050000001</v>
      </c>
      <c r="G32" s="20">
        <f t="shared" si="55"/>
        <v>56.921912211282887</v>
      </c>
      <c r="H32" s="27">
        <v>30741528.940000001</v>
      </c>
      <c r="I32" s="27">
        <v>24155685.789999999</v>
      </c>
      <c r="J32" s="20">
        <f t="shared" si="56"/>
        <v>78.576722183031393</v>
      </c>
      <c r="K32" s="27">
        <v>41024104.859999999</v>
      </c>
      <c r="L32" s="27">
        <v>33604083.009999998</v>
      </c>
      <c r="M32" s="20">
        <f t="shared" si="57"/>
        <v>81.913019491048559</v>
      </c>
      <c r="N32" s="27">
        <v>35676366.840000004</v>
      </c>
      <c r="O32" s="27">
        <v>27585603.239999998</v>
      </c>
      <c r="P32" s="20">
        <f t="shared" si="58"/>
        <v>77.321783811997591</v>
      </c>
      <c r="Q32" s="1">
        <v>43623368.350000001</v>
      </c>
      <c r="R32" s="1">
        <v>31910086.66</v>
      </c>
      <c r="S32" s="20">
        <f t="shared" si="59"/>
        <v>73.149066353561381</v>
      </c>
      <c r="T32" s="1">
        <v>77155529.819999993</v>
      </c>
      <c r="U32" s="1">
        <v>68440718.040000007</v>
      </c>
      <c r="V32" s="20">
        <f t="shared" si="60"/>
        <v>88.704877277971889</v>
      </c>
      <c r="W32" s="1">
        <v>31061725.190000001</v>
      </c>
      <c r="X32" s="1">
        <v>26209296.48</v>
      </c>
      <c r="Y32" s="20">
        <f t="shared" si="61"/>
        <v>84.37810945683664</v>
      </c>
      <c r="Z32" s="13">
        <f t="shared" si="8"/>
        <v>-59.741414176708453</v>
      </c>
      <c r="AA32" s="13">
        <f t="shared" si="8"/>
        <v>-61.705111765948971</v>
      </c>
    </row>
    <row r="33" spans="1:27" x14ac:dyDescent="0.3">
      <c r="A33" s="5" t="s">
        <v>49</v>
      </c>
      <c r="B33" s="27">
        <v>6624255.6799999997</v>
      </c>
      <c r="C33" s="27">
        <v>2569747.67</v>
      </c>
      <c r="D33" s="20">
        <f t="shared" si="54"/>
        <v>38.793002476619378</v>
      </c>
      <c r="E33" s="27">
        <v>5585469.2999999998</v>
      </c>
      <c r="F33" s="27">
        <v>2580616.41</v>
      </c>
      <c r="G33" s="20">
        <f t="shared" si="55"/>
        <v>46.202320188206933</v>
      </c>
      <c r="H33" s="27">
        <v>13373447.619999999</v>
      </c>
      <c r="I33" s="27">
        <v>7654942.79</v>
      </c>
      <c r="J33" s="20">
        <f t="shared" si="56"/>
        <v>57.239860711399714</v>
      </c>
      <c r="K33" s="27">
        <v>9078329.1600000001</v>
      </c>
      <c r="L33" s="27">
        <v>3273392.05</v>
      </c>
      <c r="M33" s="20">
        <f t="shared" si="57"/>
        <v>36.057208240728734</v>
      </c>
      <c r="N33" s="27">
        <v>8607797.1600000001</v>
      </c>
      <c r="O33" s="27">
        <v>3213231.14</v>
      </c>
      <c r="P33" s="20">
        <f t="shared" si="58"/>
        <v>37.329308303542788</v>
      </c>
      <c r="Q33" s="1">
        <v>9567004.6999999993</v>
      </c>
      <c r="R33" s="1">
        <v>2394551.2799999998</v>
      </c>
      <c r="S33" s="20">
        <f t="shared" si="59"/>
        <v>25.02926835606133</v>
      </c>
      <c r="T33" s="1">
        <v>48252000.079999998</v>
      </c>
      <c r="U33" s="1">
        <v>36465627.770000003</v>
      </c>
      <c r="V33" s="20">
        <f t="shared" si="60"/>
        <v>75.573297914161827</v>
      </c>
      <c r="W33" s="1">
        <v>31573897.629999999</v>
      </c>
      <c r="X33" s="1">
        <v>20457016.890000001</v>
      </c>
      <c r="Y33" s="20">
        <f t="shared" si="61"/>
        <v>64.790914095327679</v>
      </c>
      <c r="Z33" s="13">
        <f t="shared" si="8"/>
        <v>-34.56458265429066</v>
      </c>
      <c r="AA33" s="13">
        <f t="shared" si="8"/>
        <v>-43.900549254139442</v>
      </c>
    </row>
    <row r="34" spans="1:27" x14ac:dyDescent="0.3">
      <c r="A34" s="5" t="s">
        <v>50</v>
      </c>
      <c r="B34" s="27">
        <v>0</v>
      </c>
      <c r="C34" s="27">
        <v>0</v>
      </c>
      <c r="D34" s="20" t="str">
        <f t="shared" si="54"/>
        <v>-</v>
      </c>
      <c r="E34" s="27">
        <v>0</v>
      </c>
      <c r="F34" s="27">
        <v>0</v>
      </c>
      <c r="G34" s="20" t="str">
        <f t="shared" si="55"/>
        <v>-</v>
      </c>
      <c r="H34" s="27">
        <v>0</v>
      </c>
      <c r="I34" s="27">
        <v>0</v>
      </c>
      <c r="J34" s="20" t="str">
        <f t="shared" si="56"/>
        <v>-</v>
      </c>
      <c r="K34" s="27">
        <v>0</v>
      </c>
      <c r="L34" s="27">
        <v>0</v>
      </c>
      <c r="M34" s="20" t="str">
        <f t="shared" si="57"/>
        <v>-</v>
      </c>
      <c r="N34" s="27">
        <v>0</v>
      </c>
      <c r="O34" s="27">
        <v>0</v>
      </c>
      <c r="P34" s="20" t="str">
        <f t="shared" si="58"/>
        <v>-</v>
      </c>
      <c r="Q34" s="27">
        <v>0</v>
      </c>
      <c r="R34" s="27">
        <v>0</v>
      </c>
      <c r="S34" s="20" t="str">
        <f t="shared" si="59"/>
        <v>-</v>
      </c>
      <c r="T34" s="27">
        <v>0</v>
      </c>
      <c r="U34" s="27">
        <v>0</v>
      </c>
      <c r="V34" s="20" t="str">
        <f t="shared" si="60"/>
        <v>-</v>
      </c>
      <c r="W34" s="27">
        <v>0</v>
      </c>
      <c r="X34" s="27">
        <v>0</v>
      </c>
      <c r="Y34" s="20" t="str">
        <f t="shared" si="61"/>
        <v>-</v>
      </c>
      <c r="Z34" s="13" t="str">
        <f t="shared" si="8"/>
        <v>-</v>
      </c>
      <c r="AA34" s="13" t="str">
        <f t="shared" si="8"/>
        <v>-</v>
      </c>
    </row>
    <row r="35" spans="1:27" x14ac:dyDescent="0.3">
      <c r="A35" s="5" t="s">
        <v>51</v>
      </c>
      <c r="B35" s="27">
        <v>578255.27</v>
      </c>
      <c r="C35" s="27">
        <v>397960.22</v>
      </c>
      <c r="D35" s="20">
        <f t="shared" si="54"/>
        <v>68.820854844954539</v>
      </c>
      <c r="E35" s="27">
        <v>133741.43</v>
      </c>
      <c r="F35" s="27">
        <v>66013.440000000002</v>
      </c>
      <c r="G35" s="20">
        <f t="shared" si="55"/>
        <v>49.359005657409234</v>
      </c>
      <c r="H35" s="27">
        <v>237894.79</v>
      </c>
      <c r="I35" s="27">
        <v>221738.68</v>
      </c>
      <c r="J35" s="20">
        <f t="shared" si="56"/>
        <v>93.208716340530202</v>
      </c>
      <c r="K35" s="27">
        <v>84235.35</v>
      </c>
      <c r="L35" s="27">
        <v>83719.350000000006</v>
      </c>
      <c r="M35" s="20">
        <f t="shared" si="57"/>
        <v>99.387430573981121</v>
      </c>
      <c r="N35" s="27">
        <v>386675.75</v>
      </c>
      <c r="O35" s="27">
        <v>32120.68</v>
      </c>
      <c r="P35" s="20">
        <f t="shared" si="58"/>
        <v>8.3068772737881815</v>
      </c>
      <c r="Q35" s="1">
        <v>95712.91</v>
      </c>
      <c r="R35" s="1">
        <v>54218.15</v>
      </c>
      <c r="S35" s="20">
        <f t="shared" si="59"/>
        <v>56.646642548011549</v>
      </c>
      <c r="T35" s="1">
        <v>133328.43</v>
      </c>
      <c r="U35" s="1">
        <v>114508.74</v>
      </c>
      <c r="V35" s="20">
        <f t="shared" si="60"/>
        <v>85.884713410335678</v>
      </c>
      <c r="W35" s="1">
        <v>284405.93</v>
      </c>
      <c r="X35" s="1">
        <v>284405.93</v>
      </c>
      <c r="Y35" s="20">
        <f t="shared" si="61"/>
        <v>100</v>
      </c>
      <c r="Z35" s="13">
        <f t="shared" si="8"/>
        <v>113.31229205954051</v>
      </c>
      <c r="AA35" s="13">
        <f t="shared" si="8"/>
        <v>148.3704999286517</v>
      </c>
    </row>
    <row r="36" spans="1:27" x14ac:dyDescent="0.3">
      <c r="A36" s="5" t="s">
        <v>52</v>
      </c>
      <c r="B36" s="27">
        <v>500000</v>
      </c>
      <c r="C36" s="27">
        <v>500000</v>
      </c>
      <c r="D36" s="20">
        <f t="shared" si="54"/>
        <v>100</v>
      </c>
      <c r="E36" s="27">
        <v>500000</v>
      </c>
      <c r="F36" s="27">
        <v>500000</v>
      </c>
      <c r="G36" s="20">
        <f t="shared" si="55"/>
        <v>100</v>
      </c>
      <c r="H36" s="27">
        <v>31500000</v>
      </c>
      <c r="I36" s="27">
        <v>31500000</v>
      </c>
      <c r="J36" s="20">
        <f t="shared" si="56"/>
        <v>100</v>
      </c>
      <c r="K36" s="27">
        <v>0</v>
      </c>
      <c r="L36" s="27">
        <v>0</v>
      </c>
      <c r="M36" s="20" t="str">
        <f t="shared" si="57"/>
        <v>-</v>
      </c>
      <c r="N36" s="27">
        <v>0</v>
      </c>
      <c r="O36" s="27">
        <v>0</v>
      </c>
      <c r="P36" s="20" t="str">
        <f t="shared" si="58"/>
        <v>-</v>
      </c>
      <c r="Q36" s="1">
        <v>17203248</v>
      </c>
      <c r="R36" s="1">
        <v>17203248</v>
      </c>
      <c r="S36" s="20">
        <f t="shared" si="59"/>
        <v>100</v>
      </c>
      <c r="T36" s="1">
        <v>3000000</v>
      </c>
      <c r="U36" s="1">
        <v>3000000</v>
      </c>
      <c r="V36" s="20">
        <f t="shared" si="60"/>
        <v>100</v>
      </c>
      <c r="W36" s="27">
        <v>0</v>
      </c>
      <c r="X36" s="27">
        <v>0</v>
      </c>
      <c r="Y36" s="20" t="str">
        <f t="shared" si="61"/>
        <v>-</v>
      </c>
      <c r="Z36" s="13">
        <f t="shared" si="8"/>
        <v>-100</v>
      </c>
      <c r="AA36" s="13">
        <f t="shared" si="8"/>
        <v>-100</v>
      </c>
    </row>
    <row r="37" spans="1:27" x14ac:dyDescent="0.3">
      <c r="A37" s="5" t="s">
        <v>263</v>
      </c>
      <c r="B37" s="27">
        <v>0</v>
      </c>
      <c r="C37" s="27">
        <v>0</v>
      </c>
      <c r="D37" s="20" t="str">
        <f t="shared" si="54"/>
        <v>-</v>
      </c>
      <c r="E37" s="27">
        <v>0</v>
      </c>
      <c r="F37" s="27">
        <v>0</v>
      </c>
      <c r="G37" s="20" t="str">
        <f t="shared" si="55"/>
        <v>-</v>
      </c>
      <c r="H37" s="27">
        <v>0</v>
      </c>
      <c r="I37" s="27">
        <v>0</v>
      </c>
      <c r="J37" s="20" t="str">
        <f t="shared" si="56"/>
        <v>-</v>
      </c>
      <c r="K37" s="27">
        <v>0</v>
      </c>
      <c r="L37" s="27">
        <v>0</v>
      </c>
      <c r="M37" s="20" t="str">
        <f t="shared" si="57"/>
        <v>-</v>
      </c>
      <c r="N37" s="27">
        <v>0</v>
      </c>
      <c r="O37" s="27">
        <v>0</v>
      </c>
      <c r="P37" s="20" t="str">
        <f t="shared" si="58"/>
        <v>-</v>
      </c>
      <c r="Q37" s="27">
        <v>0</v>
      </c>
      <c r="R37" s="27">
        <v>0</v>
      </c>
      <c r="S37" s="20" t="str">
        <f t="shared" si="59"/>
        <v>-</v>
      </c>
      <c r="T37" s="27">
        <v>0</v>
      </c>
      <c r="U37" s="27">
        <v>0</v>
      </c>
      <c r="V37" s="20" t="str">
        <f t="shared" si="60"/>
        <v>-</v>
      </c>
      <c r="W37" s="27">
        <v>0</v>
      </c>
      <c r="X37" s="27">
        <v>0</v>
      </c>
      <c r="Y37" s="20" t="str">
        <f t="shared" si="61"/>
        <v>-</v>
      </c>
      <c r="Z37" s="13" t="str">
        <f t="shared" si="8"/>
        <v>-</v>
      </c>
      <c r="AA37" s="13" t="str">
        <f t="shared" si="8"/>
        <v>-</v>
      </c>
    </row>
    <row r="38" spans="1:27" x14ac:dyDescent="0.3">
      <c r="A38" s="5" t="s">
        <v>53</v>
      </c>
      <c r="B38" s="27">
        <v>5619326.0099999998</v>
      </c>
      <c r="C38" s="27">
        <v>5619326.0099999998</v>
      </c>
      <c r="D38" s="20">
        <f t="shared" si="54"/>
        <v>100</v>
      </c>
      <c r="E38" s="27">
        <v>0</v>
      </c>
      <c r="F38" s="27">
        <v>0</v>
      </c>
      <c r="G38" s="20" t="str">
        <f t="shared" si="55"/>
        <v>-</v>
      </c>
      <c r="H38" s="27">
        <v>0</v>
      </c>
      <c r="I38" s="27">
        <v>0</v>
      </c>
      <c r="J38" s="20" t="str">
        <f t="shared" si="56"/>
        <v>-</v>
      </c>
      <c r="K38" s="27">
        <v>3673382.35</v>
      </c>
      <c r="L38" s="27">
        <v>3673382.35</v>
      </c>
      <c r="M38" s="20">
        <f t="shared" si="57"/>
        <v>100</v>
      </c>
      <c r="N38" s="27">
        <v>4408556.45</v>
      </c>
      <c r="O38" s="27">
        <v>4408556.45</v>
      </c>
      <c r="P38" s="20">
        <f t="shared" si="58"/>
        <v>100</v>
      </c>
      <c r="Q38" s="27">
        <v>0</v>
      </c>
      <c r="R38" s="27">
        <v>0</v>
      </c>
      <c r="S38" s="20" t="str">
        <f t="shared" si="59"/>
        <v>-</v>
      </c>
      <c r="T38" s="27">
        <v>0</v>
      </c>
      <c r="U38" s="27">
        <v>0</v>
      </c>
      <c r="V38" s="20" t="str">
        <f t="shared" si="60"/>
        <v>-</v>
      </c>
      <c r="W38" s="27">
        <v>0</v>
      </c>
      <c r="X38" s="27">
        <v>0</v>
      </c>
      <c r="Y38" s="20" t="str">
        <f t="shared" si="61"/>
        <v>-</v>
      </c>
      <c r="Z38" s="13" t="str">
        <f t="shared" si="8"/>
        <v>-</v>
      </c>
      <c r="AA38" s="13" t="str">
        <f t="shared" si="8"/>
        <v>-</v>
      </c>
    </row>
    <row r="39" spans="1:27" x14ac:dyDescent="0.3">
      <c r="A39" s="5" t="s">
        <v>54</v>
      </c>
      <c r="B39" s="27">
        <v>0</v>
      </c>
      <c r="C39" s="27">
        <v>0</v>
      </c>
      <c r="D39" s="20" t="str">
        <f t="shared" si="54"/>
        <v>-</v>
      </c>
      <c r="E39" s="27">
        <v>0</v>
      </c>
      <c r="F39" s="27">
        <v>0</v>
      </c>
      <c r="G39" s="20" t="str">
        <f t="shared" si="55"/>
        <v>-</v>
      </c>
      <c r="H39" s="27">
        <v>0</v>
      </c>
      <c r="I39" s="27">
        <v>0</v>
      </c>
      <c r="J39" s="20" t="str">
        <f t="shared" si="56"/>
        <v>-</v>
      </c>
      <c r="K39" s="27">
        <v>0</v>
      </c>
      <c r="L39" s="27">
        <v>0</v>
      </c>
      <c r="M39" s="20" t="str">
        <f t="shared" si="57"/>
        <v>-</v>
      </c>
      <c r="N39" s="27">
        <v>0</v>
      </c>
      <c r="O39" s="27">
        <v>0</v>
      </c>
      <c r="P39" s="20" t="str">
        <f t="shared" si="58"/>
        <v>-</v>
      </c>
      <c r="Q39" s="1">
        <v>2944208.24</v>
      </c>
      <c r="R39" s="1">
        <v>2944208.24</v>
      </c>
      <c r="S39" s="20">
        <f t="shared" si="59"/>
        <v>100</v>
      </c>
      <c r="T39" s="27">
        <v>0</v>
      </c>
      <c r="U39" s="27">
        <v>0</v>
      </c>
      <c r="V39" s="20" t="str">
        <f t="shared" si="60"/>
        <v>-</v>
      </c>
      <c r="W39" s="27">
        <v>0</v>
      </c>
      <c r="X39" s="27">
        <v>0</v>
      </c>
      <c r="Y39" s="20" t="str">
        <f t="shared" si="61"/>
        <v>-</v>
      </c>
      <c r="Z39" s="13" t="str">
        <f t="shared" si="8"/>
        <v>-</v>
      </c>
      <c r="AA39" s="13" t="str">
        <f t="shared" si="8"/>
        <v>-</v>
      </c>
    </row>
    <row r="40" spans="1:27" x14ac:dyDescent="0.3">
      <c r="A40" s="5" t="s">
        <v>55</v>
      </c>
      <c r="B40" s="27">
        <f>161016.17+18643.7+113666.18+24099.58+92824.97+358517.36+48281.16</f>
        <v>817049.12000000011</v>
      </c>
      <c r="C40" s="27">
        <v>0</v>
      </c>
      <c r="D40" s="20">
        <f t="shared" si="54"/>
        <v>0</v>
      </c>
      <c r="E40" s="27">
        <v>374256.56</v>
      </c>
      <c r="F40" s="27">
        <v>0</v>
      </c>
      <c r="G40" s="20">
        <f t="shared" si="55"/>
        <v>0</v>
      </c>
      <c r="H40" s="27">
        <v>23413.89</v>
      </c>
      <c r="I40" s="27">
        <v>23413.89</v>
      </c>
      <c r="J40" s="20">
        <f t="shared" si="56"/>
        <v>100</v>
      </c>
      <c r="K40" s="27">
        <v>0</v>
      </c>
      <c r="L40" s="27">
        <v>0</v>
      </c>
      <c r="M40" s="20" t="str">
        <f t="shared" si="57"/>
        <v>-</v>
      </c>
      <c r="N40" s="27">
        <v>0</v>
      </c>
      <c r="O40" s="27">
        <v>0</v>
      </c>
      <c r="P40" s="20" t="str">
        <f t="shared" si="58"/>
        <v>-</v>
      </c>
      <c r="Q40" s="27">
        <v>0</v>
      </c>
      <c r="R40" s="27">
        <v>0</v>
      </c>
      <c r="S40" s="20" t="str">
        <f t="shared" si="59"/>
        <v>-</v>
      </c>
      <c r="T40" s="27">
        <v>0</v>
      </c>
      <c r="U40" s="27">
        <v>0</v>
      </c>
      <c r="V40" s="20" t="str">
        <f t="shared" si="60"/>
        <v>-</v>
      </c>
      <c r="W40" s="27">
        <v>0</v>
      </c>
      <c r="X40" s="27">
        <v>0</v>
      </c>
      <c r="Y40" s="20" t="str">
        <f t="shared" si="61"/>
        <v>-</v>
      </c>
      <c r="Z40" s="13" t="str">
        <f t="shared" si="8"/>
        <v>-</v>
      </c>
      <c r="AA40" s="13" t="str">
        <f t="shared" si="8"/>
        <v>-</v>
      </c>
    </row>
    <row r="41" spans="1:27" x14ac:dyDescent="0.3">
      <c r="A41" s="5" t="s">
        <v>56</v>
      </c>
      <c r="B41" s="27">
        <v>0</v>
      </c>
      <c r="C41" s="27">
        <v>0</v>
      </c>
      <c r="D41" s="20" t="str">
        <f t="shared" si="54"/>
        <v>-</v>
      </c>
      <c r="E41" s="27">
        <v>2837.23</v>
      </c>
      <c r="F41" s="27">
        <v>0</v>
      </c>
      <c r="G41" s="20">
        <f t="shared" si="55"/>
        <v>0</v>
      </c>
      <c r="H41" s="27">
        <v>4715081.9300000006</v>
      </c>
      <c r="I41" s="27">
        <v>4715081.9300000006</v>
      </c>
      <c r="J41" s="20">
        <f t="shared" si="56"/>
        <v>100</v>
      </c>
      <c r="K41" s="27">
        <v>0</v>
      </c>
      <c r="L41" s="27">
        <v>0</v>
      </c>
      <c r="M41" s="20" t="str">
        <f t="shared" si="57"/>
        <v>-</v>
      </c>
      <c r="N41" s="27">
        <v>0</v>
      </c>
      <c r="O41" s="27">
        <v>0</v>
      </c>
      <c r="P41" s="20" t="str">
        <f t="shared" si="58"/>
        <v>-</v>
      </c>
      <c r="Q41" s="27">
        <v>0</v>
      </c>
      <c r="R41" s="27">
        <v>0</v>
      </c>
      <c r="S41" s="20" t="str">
        <f t="shared" si="59"/>
        <v>-</v>
      </c>
      <c r="T41" s="27">
        <v>0</v>
      </c>
      <c r="U41" s="27">
        <v>0</v>
      </c>
      <c r="V41" s="20" t="str">
        <f t="shared" si="60"/>
        <v>-</v>
      </c>
      <c r="W41" s="27">
        <v>0</v>
      </c>
      <c r="X41" s="27">
        <v>0</v>
      </c>
      <c r="Y41" s="20" t="str">
        <f t="shared" si="61"/>
        <v>-</v>
      </c>
      <c r="Z41" s="13" t="str">
        <f t="shared" si="8"/>
        <v>-</v>
      </c>
      <c r="AA41" s="13" t="str">
        <f t="shared" si="8"/>
        <v>-</v>
      </c>
    </row>
    <row r="42" spans="1:27" x14ac:dyDescent="0.3">
      <c r="A42" s="5" t="s">
        <v>57</v>
      </c>
      <c r="B42" s="27">
        <f>220743.92+2379.8+441683.6+258323.1+430788.23+177385.9+259848.86+3419377.71+75528.56+5361.82</f>
        <v>5291421.4999999991</v>
      </c>
      <c r="C42" s="27">
        <v>0</v>
      </c>
      <c r="D42" s="20">
        <f t="shared" si="54"/>
        <v>0</v>
      </c>
      <c r="E42" s="27">
        <v>5720903.0700000003</v>
      </c>
      <c r="F42" s="27">
        <v>0</v>
      </c>
      <c r="G42" s="20">
        <f t="shared" si="55"/>
        <v>0</v>
      </c>
      <c r="H42" s="27">
        <v>0</v>
      </c>
      <c r="I42" s="27">
        <v>0</v>
      </c>
      <c r="J42" s="20" t="str">
        <f t="shared" si="56"/>
        <v>-</v>
      </c>
      <c r="K42" s="27">
        <v>4178674.94</v>
      </c>
      <c r="L42" s="27">
        <v>4178674.94</v>
      </c>
      <c r="M42" s="20">
        <f t="shared" si="57"/>
        <v>100</v>
      </c>
      <c r="N42" s="27">
        <v>2095596.12</v>
      </c>
      <c r="O42" s="27">
        <v>2095596.12</v>
      </c>
      <c r="P42" s="20">
        <f t="shared" si="58"/>
        <v>100</v>
      </c>
      <c r="Q42" s="27">
        <v>3445884.38</v>
      </c>
      <c r="R42" s="27">
        <v>3445884.38</v>
      </c>
      <c r="S42" s="20">
        <f t="shared" si="59"/>
        <v>100</v>
      </c>
      <c r="T42" s="1">
        <v>3695168.88</v>
      </c>
      <c r="U42" s="1">
        <v>3409952.1</v>
      </c>
      <c r="V42" s="20">
        <f t="shared" si="60"/>
        <v>92.281360087661284</v>
      </c>
      <c r="W42" s="1">
        <v>4653518.84</v>
      </c>
      <c r="X42" s="1">
        <v>4367661.95</v>
      </c>
      <c r="Y42" s="20">
        <f t="shared" si="61"/>
        <v>93.85718850984604</v>
      </c>
      <c r="Z42" s="13">
        <f t="shared" si="8"/>
        <v>25.935214089592563</v>
      </c>
      <c r="AA42" s="13">
        <f t="shared" si="8"/>
        <v>28.085727362563262</v>
      </c>
    </row>
    <row r="43" spans="1:27" x14ac:dyDescent="0.3">
      <c r="A43" s="5" t="s">
        <v>58</v>
      </c>
      <c r="B43" s="27">
        <v>0</v>
      </c>
      <c r="C43" s="27">
        <v>0</v>
      </c>
      <c r="D43" s="20" t="str">
        <f t="shared" si="54"/>
        <v>-</v>
      </c>
      <c r="E43" s="27">
        <v>0</v>
      </c>
      <c r="F43" s="27">
        <v>0</v>
      </c>
      <c r="G43" s="20" t="str">
        <f t="shared" si="55"/>
        <v>-</v>
      </c>
      <c r="H43" s="27">
        <v>0</v>
      </c>
      <c r="I43" s="27">
        <v>0</v>
      </c>
      <c r="J43" s="20" t="str">
        <f t="shared" si="56"/>
        <v>-</v>
      </c>
      <c r="K43" s="27">
        <v>0</v>
      </c>
      <c r="L43" s="27">
        <v>0</v>
      </c>
      <c r="M43" s="20" t="str">
        <f t="shared" si="57"/>
        <v>-</v>
      </c>
      <c r="N43" s="27">
        <v>0</v>
      </c>
      <c r="O43" s="27">
        <v>0</v>
      </c>
      <c r="P43" s="20" t="str">
        <f t="shared" si="58"/>
        <v>-</v>
      </c>
      <c r="Q43" s="27">
        <v>0</v>
      </c>
      <c r="R43" s="27">
        <v>0</v>
      </c>
      <c r="S43" s="20" t="str">
        <f t="shared" si="59"/>
        <v>-</v>
      </c>
      <c r="T43" s="27">
        <v>0</v>
      </c>
      <c r="U43" s="27">
        <v>0</v>
      </c>
      <c r="V43" s="20" t="str">
        <f t="shared" si="60"/>
        <v>-</v>
      </c>
      <c r="W43" s="27">
        <v>0</v>
      </c>
      <c r="X43" s="27">
        <v>0</v>
      </c>
      <c r="Y43" s="20" t="str">
        <f t="shared" si="61"/>
        <v>-</v>
      </c>
      <c r="Z43" s="13" t="str">
        <f t="shared" si="8"/>
        <v>-</v>
      </c>
      <c r="AA43" s="13" t="str">
        <f t="shared" si="8"/>
        <v>-</v>
      </c>
    </row>
    <row r="44" spans="1:27" x14ac:dyDescent="0.3">
      <c r="A44" s="5" t="s">
        <v>59</v>
      </c>
      <c r="B44" s="27">
        <v>0</v>
      </c>
      <c r="C44" s="27">
        <v>0</v>
      </c>
      <c r="D44" s="20" t="str">
        <f t="shared" si="54"/>
        <v>-</v>
      </c>
      <c r="E44" s="27">
        <v>0</v>
      </c>
      <c r="F44" s="27">
        <v>0</v>
      </c>
      <c r="G44" s="20" t="str">
        <f t="shared" si="55"/>
        <v>-</v>
      </c>
      <c r="H44" s="27">
        <v>0</v>
      </c>
      <c r="I44" s="27">
        <v>0</v>
      </c>
      <c r="J44" s="20" t="str">
        <f t="shared" si="56"/>
        <v>-</v>
      </c>
      <c r="K44" s="27">
        <v>0</v>
      </c>
      <c r="L44" s="27">
        <v>0</v>
      </c>
      <c r="M44" s="20" t="str">
        <f t="shared" si="57"/>
        <v>-</v>
      </c>
      <c r="N44" s="27">
        <v>0</v>
      </c>
      <c r="O44" s="27">
        <v>0</v>
      </c>
      <c r="P44" s="20" t="str">
        <f t="shared" si="58"/>
        <v>-</v>
      </c>
      <c r="Q44" s="27">
        <v>0</v>
      </c>
      <c r="R44" s="27">
        <v>0</v>
      </c>
      <c r="S44" s="20" t="str">
        <f t="shared" si="59"/>
        <v>-</v>
      </c>
      <c r="T44" s="27">
        <v>0</v>
      </c>
      <c r="U44" s="27">
        <v>0</v>
      </c>
      <c r="V44" s="20" t="str">
        <f t="shared" si="60"/>
        <v>-</v>
      </c>
      <c r="W44" s="27">
        <v>0</v>
      </c>
      <c r="X44" s="27">
        <v>0</v>
      </c>
      <c r="Y44" s="20" t="str">
        <f t="shared" si="61"/>
        <v>-</v>
      </c>
      <c r="Z44" s="13" t="str">
        <f t="shared" si="8"/>
        <v>-</v>
      </c>
      <c r="AA44" s="13" t="str">
        <f t="shared" si="8"/>
        <v>-</v>
      </c>
    </row>
    <row r="45" spans="1:27" x14ac:dyDescent="0.3">
      <c r="A45" s="5" t="s">
        <v>60</v>
      </c>
      <c r="B45" s="27">
        <v>0</v>
      </c>
      <c r="C45" s="27">
        <v>0</v>
      </c>
      <c r="D45" s="20" t="str">
        <f t="shared" si="54"/>
        <v>-</v>
      </c>
      <c r="E45" s="27">
        <v>0</v>
      </c>
      <c r="F45" s="27">
        <v>0</v>
      </c>
      <c r="G45" s="20" t="str">
        <f t="shared" si="55"/>
        <v>-</v>
      </c>
      <c r="H45" s="27">
        <v>0</v>
      </c>
      <c r="I45" s="27">
        <v>0</v>
      </c>
      <c r="J45" s="20" t="str">
        <f t="shared" si="56"/>
        <v>-</v>
      </c>
      <c r="K45" s="27">
        <v>0</v>
      </c>
      <c r="L45" s="27">
        <v>0</v>
      </c>
      <c r="M45" s="20" t="str">
        <f t="shared" si="57"/>
        <v>-</v>
      </c>
      <c r="N45" s="27">
        <v>0</v>
      </c>
      <c r="O45" s="27">
        <v>0</v>
      </c>
      <c r="P45" s="20" t="str">
        <f t="shared" si="58"/>
        <v>-</v>
      </c>
      <c r="Q45" s="27">
        <v>0</v>
      </c>
      <c r="R45" s="27">
        <v>0</v>
      </c>
      <c r="S45" s="20" t="str">
        <f t="shared" si="59"/>
        <v>-</v>
      </c>
      <c r="T45" s="27">
        <v>0</v>
      </c>
      <c r="U45" s="27">
        <v>0</v>
      </c>
      <c r="V45" s="20" t="str">
        <f t="shared" si="60"/>
        <v>-</v>
      </c>
      <c r="W45" s="27">
        <v>0</v>
      </c>
      <c r="X45" s="27">
        <v>0</v>
      </c>
      <c r="Y45" s="20" t="str">
        <f t="shared" si="61"/>
        <v>-</v>
      </c>
      <c r="Z45" s="13" t="str">
        <f t="shared" si="8"/>
        <v>-</v>
      </c>
      <c r="AA45" s="13" t="str">
        <f t="shared" si="8"/>
        <v>-</v>
      </c>
    </row>
    <row r="46" spans="1:27" x14ac:dyDescent="0.3">
      <c r="A46" s="5" t="s">
        <v>61</v>
      </c>
      <c r="B46" s="27">
        <v>34429526.280000001</v>
      </c>
      <c r="C46" s="27">
        <v>0</v>
      </c>
      <c r="D46" s="20">
        <f t="shared" si="54"/>
        <v>0</v>
      </c>
      <c r="E46" s="27">
        <v>34551634.979999997</v>
      </c>
      <c r="F46" s="27">
        <v>0</v>
      </c>
      <c r="G46" s="20">
        <f t="shared" si="55"/>
        <v>0</v>
      </c>
      <c r="H46" s="27">
        <v>40293350.469999999</v>
      </c>
      <c r="I46" s="27">
        <v>0</v>
      </c>
      <c r="J46" s="20">
        <f t="shared" si="56"/>
        <v>0</v>
      </c>
      <c r="K46" s="27">
        <v>46036240.520000003</v>
      </c>
      <c r="L46" s="27">
        <v>0</v>
      </c>
      <c r="M46" s="20">
        <f t="shared" si="57"/>
        <v>0</v>
      </c>
      <c r="N46" s="27">
        <v>44441401.859999999</v>
      </c>
      <c r="O46" s="27">
        <v>0</v>
      </c>
      <c r="P46" s="20">
        <f t="shared" si="58"/>
        <v>0</v>
      </c>
      <c r="Q46" s="27">
        <v>40384435.450000003</v>
      </c>
      <c r="R46" s="27">
        <v>0</v>
      </c>
      <c r="S46" s="20">
        <f t="shared" si="59"/>
        <v>0</v>
      </c>
      <c r="T46" s="27">
        <v>105624873.23</v>
      </c>
      <c r="U46" s="27">
        <v>0</v>
      </c>
      <c r="V46" s="20">
        <f t="shared" si="60"/>
        <v>0</v>
      </c>
      <c r="W46" s="1">
        <v>55520984.990000002</v>
      </c>
      <c r="X46" s="27">
        <v>0</v>
      </c>
      <c r="Y46" s="20">
        <f t="shared" si="61"/>
        <v>0</v>
      </c>
      <c r="Z46" s="13">
        <f t="shared" si="8"/>
        <v>-47.435690768497217</v>
      </c>
      <c r="AA46" s="13" t="str">
        <f t="shared" si="8"/>
        <v>-</v>
      </c>
    </row>
    <row r="47" spans="1:27" x14ac:dyDescent="0.3">
      <c r="A47" s="5" t="s">
        <v>62</v>
      </c>
      <c r="B47" s="27">
        <v>3571983.21</v>
      </c>
      <c r="C47" s="27">
        <v>0</v>
      </c>
      <c r="D47" s="20">
        <f t="shared" si="54"/>
        <v>0</v>
      </c>
      <c r="E47" s="27">
        <v>3184050.42</v>
      </c>
      <c r="F47" s="27">
        <v>0</v>
      </c>
      <c r="G47" s="20">
        <f t="shared" si="55"/>
        <v>0</v>
      </c>
      <c r="H47" s="27">
        <v>3537813.71</v>
      </c>
      <c r="I47" s="27">
        <v>0</v>
      </c>
      <c r="J47" s="20">
        <f t="shared" si="56"/>
        <v>0</v>
      </c>
      <c r="K47" s="27">
        <v>3607210.9</v>
      </c>
      <c r="L47" s="27">
        <v>0</v>
      </c>
      <c r="M47" s="20">
        <f t="shared" si="57"/>
        <v>0</v>
      </c>
      <c r="N47" s="27">
        <v>2181988.77</v>
      </c>
      <c r="O47" s="27">
        <v>0</v>
      </c>
      <c r="P47" s="20">
        <f t="shared" si="58"/>
        <v>0</v>
      </c>
      <c r="Q47" s="27">
        <v>2753983.66</v>
      </c>
      <c r="R47" s="27">
        <v>0</v>
      </c>
      <c r="S47" s="20">
        <f t="shared" si="59"/>
        <v>0</v>
      </c>
      <c r="T47" s="27">
        <v>2818524.73</v>
      </c>
      <c r="U47" s="27">
        <v>0</v>
      </c>
      <c r="V47" s="20">
        <f t="shared" si="60"/>
        <v>0</v>
      </c>
      <c r="W47" s="1">
        <v>2632210.2200000002</v>
      </c>
      <c r="X47" s="27">
        <v>0</v>
      </c>
      <c r="Y47" s="20">
        <f t="shared" si="61"/>
        <v>0</v>
      </c>
      <c r="Z47" s="13">
        <f t="shared" si="8"/>
        <v>-6.6103556948389723</v>
      </c>
      <c r="AA47" s="13" t="str">
        <f t="shared" si="8"/>
        <v>-</v>
      </c>
    </row>
    <row r="48" spans="1:27" x14ac:dyDescent="0.3">
      <c r="A48" s="5" t="s">
        <v>63</v>
      </c>
      <c r="B48" s="27">
        <f t="shared" ref="B48:C48" si="62">SUM(B23:B30)</f>
        <v>242106257.02999997</v>
      </c>
      <c r="C48" s="27">
        <f t="shared" si="62"/>
        <v>190397495.28</v>
      </c>
      <c r="D48" s="20">
        <f t="shared" si="54"/>
        <v>78.642120866957768</v>
      </c>
      <c r="E48" s="27">
        <f t="shared" ref="E48:F48" si="63">SUM(E23:E30)</f>
        <v>237067897.90000001</v>
      </c>
      <c r="F48" s="27">
        <f t="shared" si="63"/>
        <v>185712578.08999997</v>
      </c>
      <c r="G48" s="20">
        <f t="shared" si="55"/>
        <v>78.337294815149221</v>
      </c>
      <c r="H48" s="27">
        <f t="shared" ref="H48:I48" si="64">SUM(H23:H30)</f>
        <v>250525609.62</v>
      </c>
      <c r="I48" s="27">
        <f t="shared" si="64"/>
        <v>195803254.94</v>
      </c>
      <c r="J48" s="20">
        <f t="shared" si="56"/>
        <v>78.156981730129914</v>
      </c>
      <c r="K48" s="27">
        <f t="shared" ref="K48:L48" si="65">SUM(K23:K30)</f>
        <v>252889230.41000003</v>
      </c>
      <c r="L48" s="27">
        <f t="shared" si="65"/>
        <v>199450957.66</v>
      </c>
      <c r="M48" s="20">
        <f t="shared" si="57"/>
        <v>78.868901351250699</v>
      </c>
      <c r="N48" s="27">
        <f t="shared" ref="N48:O48" si="66">SUM(N23:N30)</f>
        <v>248829624.18000001</v>
      </c>
      <c r="O48" s="27">
        <f t="shared" si="66"/>
        <v>193803803.04000002</v>
      </c>
      <c r="P48" s="20">
        <f t="shared" si="58"/>
        <v>77.886145461444315</v>
      </c>
      <c r="Q48" s="27">
        <f t="shared" ref="Q48:R48" si="67">SUM(Q23:Q30)</f>
        <v>271356331.75999999</v>
      </c>
      <c r="R48" s="27">
        <f t="shared" si="67"/>
        <v>206700484.75</v>
      </c>
      <c r="S48" s="20">
        <f t="shared" si="59"/>
        <v>76.173083343717735</v>
      </c>
      <c r="T48" s="27">
        <f t="shared" ref="T48:U48" si="68">SUM(T23:T30)</f>
        <v>279318558.39999992</v>
      </c>
      <c r="U48" s="27">
        <f t="shared" si="68"/>
        <v>205730253.09999999</v>
      </c>
      <c r="V48" s="20">
        <f t="shared" si="60"/>
        <v>73.654344444017454</v>
      </c>
      <c r="W48" s="27">
        <f t="shared" ref="W48:X48" si="69">SUM(W23:W30)</f>
        <v>280428536.21000004</v>
      </c>
      <c r="X48" s="27">
        <f t="shared" si="69"/>
        <v>209245060.68000001</v>
      </c>
      <c r="Y48" s="20">
        <f t="shared" si="61"/>
        <v>74.616179761144565</v>
      </c>
      <c r="Z48" s="13">
        <f t="shared" si="8"/>
        <v>0.39738777700928551</v>
      </c>
      <c r="AA48" s="13">
        <f t="shared" si="8"/>
        <v>1.7084544091293878</v>
      </c>
    </row>
    <row r="49" spans="1:27" x14ac:dyDescent="0.3">
      <c r="A49" s="5" t="s">
        <v>64</v>
      </c>
      <c r="B49" s="27">
        <f t="shared" ref="B49:C49" si="70">SUM(B31:B35)</f>
        <v>26982813.789999999</v>
      </c>
      <c r="C49" s="27">
        <f t="shared" si="70"/>
        <v>18649995.869999997</v>
      </c>
      <c r="D49" s="20">
        <f t="shared" si="54"/>
        <v>69.118054236848366</v>
      </c>
      <c r="E49" s="27">
        <f t="shared" ref="E49:F49" si="71">SUM(E31:E35)</f>
        <v>28385366.080000002</v>
      </c>
      <c r="F49" s="27">
        <f t="shared" si="71"/>
        <v>15548638.9</v>
      </c>
      <c r="G49" s="20">
        <f t="shared" si="55"/>
        <v>54.776953928226376</v>
      </c>
      <c r="H49" s="27">
        <f t="shared" ref="H49:I49" si="72">SUM(H31:H35)</f>
        <v>44352871.350000001</v>
      </c>
      <c r="I49" s="27">
        <f t="shared" si="72"/>
        <v>32032367.259999998</v>
      </c>
      <c r="J49" s="20">
        <f t="shared" si="56"/>
        <v>72.221631396137326</v>
      </c>
      <c r="K49" s="27">
        <f t="shared" ref="K49:L49" si="73">SUM(K31:K35)</f>
        <v>50186669.369999997</v>
      </c>
      <c r="L49" s="27">
        <f t="shared" si="73"/>
        <v>36961194.409999996</v>
      </c>
      <c r="M49" s="20">
        <f t="shared" si="57"/>
        <v>73.647434416307817</v>
      </c>
      <c r="N49" s="27">
        <f t="shared" ref="N49:O49" si="74">SUM(N31:N35)</f>
        <v>44670839.75</v>
      </c>
      <c r="O49" s="27">
        <f t="shared" si="74"/>
        <v>30830955.059999999</v>
      </c>
      <c r="P49" s="20">
        <f t="shared" si="58"/>
        <v>69.018078085268144</v>
      </c>
      <c r="Q49" s="27">
        <f t="shared" ref="Q49:R49" si="75">SUM(Q31:Q35)</f>
        <v>53286085.959999993</v>
      </c>
      <c r="R49" s="27">
        <f t="shared" si="75"/>
        <v>34358856.089999996</v>
      </c>
      <c r="S49" s="20">
        <f t="shared" si="59"/>
        <v>64.479977222932064</v>
      </c>
      <c r="T49" s="27">
        <f t="shared" ref="T49:U49" si="76">SUM(T31:T35)</f>
        <v>125540858.33</v>
      </c>
      <c r="U49" s="27">
        <f t="shared" si="76"/>
        <v>105020854.55</v>
      </c>
      <c r="V49" s="20">
        <f t="shared" si="60"/>
        <v>83.654720819208848</v>
      </c>
      <c r="W49" s="27">
        <f t="shared" ref="W49:X49" si="77">SUM(W31:W35)</f>
        <v>62920028.75</v>
      </c>
      <c r="X49" s="27">
        <f t="shared" si="77"/>
        <v>46950719.300000004</v>
      </c>
      <c r="Y49" s="20">
        <f t="shared" si="61"/>
        <v>74.619672356713608</v>
      </c>
      <c r="Z49" s="13">
        <f t="shared" si="8"/>
        <v>-49.880835939000221</v>
      </c>
      <c r="AA49" s="13">
        <f t="shared" si="8"/>
        <v>-55.293908527808675</v>
      </c>
    </row>
    <row r="50" spans="1:27" x14ac:dyDescent="0.3">
      <c r="A50" s="5" t="s">
        <v>65</v>
      </c>
      <c r="B50" s="27">
        <f t="shared" ref="B50:C50" si="78">SUM(B36:B39)</f>
        <v>6119326.0099999998</v>
      </c>
      <c r="C50" s="27">
        <f t="shared" si="78"/>
        <v>6119326.0099999998</v>
      </c>
      <c r="D50" s="20">
        <f t="shared" si="54"/>
        <v>100</v>
      </c>
      <c r="E50" s="27">
        <f t="shared" ref="E50:F50" si="79">SUM(E36:E39)</f>
        <v>500000</v>
      </c>
      <c r="F50" s="27">
        <f t="shared" si="79"/>
        <v>500000</v>
      </c>
      <c r="G50" s="20">
        <f t="shared" si="55"/>
        <v>100</v>
      </c>
      <c r="H50" s="27">
        <f t="shared" ref="H50:I50" si="80">SUM(H36:H39)</f>
        <v>31500000</v>
      </c>
      <c r="I50" s="27">
        <f t="shared" si="80"/>
        <v>31500000</v>
      </c>
      <c r="J50" s="20">
        <f t="shared" si="56"/>
        <v>100</v>
      </c>
      <c r="K50" s="27">
        <f t="shared" ref="K50:L50" si="81">SUM(K36:K39)</f>
        <v>3673382.35</v>
      </c>
      <c r="L50" s="27">
        <f t="shared" si="81"/>
        <v>3673382.35</v>
      </c>
      <c r="M50" s="20">
        <f t="shared" si="57"/>
        <v>100</v>
      </c>
      <c r="N50" s="27">
        <f t="shared" ref="N50:O50" si="82">SUM(N36:N39)</f>
        <v>4408556.45</v>
      </c>
      <c r="O50" s="27">
        <f t="shared" si="82"/>
        <v>4408556.45</v>
      </c>
      <c r="P50" s="20">
        <f t="shared" si="58"/>
        <v>100</v>
      </c>
      <c r="Q50" s="27">
        <f t="shared" ref="Q50:R50" si="83">SUM(Q36:Q39)</f>
        <v>20147456.240000002</v>
      </c>
      <c r="R50" s="27">
        <f t="shared" si="83"/>
        <v>20147456.240000002</v>
      </c>
      <c r="S50" s="20">
        <f t="shared" si="59"/>
        <v>100</v>
      </c>
      <c r="T50" s="27">
        <f t="shared" ref="T50:U50" si="84">SUM(T36:T39)</f>
        <v>3000000</v>
      </c>
      <c r="U50" s="27">
        <f t="shared" si="84"/>
        <v>3000000</v>
      </c>
      <c r="V50" s="20">
        <f t="shared" si="60"/>
        <v>100</v>
      </c>
      <c r="W50" s="27">
        <f t="shared" ref="W50:X50" si="85">SUM(W36:W39)</f>
        <v>0</v>
      </c>
      <c r="X50" s="27">
        <f t="shared" si="85"/>
        <v>0</v>
      </c>
      <c r="Y50" s="20" t="str">
        <f t="shared" si="61"/>
        <v>-</v>
      </c>
      <c r="Z50" s="13">
        <f t="shared" si="8"/>
        <v>-100</v>
      </c>
      <c r="AA50" s="13">
        <f t="shared" si="8"/>
        <v>-100</v>
      </c>
    </row>
    <row r="51" spans="1:27" x14ac:dyDescent="0.3">
      <c r="A51" s="5" t="s">
        <v>66</v>
      </c>
      <c r="B51" s="27">
        <f t="shared" ref="B51" si="86">SUM(B40:B44)</f>
        <v>6108470.6199999992</v>
      </c>
      <c r="C51" s="29">
        <v>4798619.91</v>
      </c>
      <c r="D51" s="20">
        <f t="shared" si="54"/>
        <v>78.556814111352807</v>
      </c>
      <c r="E51" s="27">
        <f t="shared" ref="E51" si="87">SUM(E40:E44)</f>
        <v>6097996.8600000003</v>
      </c>
      <c r="F51" s="29">
        <v>5887680.9299999997</v>
      </c>
      <c r="G51" s="20">
        <f t="shared" si="55"/>
        <v>96.551065295235318</v>
      </c>
      <c r="H51" s="27">
        <f t="shared" ref="H51:I51" si="88">SUM(H40:H44)</f>
        <v>4738495.82</v>
      </c>
      <c r="I51" s="27">
        <f t="shared" si="88"/>
        <v>4738495.82</v>
      </c>
      <c r="J51" s="20">
        <f t="shared" si="56"/>
        <v>100</v>
      </c>
      <c r="K51" s="27">
        <f t="shared" ref="K51:L51" si="89">SUM(K40:K44)</f>
        <v>4178674.94</v>
      </c>
      <c r="L51" s="27">
        <f t="shared" si="89"/>
        <v>4178674.94</v>
      </c>
      <c r="M51" s="20">
        <f t="shared" si="57"/>
        <v>100</v>
      </c>
      <c r="N51" s="27">
        <f t="shared" ref="N51:O51" si="90">SUM(N40:N44)</f>
        <v>2095596.12</v>
      </c>
      <c r="O51" s="27">
        <f t="shared" si="90"/>
        <v>2095596.12</v>
      </c>
      <c r="P51" s="20">
        <f t="shared" si="58"/>
        <v>100</v>
      </c>
      <c r="Q51" s="27">
        <f t="shared" ref="Q51:R51" si="91">SUM(Q40:Q44)</f>
        <v>3445884.38</v>
      </c>
      <c r="R51" s="27">
        <f t="shared" si="91"/>
        <v>3445884.38</v>
      </c>
      <c r="S51" s="20">
        <f t="shared" si="59"/>
        <v>100</v>
      </c>
      <c r="T51" s="27">
        <f t="shared" ref="T51:U51" si="92">SUM(T40:T44)</f>
        <v>3695168.88</v>
      </c>
      <c r="U51" s="27">
        <f t="shared" si="92"/>
        <v>3409952.1</v>
      </c>
      <c r="V51" s="20">
        <f t="shared" si="60"/>
        <v>92.281360087661284</v>
      </c>
      <c r="W51" s="27">
        <f t="shared" ref="W51:X51" si="93">SUM(W40:W44)</f>
        <v>4653518.84</v>
      </c>
      <c r="X51" s="27">
        <f t="shared" si="93"/>
        <v>4367661.95</v>
      </c>
      <c r="Y51" s="20">
        <f t="shared" si="61"/>
        <v>93.85718850984604</v>
      </c>
      <c r="Z51" s="13">
        <f t="shared" si="8"/>
        <v>25.935214089592563</v>
      </c>
      <c r="AA51" s="13">
        <f t="shared" si="8"/>
        <v>28.085727362563262</v>
      </c>
    </row>
    <row r="52" spans="1:27" x14ac:dyDescent="0.3">
      <c r="A52" s="5" t="s">
        <v>67</v>
      </c>
      <c r="B52" s="27">
        <f t="shared" ref="B52:C52" si="94">B45</f>
        <v>0</v>
      </c>
      <c r="C52" s="27">
        <f t="shared" si="94"/>
        <v>0</v>
      </c>
      <c r="D52" s="20" t="str">
        <f t="shared" si="54"/>
        <v>-</v>
      </c>
      <c r="E52" s="27">
        <f t="shared" ref="E52:F52" si="95">E45</f>
        <v>0</v>
      </c>
      <c r="F52" s="27">
        <f t="shared" si="95"/>
        <v>0</v>
      </c>
      <c r="G52" s="20" t="str">
        <f t="shared" si="55"/>
        <v>-</v>
      </c>
      <c r="H52" s="27">
        <f t="shared" ref="H52:I52" si="96">H45</f>
        <v>0</v>
      </c>
      <c r="I52" s="27">
        <f t="shared" si="96"/>
        <v>0</v>
      </c>
      <c r="J52" s="20" t="str">
        <f t="shared" si="56"/>
        <v>-</v>
      </c>
      <c r="K52" s="27">
        <f t="shared" ref="K52:L52" si="97">K45</f>
        <v>0</v>
      </c>
      <c r="L52" s="27">
        <f t="shared" si="97"/>
        <v>0</v>
      </c>
      <c r="M52" s="20" t="str">
        <f t="shared" si="57"/>
        <v>-</v>
      </c>
      <c r="N52" s="27">
        <f t="shared" ref="N52:O52" si="98">N45</f>
        <v>0</v>
      </c>
      <c r="O52" s="27">
        <f t="shared" si="98"/>
        <v>0</v>
      </c>
      <c r="P52" s="20" t="str">
        <f t="shared" si="58"/>
        <v>-</v>
      </c>
      <c r="Q52" s="27">
        <f t="shared" ref="Q52:R52" si="99">Q45</f>
        <v>0</v>
      </c>
      <c r="R52" s="27">
        <f t="shared" si="99"/>
        <v>0</v>
      </c>
      <c r="S52" s="20" t="str">
        <f t="shared" si="59"/>
        <v>-</v>
      </c>
      <c r="T52" s="27">
        <f t="shared" ref="T52:U52" si="100">T45</f>
        <v>0</v>
      </c>
      <c r="U52" s="27">
        <f t="shared" si="100"/>
        <v>0</v>
      </c>
      <c r="V52" s="20" t="str">
        <f t="shared" si="60"/>
        <v>-</v>
      </c>
      <c r="W52" s="27">
        <f t="shared" ref="W52:X52" si="101">W45</f>
        <v>0</v>
      </c>
      <c r="X52" s="27">
        <f t="shared" si="101"/>
        <v>0</v>
      </c>
      <c r="Y52" s="20" t="str">
        <f t="shared" si="61"/>
        <v>-</v>
      </c>
      <c r="Z52" s="13" t="str">
        <f t="shared" si="8"/>
        <v>-</v>
      </c>
      <c r="AA52" s="13" t="str">
        <f t="shared" si="8"/>
        <v>-</v>
      </c>
    </row>
    <row r="53" spans="1:27" x14ac:dyDescent="0.3">
      <c r="A53" s="5" t="s">
        <v>68</v>
      </c>
      <c r="B53" s="27">
        <f>SUM(B46:B47)</f>
        <v>38001509.490000002</v>
      </c>
      <c r="C53" s="29">
        <v>32766690.079999998</v>
      </c>
      <c r="D53" s="20">
        <f t="shared" si="54"/>
        <v>86.224706649146313</v>
      </c>
      <c r="E53" s="27">
        <f>SUM(E46:E47)</f>
        <v>37735685.399999999</v>
      </c>
      <c r="F53" s="29">
        <v>30889420.75</v>
      </c>
      <c r="G53" s="20">
        <f t="shared" si="55"/>
        <v>81.857319994511087</v>
      </c>
      <c r="H53" s="27">
        <f>SUM(H46:H47)</f>
        <v>43831164.18</v>
      </c>
      <c r="I53" s="29">
        <v>39016140.810000002</v>
      </c>
      <c r="J53" s="20">
        <f t="shared" si="56"/>
        <v>89.014612182723923</v>
      </c>
      <c r="K53" s="27">
        <f>SUM(K46:K47)</f>
        <v>49643451.420000002</v>
      </c>
      <c r="L53" s="29">
        <v>44738676.039999999</v>
      </c>
      <c r="M53" s="20">
        <f t="shared" si="57"/>
        <v>90.11999520640903</v>
      </c>
      <c r="N53" s="27">
        <f>SUM(N46:N47)</f>
        <v>46623390.630000003</v>
      </c>
      <c r="O53" s="29">
        <v>35714462.590000004</v>
      </c>
      <c r="P53" s="20">
        <f t="shared" si="58"/>
        <v>76.602027667673298</v>
      </c>
      <c r="Q53" s="27">
        <f>SUM(Q46:Q47)</f>
        <v>43138419.109999999</v>
      </c>
      <c r="R53" s="29">
        <v>37671064.969999999</v>
      </c>
      <c r="S53" s="20">
        <f t="shared" si="59"/>
        <v>87.32602109025224</v>
      </c>
      <c r="T53" s="27">
        <f>SUM(T46:T47)</f>
        <v>108443397.96000001</v>
      </c>
      <c r="U53" s="29">
        <v>96907662.489999995</v>
      </c>
      <c r="V53" s="20">
        <f t="shared" si="60"/>
        <v>89.362436361266518</v>
      </c>
      <c r="W53" s="27">
        <f>SUM(W46:W47)</f>
        <v>58153195.210000001</v>
      </c>
      <c r="X53" s="29">
        <v>46363749.979999997</v>
      </c>
      <c r="Y53" s="20">
        <f t="shared" si="61"/>
        <v>79.726917519447511</v>
      </c>
      <c r="Z53" s="13">
        <f t="shared" si="8"/>
        <v>-46.374609885011019</v>
      </c>
      <c r="AA53" s="13">
        <f t="shared" si="8"/>
        <v>-52.156776060113593</v>
      </c>
    </row>
    <row r="54" spans="1:27" x14ac:dyDescent="0.3">
      <c r="A54" s="5" t="s">
        <v>69</v>
      </c>
      <c r="B54" s="19">
        <f t="shared" ref="B54:C54" si="102">SUM(B48:B53)</f>
        <v>319318376.94</v>
      </c>
      <c r="C54" s="19">
        <f t="shared" si="102"/>
        <v>252732127.14999998</v>
      </c>
      <c r="D54" s="20">
        <f t="shared" si="54"/>
        <v>79.147379355961206</v>
      </c>
      <c r="E54" s="24">
        <f t="shared" ref="E54:F54" si="103">SUM(E48:E53)</f>
        <v>309786946.24000001</v>
      </c>
      <c r="F54" s="19">
        <f t="shared" si="103"/>
        <v>238538318.66999999</v>
      </c>
      <c r="G54" s="20">
        <f t="shared" si="55"/>
        <v>77.000765062966252</v>
      </c>
      <c r="H54" s="24">
        <f t="shared" ref="H54:I54" si="104">SUM(H48:H53)</f>
        <v>374948140.97000003</v>
      </c>
      <c r="I54" s="19">
        <f t="shared" si="104"/>
        <v>303090258.82999998</v>
      </c>
      <c r="J54" s="20">
        <f t="shared" si="56"/>
        <v>80.835247788106926</v>
      </c>
      <c r="K54" s="24">
        <f t="shared" ref="K54:L54" si="105">SUM(K48:K53)</f>
        <v>360571408.49000007</v>
      </c>
      <c r="L54" s="19">
        <f t="shared" si="105"/>
        <v>289002885.39999998</v>
      </c>
      <c r="M54" s="20">
        <f t="shared" si="57"/>
        <v>80.151359368810034</v>
      </c>
      <c r="N54" s="24">
        <f t="shared" ref="N54:O54" si="106">SUM(N48:N53)</f>
        <v>346628007.13</v>
      </c>
      <c r="O54" s="19">
        <f t="shared" si="106"/>
        <v>266853373.26000002</v>
      </c>
      <c r="P54" s="20">
        <f t="shared" si="58"/>
        <v>76.985519857291521</v>
      </c>
      <c r="Q54" s="24">
        <f t="shared" ref="Q54:R54" si="107">SUM(Q48:Q53)</f>
        <v>391374177.44999999</v>
      </c>
      <c r="R54" s="19">
        <f t="shared" si="107"/>
        <v>302323746.43000001</v>
      </c>
      <c r="S54" s="20">
        <f t="shared" si="59"/>
        <v>77.246728028862705</v>
      </c>
      <c r="T54" s="24">
        <f t="shared" ref="T54:U54" si="108">SUM(T48:T53)</f>
        <v>519997983.56999993</v>
      </c>
      <c r="U54" s="19">
        <f t="shared" si="108"/>
        <v>414068722.24000001</v>
      </c>
      <c r="V54" s="20">
        <f t="shared" si="60"/>
        <v>79.628909211771941</v>
      </c>
      <c r="W54" s="28">
        <f t="shared" ref="W54:X54" si="109">SUM(W48:W53)</f>
        <v>406155279.00999999</v>
      </c>
      <c r="X54" s="28">
        <f t="shared" si="109"/>
        <v>306927191.91000003</v>
      </c>
      <c r="Y54" s="20">
        <f t="shared" si="61"/>
        <v>75.568928380823323</v>
      </c>
      <c r="Z54" s="13">
        <f t="shared" si="8"/>
        <v>-21.892912695242188</v>
      </c>
      <c r="AA54" s="13">
        <f t="shared" si="8"/>
        <v>-25.87530150801858</v>
      </c>
    </row>
    <row r="55" spans="1:27" x14ac:dyDescent="0.3">
      <c r="A55" s="14" t="s">
        <v>70</v>
      </c>
      <c r="B55" s="15">
        <f t="shared" ref="B55:F55" si="110">B54-B53</f>
        <v>281316867.44999999</v>
      </c>
      <c r="C55" s="15">
        <f t="shared" si="110"/>
        <v>219965437.06999999</v>
      </c>
      <c r="D55" s="21">
        <f t="shared" si="54"/>
        <v>78.191343115640109</v>
      </c>
      <c r="E55" s="25">
        <f t="shared" si="110"/>
        <v>272051260.84000003</v>
      </c>
      <c r="F55" s="15">
        <f t="shared" si="110"/>
        <v>207648897.91999999</v>
      </c>
      <c r="G55" s="21">
        <f t="shared" si="55"/>
        <v>76.327122057384372</v>
      </c>
      <c r="H55" s="25">
        <f t="shared" ref="H55:I55" si="111">H54-H53</f>
        <v>331116976.79000002</v>
      </c>
      <c r="I55" s="15">
        <f t="shared" si="111"/>
        <v>264074118.01999998</v>
      </c>
      <c r="J55" s="21">
        <f t="shared" si="56"/>
        <v>79.752515434290245</v>
      </c>
      <c r="K55" s="25">
        <f t="shared" ref="K55:L55" si="112">K54-K53</f>
        <v>310927957.07000005</v>
      </c>
      <c r="L55" s="15">
        <f t="shared" si="112"/>
        <v>244264209.35999998</v>
      </c>
      <c r="M55" s="21">
        <f t="shared" si="57"/>
        <v>78.559744727299687</v>
      </c>
      <c r="N55" s="25">
        <f t="shared" ref="N55:O55" si="113">N54-N53</f>
        <v>300004616.5</v>
      </c>
      <c r="O55" s="15">
        <f t="shared" si="113"/>
        <v>231138910.67000002</v>
      </c>
      <c r="P55" s="21">
        <f t="shared" si="58"/>
        <v>77.045117960709788</v>
      </c>
      <c r="Q55" s="25">
        <f t="shared" ref="Q55:R55" si="114">Q54-Q53</f>
        <v>348235758.33999997</v>
      </c>
      <c r="R55" s="15">
        <f t="shared" si="114"/>
        <v>264652681.46000001</v>
      </c>
      <c r="S55" s="21">
        <f t="shared" si="59"/>
        <v>75.99813491916197</v>
      </c>
      <c r="T55" s="25">
        <f t="shared" ref="T55:U55" si="115">T54-T53</f>
        <v>411554585.6099999</v>
      </c>
      <c r="U55" s="15">
        <f t="shared" si="115"/>
        <v>317161059.75</v>
      </c>
      <c r="V55" s="21">
        <f t="shared" si="60"/>
        <v>77.064154024649909</v>
      </c>
      <c r="W55" s="28">
        <f t="shared" ref="W55:X55" si="116">W54-W53</f>
        <v>348002083.80000001</v>
      </c>
      <c r="X55" s="28">
        <f t="shared" si="116"/>
        <v>260563441.93000004</v>
      </c>
      <c r="Y55" s="21">
        <f t="shared" si="61"/>
        <v>74.874103937764986</v>
      </c>
      <c r="Z55" s="16">
        <f t="shared" si="8"/>
        <v>-15.442058971546473</v>
      </c>
      <c r="AA55" s="16">
        <f t="shared" si="8"/>
        <v>-17.845071480279657</v>
      </c>
    </row>
    <row r="56" spans="1:27" x14ac:dyDescent="0.3">
      <c r="A56" s="5" t="s">
        <v>71</v>
      </c>
      <c r="B56" s="28">
        <f t="shared" ref="B56:C57" si="117">B14-B48</f>
        <v>41249970.080000043</v>
      </c>
      <c r="C56" s="28">
        <f t="shared" si="117"/>
        <v>26417189.850000024</v>
      </c>
      <c r="D56" s="22"/>
      <c r="E56" s="28">
        <f t="shared" ref="E56:F57" si="118">E14-E48</f>
        <v>30800249.049999982</v>
      </c>
      <c r="F56" s="28">
        <f t="shared" si="118"/>
        <v>14993848.340000033</v>
      </c>
      <c r="G56" s="22"/>
      <c r="H56" s="28">
        <f t="shared" ref="H56:I57" si="119">H14-H48</f>
        <v>27847903.610000014</v>
      </c>
      <c r="I56" s="28">
        <f t="shared" si="119"/>
        <v>26336641.310000002</v>
      </c>
      <c r="J56" s="22"/>
      <c r="K56" s="28">
        <f t="shared" ref="K56:L56" si="120">K14-K48</f>
        <v>29249446.459999979</v>
      </c>
      <c r="L56" s="28">
        <f t="shared" si="120"/>
        <v>26002292.360000014</v>
      </c>
      <c r="M56" s="22"/>
      <c r="N56" s="28">
        <f t="shared" ref="N56:O56" si="121">N14-N48</f>
        <v>49612484.300000012</v>
      </c>
      <c r="O56" s="28">
        <f t="shared" si="121"/>
        <v>52183506.949999928</v>
      </c>
      <c r="P56" s="22"/>
      <c r="Q56" s="28">
        <f t="shared" ref="Q56:R56" si="122">Q14-Q48</f>
        <v>50587931.629999995</v>
      </c>
      <c r="R56" s="28">
        <f t="shared" si="122"/>
        <v>71546961.74000001</v>
      </c>
      <c r="S56" s="22"/>
      <c r="T56" s="28">
        <f t="shared" ref="T56:U56" si="123">T14-T48</f>
        <v>53684661.380000114</v>
      </c>
      <c r="U56" s="28">
        <f t="shared" si="123"/>
        <v>48885063.75</v>
      </c>
      <c r="V56" s="22"/>
      <c r="W56" s="28">
        <f t="shared" ref="W56:X57" si="124">W14-W48</f>
        <v>55118533.069999933</v>
      </c>
      <c r="X56" s="28">
        <f t="shared" si="124"/>
        <v>37320252.889999986</v>
      </c>
      <c r="Y56" s="22"/>
      <c r="Z56" s="13">
        <f t="shared" ref="Z56:AA59" si="125">IF(T56&gt;0,W56/T56*100-100,"-")</f>
        <v>2.6709150307391099</v>
      </c>
      <c r="AA56" s="13">
        <f t="shared" si="125"/>
        <v>-23.657145910953247</v>
      </c>
    </row>
    <row r="57" spans="1:27" x14ac:dyDescent="0.3">
      <c r="A57" s="5" t="s">
        <v>72</v>
      </c>
      <c r="B57" s="28">
        <f t="shared" si="117"/>
        <v>-1666077.9299999997</v>
      </c>
      <c r="C57" s="28">
        <f t="shared" si="117"/>
        <v>-6338638.3199999966</v>
      </c>
      <c r="D57" s="22"/>
      <c r="E57" s="28">
        <f t="shared" si="118"/>
        <v>-15018071.970000003</v>
      </c>
      <c r="F57" s="28">
        <f t="shared" si="118"/>
        <v>-4969075.4700000007</v>
      </c>
      <c r="G57" s="22"/>
      <c r="H57" s="28">
        <f t="shared" si="119"/>
        <v>15768275.339999996</v>
      </c>
      <c r="I57" s="28">
        <f t="shared" si="119"/>
        <v>14947201.750000007</v>
      </c>
      <c r="J57" s="22"/>
      <c r="K57" s="28">
        <f t="shared" ref="K57:L57" si="126">K15-K49</f>
        <v>-10008885.019999996</v>
      </c>
      <c r="L57" s="28">
        <f t="shared" si="126"/>
        <v>-22208150.159999996</v>
      </c>
      <c r="M57" s="22"/>
      <c r="N57" s="28">
        <f t="shared" ref="N57:O57" si="127">N15-N49</f>
        <v>-18998156</v>
      </c>
      <c r="O57" s="28">
        <f t="shared" si="127"/>
        <v>-16809657.09</v>
      </c>
      <c r="P57" s="22"/>
      <c r="Q57" s="28">
        <f t="shared" ref="Q57:R57" si="128">Q15-Q49</f>
        <v>-2067821.409999989</v>
      </c>
      <c r="R57" s="28">
        <f t="shared" si="128"/>
        <v>-9647255.8199999966</v>
      </c>
      <c r="S57" s="22"/>
      <c r="T57" s="28">
        <f t="shared" ref="T57:U57" si="129">T15-T49</f>
        <v>-15767653.829999998</v>
      </c>
      <c r="U57" s="28">
        <f t="shared" si="129"/>
        <v>-20705401.890000001</v>
      </c>
      <c r="V57" s="22"/>
      <c r="W57" s="28">
        <f t="shared" si="124"/>
        <v>-6467864.9800000042</v>
      </c>
      <c r="X57" s="28">
        <f t="shared" si="124"/>
        <v>-31465131.440000005</v>
      </c>
      <c r="Y57" s="22"/>
      <c r="Z57" s="13" t="str">
        <f t="shared" si="125"/>
        <v>-</v>
      </c>
      <c r="AA57" s="13" t="str">
        <f t="shared" si="125"/>
        <v>-</v>
      </c>
    </row>
    <row r="58" spans="1:27" x14ac:dyDescent="0.3">
      <c r="A58" s="5" t="s">
        <v>358</v>
      </c>
      <c r="B58" s="28">
        <f t="shared" ref="B58:C58" si="130">SUM(B14:B16)-SUM(B48:B50)</f>
        <v>59078947.050000012</v>
      </c>
      <c r="C58" s="28">
        <f t="shared" si="130"/>
        <v>33954280.420000046</v>
      </c>
      <c r="D58" s="22"/>
      <c r="E58" s="28">
        <f t="shared" ref="E58:F58" si="131">SUM(E14:E16)-SUM(E48:E50)</f>
        <v>38825999.419999957</v>
      </c>
      <c r="F58" s="28">
        <f t="shared" si="131"/>
        <v>33068595.210000038</v>
      </c>
      <c r="G58" s="22"/>
      <c r="H58" s="28">
        <f t="shared" ref="H58:I58" si="132">SUM(H14:H16)-SUM(H48:H50)</f>
        <v>12116178.949999988</v>
      </c>
      <c r="I58" s="28">
        <f t="shared" si="132"/>
        <v>9783843.0600000024</v>
      </c>
      <c r="J58" s="22"/>
      <c r="K58" s="28">
        <f t="shared" ref="K58:L58" si="133">SUM(K14:K16)-SUM(K48:K50)</f>
        <v>19240561.439999998</v>
      </c>
      <c r="L58" s="28">
        <f t="shared" si="133"/>
        <v>120759.85000002384</v>
      </c>
      <c r="M58" s="22"/>
      <c r="N58" s="28">
        <f t="shared" ref="N58:O58" si="134">SUM(N14:N16)-SUM(N48:N50)</f>
        <v>30614328.300000012</v>
      </c>
      <c r="O58" s="28">
        <f t="shared" si="134"/>
        <v>30965293.409999937</v>
      </c>
      <c r="P58" s="22"/>
      <c r="Q58" s="28">
        <f t="shared" ref="Q58:R58" si="135">SUM(Q14:Q16)-SUM(Q48:Q50)</f>
        <v>31316862.220000029</v>
      </c>
      <c r="R58" s="28">
        <f t="shared" si="135"/>
        <v>41752249.679999977</v>
      </c>
      <c r="S58" s="22"/>
      <c r="T58" s="28">
        <f t="shared" ref="T58:U58" si="136">SUM(T14:T16)-SUM(T48:T50)</f>
        <v>34917007.550000131</v>
      </c>
      <c r="U58" s="28">
        <f t="shared" si="136"/>
        <v>25179661.860000014</v>
      </c>
      <c r="V58" s="22"/>
      <c r="W58" s="28">
        <f t="shared" ref="W58:X58" si="137">SUM(W14:W16)-SUM(W48:W50)</f>
        <v>48650668.089999914</v>
      </c>
      <c r="X58" s="28">
        <f t="shared" si="137"/>
        <v>5855121.4499999881</v>
      </c>
      <c r="Y58" s="22"/>
      <c r="Z58" s="13">
        <f t="shared" si="125"/>
        <v>39.332295358740538</v>
      </c>
      <c r="AA58" s="13">
        <f t="shared" si="125"/>
        <v>-76.746623991399446</v>
      </c>
    </row>
    <row r="59" spans="1:27" x14ac:dyDescent="0.3">
      <c r="A59" s="5" t="s">
        <v>359</v>
      </c>
      <c r="B59" s="28">
        <f t="shared" ref="B59:C59" si="138">B21-B55</f>
        <v>63139802.439999998</v>
      </c>
      <c r="C59" s="28">
        <f t="shared" si="138"/>
        <v>34774986.520000041</v>
      </c>
      <c r="D59" s="101"/>
      <c r="E59" s="28">
        <f t="shared" ref="E59:F59" si="139">E21-E55</f>
        <v>36878002.559999943</v>
      </c>
      <c r="F59" s="28">
        <f t="shared" si="139"/>
        <v>31330914.280000061</v>
      </c>
      <c r="G59" s="101"/>
      <c r="H59" s="28">
        <f t="shared" ref="H59:I59" si="140">H21-H55</f>
        <v>7377683.1299999952</v>
      </c>
      <c r="I59" s="28">
        <f t="shared" si="140"/>
        <v>5045347.2400000095</v>
      </c>
      <c r="J59" s="101"/>
      <c r="K59" s="28">
        <f t="shared" ref="K59:L59" si="141">K21-K55</f>
        <v>21735268.850000024</v>
      </c>
      <c r="L59" s="28">
        <f t="shared" si="141"/>
        <v>2615467.2599999905</v>
      </c>
      <c r="M59" s="101"/>
      <c r="N59" s="28">
        <f t="shared" ref="N59:O59" si="142">N21-N55</f>
        <v>32927288.629999995</v>
      </c>
      <c r="O59" s="28">
        <f t="shared" si="142"/>
        <v>33278253.73999992</v>
      </c>
      <c r="P59" s="101"/>
      <c r="Q59" s="28">
        <f t="shared" ref="Q59:R59" si="143">Q21-Q55</f>
        <v>32115186.080000043</v>
      </c>
      <c r="R59" s="28">
        <f t="shared" si="143"/>
        <v>42550573.539999992</v>
      </c>
      <c r="S59" s="101"/>
      <c r="T59" s="28">
        <f t="shared" ref="T59:U59" si="144">T21-T55</f>
        <v>31221838.670000136</v>
      </c>
      <c r="U59" s="28">
        <f t="shared" si="144"/>
        <v>21769709.75999999</v>
      </c>
      <c r="V59" s="101"/>
      <c r="W59" s="28">
        <f t="shared" ref="W59:X59" si="145">W21-W55</f>
        <v>43997149.24999994</v>
      </c>
      <c r="X59" s="28">
        <f t="shared" si="145"/>
        <v>1487459.4999999702</v>
      </c>
      <c r="Y59" s="101"/>
      <c r="Z59" s="13">
        <f t="shared" si="125"/>
        <v>40.917867506230863</v>
      </c>
      <c r="AA59" s="13">
        <f t="shared" si="125"/>
        <v>-93.167297513846279</v>
      </c>
    </row>
    <row r="60" spans="1:27" x14ac:dyDescent="0.3">
      <c r="A60" s="5" t="s">
        <v>360</v>
      </c>
      <c r="C60" s="6">
        <f>SUM(C14:C16)/SUM(B14:B16)*100</f>
        <v>74.523041969972908</v>
      </c>
      <c r="D60" s="101"/>
      <c r="F60" s="6">
        <f>SUM(F14:F16)/SUM(E14:E16)*100</f>
        <v>77.049143560598296</v>
      </c>
      <c r="G60" s="101"/>
      <c r="I60" s="6">
        <f>SUM(I14:I16)/SUM(H14:H16)*100</f>
        <v>79.504789033777897</v>
      </c>
      <c r="J60" s="101"/>
      <c r="L60" s="6">
        <f>SUM(L14:L16)/SUM(K14:K16)*100</f>
        <v>73.68520799281292</v>
      </c>
      <c r="M60" s="101"/>
      <c r="O60" s="6">
        <f>SUM(O14:O16)/SUM(N14:N16)*100</f>
        <v>79.144635839342655</v>
      </c>
      <c r="P60" s="101"/>
      <c r="R60" s="6">
        <f>SUM(R14:R16)/SUM(Q14:Q16)*100</f>
        <v>80.551348225522759</v>
      </c>
      <c r="S60" s="101"/>
      <c r="U60" s="6">
        <f>SUM(U14:U16)/SUM(T14:T16)*100</f>
        <v>76.546706401800009</v>
      </c>
      <c r="V60" s="101"/>
      <c r="X60" s="6">
        <f>SUM(X14:X16)/SUM(W14:W16)*100</f>
        <v>66.849850544624687</v>
      </c>
      <c r="Y60" s="101"/>
    </row>
    <row r="61" spans="1:27" x14ac:dyDescent="0.3">
      <c r="A61" s="5" t="s">
        <v>361</v>
      </c>
      <c r="C61" s="6">
        <f>SUM(C48:C50)/SUM(B48:B50)*100</f>
        <v>78.183231194399752</v>
      </c>
      <c r="D61" s="101"/>
      <c r="F61" s="6">
        <f>SUM(F48:F50)/SUM(E48:E50)*100</f>
        <v>75.863410725116225</v>
      </c>
      <c r="G61" s="101"/>
      <c r="I61" s="6">
        <f>SUM(I48:I50)/SUM(H48:H50)*100</f>
        <v>79.458554200403171</v>
      </c>
      <c r="J61" s="101"/>
      <c r="L61" s="6">
        <f>SUM(L48:L50)/SUM(K48:K50)*100</f>
        <v>78.267676048953874</v>
      </c>
      <c r="M61" s="101"/>
      <c r="O61" s="6">
        <f>SUM(O48:O50)/SUM(N48:N50)*100</f>
        <v>76.883645301455516</v>
      </c>
      <c r="P61" s="101"/>
      <c r="R61" s="6">
        <f>SUM(R48:R50)/SUM(Q48:Q50)*100</f>
        <v>75.758256494012727</v>
      </c>
      <c r="S61" s="101"/>
      <c r="U61" s="6">
        <f>SUM(U48:U50)/SUM(T48:T50)*100</f>
        <v>76.926287534437648</v>
      </c>
      <c r="V61" s="101"/>
      <c r="X61" s="6">
        <f>SUM(X48:X50)/SUM(W48:W50)*100</f>
        <v>74.616819793566549</v>
      </c>
      <c r="Y61" s="101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activeCell="L2" sqref="L2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12" width="7.5546875" customWidth="1"/>
  </cols>
  <sheetData>
    <row r="1" spans="1:12" ht="23.25" customHeight="1" x14ac:dyDescent="0.3">
      <c r="A1" s="74" t="s">
        <v>311</v>
      </c>
      <c r="B1" s="74" t="s">
        <v>312</v>
      </c>
      <c r="C1" s="74" t="s">
        <v>322</v>
      </c>
      <c r="D1" s="42" t="s">
        <v>211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  <c r="J1" s="42">
        <v>2021</v>
      </c>
      <c r="K1" s="42">
        <v>2022</v>
      </c>
      <c r="L1" s="42">
        <v>2023</v>
      </c>
    </row>
    <row r="2" spans="1:12" ht="29.25" customHeight="1" x14ac:dyDescent="0.3">
      <c r="A2" s="75" t="s">
        <v>313</v>
      </c>
      <c r="B2" s="75" t="s">
        <v>78</v>
      </c>
      <c r="C2" s="77" t="s">
        <v>321</v>
      </c>
      <c r="D2" s="89" t="s">
        <v>328</v>
      </c>
      <c r="E2" s="82">
        <f>Piano_indicatori!D3</f>
        <v>32.159999999999997</v>
      </c>
      <c r="F2" s="82">
        <f>Piano_indicatori!E3</f>
        <v>30.524100000000001</v>
      </c>
      <c r="G2" s="82">
        <f>Piano_indicatori!F3</f>
        <v>29.920940000000002</v>
      </c>
      <c r="H2" s="82">
        <f>Piano_indicatori!G3</f>
        <v>29.408660000000001</v>
      </c>
      <c r="I2" s="82">
        <f>Piano_indicatori!H3</f>
        <v>26.961580000000001</v>
      </c>
      <c r="J2" s="82">
        <f>Piano_indicatori!I3</f>
        <v>25.90532</v>
      </c>
      <c r="K2" s="82">
        <f>Piano_indicatori!J3</f>
        <v>26</v>
      </c>
      <c r="L2" s="82">
        <f>Piano_indicatori!K3</f>
        <v>26</v>
      </c>
    </row>
    <row r="3" spans="1:12" ht="29.25" customHeight="1" x14ac:dyDescent="0.3">
      <c r="A3" s="76" t="s">
        <v>314</v>
      </c>
      <c r="B3" s="76" t="s">
        <v>95</v>
      </c>
      <c r="C3" s="78" t="s">
        <v>96</v>
      </c>
      <c r="D3" s="90" t="s">
        <v>329</v>
      </c>
      <c r="E3" s="83">
        <f>Piano_indicatori!D12</f>
        <v>69.489999999999995</v>
      </c>
      <c r="F3" s="83">
        <f>Piano_indicatori!E12</f>
        <v>72.916979999999995</v>
      </c>
      <c r="G3" s="83">
        <f>Piano_indicatori!F12</f>
        <v>71.187290000000004</v>
      </c>
      <c r="H3" s="83">
        <f>Piano_indicatori!G12</f>
        <v>74.339590000000001</v>
      </c>
      <c r="I3" s="83">
        <f>Piano_indicatori!H12</f>
        <v>68.036680000000004</v>
      </c>
      <c r="J3" s="83">
        <f>Piano_indicatori!I12</f>
        <v>66.838669999999993</v>
      </c>
      <c r="K3" s="83">
        <f>Piano_indicatori!J12</f>
        <v>61</v>
      </c>
      <c r="L3" s="83">
        <f>Piano_indicatori!K12</f>
        <v>54</v>
      </c>
    </row>
    <row r="4" spans="1:12" ht="29.25" customHeight="1" x14ac:dyDescent="0.3">
      <c r="A4" s="75" t="s">
        <v>315</v>
      </c>
      <c r="B4" s="75" t="s">
        <v>100</v>
      </c>
      <c r="C4" s="79" t="s">
        <v>324</v>
      </c>
      <c r="D4" s="89" t="s">
        <v>330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  <c r="J4" s="84">
        <f>Piano_indicatori!I15</f>
        <v>0</v>
      </c>
      <c r="K4" s="84">
        <f>Piano_indicatori!J15</f>
        <v>0</v>
      </c>
      <c r="L4" s="84">
        <f>Piano_indicatori!K15</f>
        <v>0</v>
      </c>
    </row>
    <row r="5" spans="1:12" ht="29.25" customHeight="1" x14ac:dyDescent="0.3">
      <c r="A5" s="76" t="s">
        <v>316</v>
      </c>
      <c r="B5" s="76" t="s">
        <v>165</v>
      </c>
      <c r="C5" s="80" t="s">
        <v>325</v>
      </c>
      <c r="D5" s="91" t="s">
        <v>331</v>
      </c>
      <c r="E5" s="85">
        <f>Piano_indicatori!D51</f>
        <v>3.32</v>
      </c>
      <c r="F5" s="85">
        <f>Piano_indicatori!E51</f>
        <v>3.5465300000000002</v>
      </c>
      <c r="G5" s="85">
        <f>Piano_indicatori!F51</f>
        <v>2.87392</v>
      </c>
      <c r="H5" s="85">
        <f>Piano_indicatori!G51</f>
        <v>2.5749599999999999</v>
      </c>
      <c r="I5" s="85">
        <f>Piano_indicatori!H51</f>
        <v>1.6671</v>
      </c>
      <c r="J5" s="85">
        <f>Piano_indicatori!I51</f>
        <v>1.9524900000000001</v>
      </c>
      <c r="K5" s="85">
        <f>Piano_indicatori!J51</f>
        <v>2</v>
      </c>
      <c r="L5" s="85">
        <f>Piano_indicatori!K51</f>
        <v>2</v>
      </c>
    </row>
    <row r="6" spans="1:12" ht="29.25" customHeight="1" x14ac:dyDescent="0.3">
      <c r="A6" s="75" t="s">
        <v>317</v>
      </c>
      <c r="B6" s="75" t="s">
        <v>185</v>
      </c>
      <c r="C6" s="93" t="s">
        <v>186</v>
      </c>
      <c r="D6" s="92" t="s">
        <v>332</v>
      </c>
      <c r="E6" s="86">
        <f>Piano_indicatori!D62</f>
        <v>0</v>
      </c>
      <c r="F6" s="86">
        <f>Piano_indicatori!E62</f>
        <v>0</v>
      </c>
      <c r="G6" s="86">
        <f>Piano_indicatori!F62</f>
        <v>0</v>
      </c>
      <c r="H6" s="86">
        <f>Piano_indicatori!G62</f>
        <v>0</v>
      </c>
      <c r="I6" s="86">
        <f>Piano_indicatori!H62</f>
        <v>0</v>
      </c>
      <c r="J6" s="86">
        <f>Piano_indicatori!I62</f>
        <v>0</v>
      </c>
      <c r="K6" s="86">
        <f>Piano_indicatori!J62</f>
        <v>0</v>
      </c>
      <c r="L6" s="86">
        <f>Piano_indicatori!K62</f>
        <v>0</v>
      </c>
    </row>
    <row r="7" spans="1:12" ht="29.25" customHeight="1" x14ac:dyDescent="0.3">
      <c r="A7" s="76" t="s">
        <v>318</v>
      </c>
      <c r="B7" s="76" t="s">
        <v>188</v>
      </c>
      <c r="C7" s="80" t="s">
        <v>189</v>
      </c>
      <c r="D7" s="90" t="s">
        <v>333</v>
      </c>
      <c r="E7" s="87">
        <f>Piano_indicatori!D64</f>
        <v>0</v>
      </c>
      <c r="F7" s="87">
        <f>Piano_indicatori!E64</f>
        <v>2.6540000000000001E-2</v>
      </c>
      <c r="G7" s="87">
        <f>Piano_indicatori!F64</f>
        <v>9.2710000000000001E-2</v>
      </c>
      <c r="H7" s="87">
        <f>Piano_indicatori!G64</f>
        <v>5.781E-2</v>
      </c>
      <c r="I7" s="87">
        <f>Piano_indicatori!H64</f>
        <v>4.4330000000000001E-2</v>
      </c>
      <c r="J7" s="87">
        <f>Piano_indicatori!I64</f>
        <v>8.5389999999999994E-2</v>
      </c>
      <c r="K7" s="87">
        <f>Piano_indicatori!J64</f>
        <v>0</v>
      </c>
      <c r="L7" s="87">
        <f>Piano_indicatori!K64</f>
        <v>0</v>
      </c>
    </row>
    <row r="8" spans="1:12" ht="29.25" customHeight="1" x14ac:dyDescent="0.3">
      <c r="A8" s="75" t="s">
        <v>319</v>
      </c>
      <c r="B8" s="75" t="s">
        <v>323</v>
      </c>
      <c r="C8" s="79" t="s">
        <v>326</v>
      </c>
      <c r="D8" s="89" t="s">
        <v>334</v>
      </c>
      <c r="E8" s="84">
        <f>Piano_indicatori!D65+Piano_indicatori!D66</f>
        <v>0</v>
      </c>
      <c r="F8" s="84">
        <f>Piano_indicatori!E65+Piano_indicatori!E66</f>
        <v>0</v>
      </c>
      <c r="G8" s="84">
        <f>Piano_indicatori!F65+Piano_indicatori!F66</f>
        <v>0</v>
      </c>
      <c r="H8" s="84">
        <f>Piano_indicatori!G65+Piano_indicatori!G66</f>
        <v>0</v>
      </c>
      <c r="I8" s="84">
        <f>Piano_indicatori!H65+Piano_indicatori!H66</f>
        <v>0</v>
      </c>
      <c r="J8" s="84">
        <f>Piano_indicatori!I65+Piano_indicatori!I66</f>
        <v>0</v>
      </c>
      <c r="K8" s="84">
        <f>Piano_indicatori!J65+Piano_indicatori!J66</f>
        <v>0</v>
      </c>
      <c r="L8" s="84">
        <f>Piano_indicatori!K65+Piano_indicatori!K66</f>
        <v>0</v>
      </c>
    </row>
    <row r="9" spans="1:12" ht="29.25" customHeight="1" x14ac:dyDescent="0.3">
      <c r="A9" s="76" t="s">
        <v>320</v>
      </c>
      <c r="B9" s="76"/>
      <c r="C9" s="81" t="s">
        <v>327</v>
      </c>
      <c r="D9" s="91" t="s">
        <v>335</v>
      </c>
      <c r="E9" s="88">
        <f>Piano_indicatori!D76</f>
        <v>65.866632792264738</v>
      </c>
      <c r="F9" s="88">
        <f>Piano_indicatori!E76</f>
        <v>64.283656421898911</v>
      </c>
      <c r="G9" s="88">
        <f>Piano_indicatori!F76</f>
        <v>68.306346260276854</v>
      </c>
      <c r="H9" s="88">
        <f>Piano_indicatori!G76</f>
        <v>63.219258189360374</v>
      </c>
      <c r="I9" s="88">
        <f>Piano_indicatori!H76</f>
        <v>61.804354367973247</v>
      </c>
      <c r="J9" s="88">
        <f>Piano_indicatori!I76</f>
        <v>65.636054925191885</v>
      </c>
      <c r="K9" s="88">
        <f>Piano_indicatori!J76</f>
        <v>63.814593826553811</v>
      </c>
      <c r="L9" s="88">
        <f>Piano_indicatori!K76</f>
        <v>50.911755867704912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  <col min="6" max="6" width="10" customWidth="1"/>
  </cols>
  <sheetData>
    <row r="1" spans="1:21" ht="43.2" x14ac:dyDescent="0.3">
      <c r="A1" s="96" t="s">
        <v>336</v>
      </c>
      <c r="B1" s="96" t="s">
        <v>337</v>
      </c>
      <c r="C1" s="96" t="s">
        <v>351</v>
      </c>
      <c r="D1" s="96" t="s">
        <v>352</v>
      </c>
      <c r="E1" s="96" t="s">
        <v>353</v>
      </c>
      <c r="F1" s="96" t="s">
        <v>364</v>
      </c>
      <c r="G1" s="96" t="s">
        <v>354</v>
      </c>
    </row>
    <row r="2" spans="1:21" x14ac:dyDescent="0.3">
      <c r="A2" s="31">
        <v>2024</v>
      </c>
      <c r="B2" s="1">
        <v>207301</v>
      </c>
      <c r="C2" s="1">
        <v>931469</v>
      </c>
      <c r="D2" s="96"/>
    </row>
    <row r="3" spans="1:21" x14ac:dyDescent="0.3">
      <c r="A3" s="31">
        <v>2023</v>
      </c>
      <c r="B3" s="1">
        <v>207112</v>
      </c>
      <c r="C3" s="1">
        <v>930349</v>
      </c>
      <c r="D3" s="1">
        <v>-1265</v>
      </c>
      <c r="E3" s="1">
        <v>1454</v>
      </c>
      <c r="G3" s="1">
        <f t="shared" ref="G3:G4" si="0">B2-B3-D3-E3-F3</f>
        <v>0</v>
      </c>
    </row>
    <row r="4" spans="1:21" x14ac:dyDescent="0.3">
      <c r="A4" s="31">
        <v>2022</v>
      </c>
      <c r="B4" s="1">
        <v>206651</v>
      </c>
      <c r="C4" s="1">
        <v>929198</v>
      </c>
      <c r="D4" s="1">
        <v>-1454</v>
      </c>
      <c r="E4" s="1">
        <v>1515</v>
      </c>
      <c r="F4" s="1">
        <v>400</v>
      </c>
      <c r="G4" s="1">
        <f t="shared" si="0"/>
        <v>0</v>
      </c>
    </row>
    <row r="5" spans="1:21" x14ac:dyDescent="0.3">
      <c r="A5" s="31">
        <v>2021</v>
      </c>
      <c r="B5" s="1">
        <v>209730</v>
      </c>
      <c r="C5" s="1">
        <v>932629</v>
      </c>
      <c r="D5" s="1">
        <v>-1289</v>
      </c>
      <c r="E5" s="1">
        <v>224</v>
      </c>
      <c r="F5" s="1">
        <v>-2014</v>
      </c>
      <c r="G5" s="1">
        <f>B4-B5-D5-E5-F5</f>
        <v>0</v>
      </c>
    </row>
    <row r="6" spans="1:21" x14ac:dyDescent="0.3">
      <c r="A6" s="31">
        <v>2020</v>
      </c>
      <c r="B6" s="1">
        <v>210077</v>
      </c>
      <c r="C6" s="1">
        <v>933700</v>
      </c>
      <c r="D6" s="1">
        <v>-1461</v>
      </c>
      <c r="E6" s="1">
        <v>-335</v>
      </c>
      <c r="F6" s="1">
        <v>1449</v>
      </c>
      <c r="G6" s="1">
        <f t="shared" ref="G6:G11" si="1">B5-B6-D6-E6-F6</f>
        <v>0</v>
      </c>
    </row>
    <row r="7" spans="1:21" x14ac:dyDescent="0.3">
      <c r="A7" s="31">
        <v>2019</v>
      </c>
      <c r="B7" s="95">
        <v>209995</v>
      </c>
      <c r="C7" s="1">
        <v>933867</v>
      </c>
      <c r="D7" s="1">
        <v>-1135</v>
      </c>
      <c r="E7" s="1">
        <v>1255</v>
      </c>
      <c r="F7" s="1">
        <v>-38</v>
      </c>
      <c r="G7" s="1">
        <f t="shared" si="1"/>
        <v>0</v>
      </c>
      <c r="L7" s="105"/>
      <c r="M7" s="106"/>
      <c r="N7" s="106"/>
      <c r="O7" s="106"/>
      <c r="P7" s="106"/>
      <c r="Q7" s="106"/>
      <c r="R7" s="106"/>
      <c r="S7" s="106"/>
      <c r="T7" s="106"/>
      <c r="U7" s="106"/>
    </row>
    <row r="8" spans="1:21" x14ac:dyDescent="0.3">
      <c r="A8" s="31">
        <v>2018</v>
      </c>
      <c r="B8" s="95">
        <v>209425</v>
      </c>
      <c r="C8" s="1">
        <v>932464</v>
      </c>
      <c r="D8" s="1">
        <v>-1040</v>
      </c>
      <c r="E8" s="1">
        <v>1610</v>
      </c>
      <c r="F8" s="1"/>
      <c r="G8" s="1">
        <f t="shared" si="1"/>
        <v>0</v>
      </c>
      <c r="L8" s="105"/>
      <c r="M8" s="106"/>
      <c r="N8" s="106"/>
      <c r="O8" s="106"/>
      <c r="P8" s="106"/>
      <c r="Q8" s="106"/>
      <c r="R8" s="106"/>
      <c r="S8" s="106"/>
      <c r="T8" s="106"/>
      <c r="U8" s="106"/>
    </row>
    <row r="9" spans="1:21" x14ac:dyDescent="0.3">
      <c r="A9" s="31">
        <v>2017</v>
      </c>
      <c r="B9" s="95">
        <v>208573</v>
      </c>
      <c r="C9" s="1">
        <v>931890</v>
      </c>
      <c r="D9" s="1">
        <v>-1144</v>
      </c>
      <c r="E9" s="1">
        <v>1996</v>
      </c>
      <c r="F9" s="1"/>
      <c r="G9" s="1">
        <f t="shared" si="1"/>
        <v>0</v>
      </c>
      <c r="L9" s="105"/>
      <c r="M9" s="106"/>
      <c r="N9" s="106"/>
      <c r="O9" s="106"/>
      <c r="P9" s="106"/>
      <c r="Q9" s="106"/>
      <c r="R9" s="106"/>
      <c r="S9" s="106"/>
      <c r="T9" s="106"/>
      <c r="U9" s="106"/>
    </row>
    <row r="10" spans="1:21" x14ac:dyDescent="0.3">
      <c r="A10" s="31">
        <v>2016</v>
      </c>
      <c r="B10" s="95">
        <v>209269</v>
      </c>
      <c r="C10" s="1">
        <v>932928</v>
      </c>
      <c r="D10" s="1">
        <v>-1044</v>
      </c>
      <c r="E10" s="1">
        <v>348</v>
      </c>
      <c r="F10" s="1"/>
      <c r="G10" s="1">
        <f t="shared" si="1"/>
        <v>0</v>
      </c>
      <c r="L10" s="105"/>
      <c r="M10" s="106"/>
      <c r="N10" s="106"/>
      <c r="O10" s="106"/>
      <c r="P10" s="106"/>
      <c r="Q10" s="106"/>
      <c r="R10" s="106"/>
      <c r="S10" s="106"/>
      <c r="T10" s="106"/>
      <c r="U10" s="106"/>
    </row>
    <row r="11" spans="1:21" x14ac:dyDescent="0.3">
      <c r="A11" s="31">
        <v>2015</v>
      </c>
      <c r="B11" s="95">
        <v>209959</v>
      </c>
      <c r="C11" s="1">
        <v>934138</v>
      </c>
      <c r="D11" s="1">
        <v>-1059</v>
      </c>
      <c r="E11">
        <v>369</v>
      </c>
      <c r="F11" s="1"/>
      <c r="G11" s="1">
        <f t="shared" si="1"/>
        <v>0</v>
      </c>
    </row>
    <row r="31" spans="1:6" x14ac:dyDescent="0.3">
      <c r="A31" s="107"/>
      <c r="B31" s="105"/>
      <c r="C31" s="105"/>
      <c r="D31" s="105"/>
    </row>
    <row r="32" spans="1:6" x14ac:dyDescent="0.3">
      <c r="A32" s="107"/>
      <c r="B32" s="105"/>
      <c r="C32" s="105"/>
      <c r="D32" s="105"/>
      <c r="F32" s="105"/>
    </row>
    <row r="33" spans="1:6" x14ac:dyDescent="0.3">
      <c r="A33" s="107"/>
      <c r="B33" s="105"/>
      <c r="C33" s="105"/>
      <c r="D33" s="105"/>
      <c r="F33" s="105"/>
    </row>
    <row r="34" spans="1:6" x14ac:dyDescent="0.3">
      <c r="A34" s="107"/>
      <c r="B34" s="105"/>
      <c r="C34" s="105"/>
      <c r="D34" s="105"/>
      <c r="F34" s="105"/>
    </row>
    <row r="35" spans="1:6" x14ac:dyDescent="0.3">
      <c r="A35" s="107"/>
      <c r="B35" s="105"/>
      <c r="C35" s="105"/>
      <c r="D35" s="105"/>
      <c r="F35" s="105"/>
    </row>
    <row r="36" spans="1:6" x14ac:dyDescent="0.3">
      <c r="A36" s="107"/>
      <c r="B36" s="105"/>
      <c r="C36" s="105"/>
      <c r="D36" s="105"/>
      <c r="F36" s="105"/>
    </row>
    <row r="37" spans="1:6" x14ac:dyDescent="0.3">
      <c r="A37" s="107"/>
      <c r="B37" s="105"/>
      <c r="C37" s="105"/>
      <c r="D37" s="105"/>
      <c r="F37" s="105"/>
    </row>
    <row r="38" spans="1:6" x14ac:dyDescent="0.3">
      <c r="A38" s="107"/>
      <c r="B38" s="105"/>
      <c r="C38" s="105"/>
      <c r="D38" s="105"/>
      <c r="F38" s="105"/>
    </row>
    <row r="39" spans="1:6" x14ac:dyDescent="0.3">
      <c r="A39" s="107"/>
      <c r="B39" s="105"/>
      <c r="C39" s="105"/>
      <c r="D39" s="105"/>
      <c r="F39" s="105"/>
    </row>
    <row r="40" spans="1:6" x14ac:dyDescent="0.3">
      <c r="F40" s="105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opLeftCell="B1" workbookViewId="0">
      <selection activeCell="K1" sqref="K1:K21"/>
    </sheetView>
  </sheetViews>
  <sheetFormatPr defaultRowHeight="14.4" x14ac:dyDescent="0.3"/>
  <cols>
    <col min="1" max="1" width="55.6640625" bestFit="1" customWidth="1"/>
    <col min="2" max="9" width="12.44140625" bestFit="1" customWidth="1"/>
    <col min="10" max="10" width="8.44140625" customWidth="1"/>
    <col min="11" max="11" width="6.5546875" bestFit="1" customWidth="1"/>
    <col min="12" max="12" width="12.44140625" bestFit="1" customWidth="1"/>
    <col min="13" max="13" width="7" bestFit="1" customWidth="1"/>
  </cols>
  <sheetData>
    <row r="1" spans="1:13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366</v>
      </c>
      <c r="M1" s="42" t="s">
        <v>269</v>
      </c>
    </row>
    <row r="2" spans="1:13" x14ac:dyDescent="0.3">
      <c r="A2" s="55" t="s">
        <v>20</v>
      </c>
      <c r="B2" s="56">
        <f>Entrate_Uscite!B3</f>
        <v>169501778.91</v>
      </c>
      <c r="C2" s="56">
        <f>Entrate_Uscite!E3</f>
        <v>162192563.81999999</v>
      </c>
      <c r="D2" s="56">
        <f>Entrate_Uscite!H3</f>
        <v>168103413.75</v>
      </c>
      <c r="E2" s="56">
        <f>Entrate_Uscite!K3</f>
        <v>173946160.30000001</v>
      </c>
      <c r="F2" s="56">
        <f>Entrate_Uscite!N3</f>
        <v>168131782.22</v>
      </c>
      <c r="G2" s="56">
        <f>Entrate_Uscite!Q3</f>
        <v>205177494.44999999</v>
      </c>
      <c r="H2" s="56">
        <f>Entrate_Uscite!T3</f>
        <v>179669141.08000001</v>
      </c>
      <c r="I2" s="56">
        <f>Entrate_Uscite!W3</f>
        <v>178981234.19999999</v>
      </c>
      <c r="J2" s="56">
        <f>I2/I$21*100</f>
        <v>45.658567443465053</v>
      </c>
      <c r="K2" s="57">
        <f>IF(H2&gt;0,I2/H2*100-100,"-")</f>
        <v>-0.38287425200843472</v>
      </c>
      <c r="L2" s="56">
        <f>Entrate_Uscite!X3</f>
        <v>139908928.90000001</v>
      </c>
      <c r="M2" s="58">
        <f>IF(I2&gt;0,L2/I2*100,"-")</f>
        <v>78.169607850430182</v>
      </c>
    </row>
    <row r="3" spans="1:13" x14ac:dyDescent="0.3">
      <c r="A3" s="55" t="s">
        <v>21</v>
      </c>
      <c r="B3" s="56">
        <f>Entrate_Uscite!B4</f>
        <v>32600379.239999998</v>
      </c>
      <c r="C3" s="56">
        <f>Entrate_Uscite!E4</f>
        <v>32557464.850000001</v>
      </c>
      <c r="D3" s="56">
        <f>Entrate_Uscite!H4</f>
        <v>36232831.619999997</v>
      </c>
      <c r="E3" s="56">
        <f>Entrate_Uscite!K4</f>
        <v>40854779.149999999</v>
      </c>
      <c r="F3" s="56">
        <f>Entrate_Uscite!N4</f>
        <v>77621781.790000007</v>
      </c>
      <c r="G3" s="56">
        <f>Entrate_Uscite!Q4</f>
        <v>61711546.609999999</v>
      </c>
      <c r="H3" s="56">
        <f>Entrate_Uscite!T4</f>
        <v>55388456.530000001</v>
      </c>
      <c r="I3" s="56">
        <f>Entrate_Uscite!W4</f>
        <v>53891644.740000002</v>
      </c>
      <c r="J3" s="56">
        <f t="shared" ref="J3:J21" si="0">I3/I$21*100</f>
        <v>13.747895453950049</v>
      </c>
      <c r="K3" s="57">
        <f t="shared" ref="K3:K21" si="1">IF(H3&gt;0,I3/H3*100-100,"-")</f>
        <v>-2.7023894215020761</v>
      </c>
      <c r="L3" s="56">
        <f>Entrate_Uscite!X4</f>
        <v>45687617.310000002</v>
      </c>
      <c r="M3" s="58">
        <f t="shared" ref="M3:M21" si="2">IF(I3&gt;0,L3/I3*100,"-")</f>
        <v>84.776810079595279</v>
      </c>
    </row>
    <row r="4" spans="1:13" x14ac:dyDescent="0.3">
      <c r="A4" s="55" t="s">
        <v>22</v>
      </c>
      <c r="B4" s="56">
        <f>Entrate_Uscite!B5</f>
        <v>81254068.959999993</v>
      </c>
      <c r="C4" s="56">
        <f>Entrate_Uscite!E5</f>
        <v>73118118.280000001</v>
      </c>
      <c r="D4" s="56">
        <f>Entrate_Uscite!H5</f>
        <v>74037267.859999999</v>
      </c>
      <c r="E4" s="56">
        <f>Entrate_Uscite!K5</f>
        <v>67337737.420000002</v>
      </c>
      <c r="F4" s="56">
        <f>Entrate_Uscite!N5</f>
        <v>52688544.469999999</v>
      </c>
      <c r="G4" s="56">
        <f>Entrate_Uscite!Q5</f>
        <v>55055222.329999998</v>
      </c>
      <c r="H4" s="56">
        <f>Entrate_Uscite!T5</f>
        <v>97945622.170000002</v>
      </c>
      <c r="I4" s="56">
        <f>Entrate_Uscite!W5</f>
        <v>102674190.34</v>
      </c>
      <c r="J4" s="56">
        <f t="shared" si="0"/>
        <v>26.192446740553649</v>
      </c>
      <c r="K4" s="57">
        <f t="shared" si="1"/>
        <v>4.8277483620378945</v>
      </c>
      <c r="L4" s="56">
        <f>Entrate_Uscite!X5</f>
        <v>60968767.359999999</v>
      </c>
      <c r="M4" s="58">
        <f t="shared" si="2"/>
        <v>59.380811436744949</v>
      </c>
    </row>
    <row r="5" spans="1:13" x14ac:dyDescent="0.3">
      <c r="A5" s="4" t="s">
        <v>31</v>
      </c>
      <c r="B5" s="43">
        <f t="shared" ref="B5:I5" si="3">SUM(B2:B4)</f>
        <v>283356227.11000001</v>
      </c>
      <c r="C5" s="43">
        <f t="shared" si="3"/>
        <v>267868146.94999999</v>
      </c>
      <c r="D5" s="43">
        <f t="shared" si="3"/>
        <v>278373513.23000002</v>
      </c>
      <c r="E5" s="43">
        <f t="shared" si="3"/>
        <v>282138676.87</v>
      </c>
      <c r="F5" s="43">
        <f t="shared" si="3"/>
        <v>298442108.48000002</v>
      </c>
      <c r="G5" s="43">
        <f t="shared" ref="G5:H5" si="4">SUM(G2:G4)</f>
        <v>321944263.38999999</v>
      </c>
      <c r="H5" s="43">
        <f t="shared" si="4"/>
        <v>333003219.78000003</v>
      </c>
      <c r="I5" s="43">
        <f t="shared" si="3"/>
        <v>335547069.27999997</v>
      </c>
      <c r="J5" s="43">
        <f t="shared" si="0"/>
        <v>85.598909637968745</v>
      </c>
      <c r="K5" s="44">
        <f t="shared" si="1"/>
        <v>0.7639113825027124</v>
      </c>
      <c r="L5" s="43">
        <f>SUM(L2:L4)</f>
        <v>246565313.56999999</v>
      </c>
      <c r="M5" s="45">
        <f>IF(I5&gt;0,L5/I5*100,"-")</f>
        <v>73.481587575497969</v>
      </c>
    </row>
    <row r="6" spans="1:13" x14ac:dyDescent="0.3">
      <c r="A6" s="55" t="s">
        <v>23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Entrate_Uscite!N6</f>
        <v>0</v>
      </c>
      <c r="G6" s="56">
        <f>Entrate_Uscite!Q6</f>
        <v>0</v>
      </c>
      <c r="H6" s="56">
        <f>Entrate_Uscite!T6</f>
        <v>0</v>
      </c>
      <c r="I6" s="56">
        <f>Entrate_Uscite!W6</f>
        <v>0</v>
      </c>
      <c r="J6" s="56">
        <f t="shared" si="0"/>
        <v>0</v>
      </c>
      <c r="K6" s="57" t="str">
        <f t="shared" si="1"/>
        <v>-</v>
      </c>
      <c r="L6" s="56">
        <f>Entrate_Uscite!X6</f>
        <v>0</v>
      </c>
      <c r="M6" s="58" t="str">
        <f t="shared" si="2"/>
        <v>-</v>
      </c>
    </row>
    <row r="7" spans="1:13" x14ac:dyDescent="0.3">
      <c r="A7" s="55" t="s">
        <v>24</v>
      </c>
      <c r="B7" s="56">
        <f>Entrate_Uscite!B7</f>
        <v>19345451.510000002</v>
      </c>
      <c r="C7" s="56">
        <f>Entrate_Uscite!E7</f>
        <v>5626823.2999999998</v>
      </c>
      <c r="D7" s="56">
        <f>Entrate_Uscite!H7</f>
        <v>14063601.1</v>
      </c>
      <c r="E7" s="56">
        <f>Entrate_Uscite!K7</f>
        <v>27815130.859999999</v>
      </c>
      <c r="F7" s="56">
        <f>Entrate_Uscite!N7</f>
        <v>18219463.170000002</v>
      </c>
      <c r="G7" s="56">
        <f>Entrate_Uscite!Q7</f>
        <v>28840349.73</v>
      </c>
      <c r="H7" s="56">
        <f>Entrate_Uscite!T7</f>
        <v>95815535.230000004</v>
      </c>
      <c r="I7" s="56">
        <f>Entrate_Uscite!W7</f>
        <v>45292488.399999999</v>
      </c>
      <c r="J7" s="56">
        <f t="shared" si="0"/>
        <v>11.554228830397454</v>
      </c>
      <c r="K7" s="57">
        <f t="shared" si="1"/>
        <v>-52.729493926764768</v>
      </c>
      <c r="L7" s="56">
        <f>Entrate_Uscite!X7</f>
        <v>4984264.7300000004</v>
      </c>
      <c r="M7" s="58">
        <f t="shared" si="2"/>
        <v>11.004616672816768</v>
      </c>
    </row>
    <row r="8" spans="1:13" x14ac:dyDescent="0.3">
      <c r="A8" s="55" t="s">
        <v>25</v>
      </c>
      <c r="B8" s="56">
        <f>Entrate_Uscite!B8</f>
        <v>40214.370000000003</v>
      </c>
      <c r="C8" s="56">
        <f>Entrate_Uscite!E8</f>
        <v>19291.77</v>
      </c>
      <c r="D8" s="56">
        <f>Entrate_Uscite!H8</f>
        <v>283329.19</v>
      </c>
      <c r="E8" s="56">
        <f>Entrate_Uscite!K8</f>
        <v>71247</v>
      </c>
      <c r="F8" s="56">
        <f>Entrate_Uscite!N8</f>
        <v>415571.77</v>
      </c>
      <c r="G8" s="56">
        <f>Entrate_Uscite!Q8</f>
        <v>502218.05</v>
      </c>
      <c r="H8" s="56">
        <f>Entrate_Uscite!T8</f>
        <v>44801.95</v>
      </c>
      <c r="I8" s="56">
        <f>Entrate_Uscite!W8</f>
        <v>254416</v>
      </c>
      <c r="J8" s="56">
        <f t="shared" si="0"/>
        <v>6.4902167797748961E-2</v>
      </c>
      <c r="K8" s="57">
        <f t="shared" si="1"/>
        <v>467.86813966802788</v>
      </c>
      <c r="L8" s="56">
        <f>Entrate_Uscite!X8</f>
        <v>7416</v>
      </c>
      <c r="M8" s="58">
        <f t="shared" si="2"/>
        <v>2.9149110118860446</v>
      </c>
    </row>
    <row r="9" spans="1:13" x14ac:dyDescent="0.3">
      <c r="A9" s="55" t="s">
        <v>26</v>
      </c>
      <c r="B9" s="56">
        <f>Entrate_Uscite!B9</f>
        <v>1317389.6499999999</v>
      </c>
      <c r="C9" s="56">
        <f>Entrate_Uscite!E9</f>
        <v>2138823.56</v>
      </c>
      <c r="D9" s="56">
        <f>Entrate_Uscite!H9</f>
        <v>38687052.009999998</v>
      </c>
      <c r="E9" s="56">
        <f>Entrate_Uscite!K9</f>
        <v>2259438.85</v>
      </c>
      <c r="F9" s="56">
        <f>Entrate_Uscite!N9</f>
        <v>1631886.64</v>
      </c>
      <c r="G9" s="56">
        <f>Entrate_Uscite!Q9</f>
        <v>14355565.48</v>
      </c>
      <c r="H9" s="56">
        <f>Entrate_Uscite!T9</f>
        <v>3179216.89</v>
      </c>
      <c r="I9" s="56">
        <f>Entrate_Uscite!W9</f>
        <v>2115289.9700000002</v>
      </c>
      <c r="J9" s="56">
        <f t="shared" si="0"/>
        <v>0.53961584402645824</v>
      </c>
      <c r="K9" s="57">
        <f t="shared" si="1"/>
        <v>-33.465062523620389</v>
      </c>
      <c r="L9" s="56">
        <f>Entrate_Uscite!X9</f>
        <v>1979732.71</v>
      </c>
      <c r="M9" s="58">
        <f t="shared" si="2"/>
        <v>93.591551894892206</v>
      </c>
    </row>
    <row r="10" spans="1:13" x14ac:dyDescent="0.3">
      <c r="A10" s="55" t="s">
        <v>27</v>
      </c>
      <c r="B10" s="56">
        <f>Entrate_Uscite!B10</f>
        <v>4613680.33</v>
      </c>
      <c r="C10" s="56">
        <f>Entrate_Uscite!E10</f>
        <v>5582355.4800000004</v>
      </c>
      <c r="D10" s="56">
        <f>Entrate_Uscite!H10</f>
        <v>7087164.3899999997</v>
      </c>
      <c r="E10" s="56">
        <f>Entrate_Uscite!K10</f>
        <v>10031967.640000001</v>
      </c>
      <c r="F10" s="56">
        <f>Entrate_Uscite!N10</f>
        <v>5405762.1699999999</v>
      </c>
      <c r="G10" s="56">
        <f>Entrate_Uscite!Q10</f>
        <v>7520131.29</v>
      </c>
      <c r="H10" s="56">
        <f>Entrate_Uscite!T10</f>
        <v>10733650.43</v>
      </c>
      <c r="I10" s="56">
        <f>Entrate_Uscite!W10</f>
        <v>8789969.4000000004</v>
      </c>
      <c r="J10" s="56">
        <f t="shared" si="0"/>
        <v>2.2423435198095985</v>
      </c>
      <c r="K10" s="57">
        <f t="shared" si="1"/>
        <v>-18.108294495668602</v>
      </c>
      <c r="L10" s="56">
        <f>Entrate_Uscite!X10</f>
        <v>8514174.4199999999</v>
      </c>
      <c r="M10" s="58">
        <f t="shared" si="2"/>
        <v>96.862389759855134</v>
      </c>
    </row>
    <row r="11" spans="1:13" x14ac:dyDescent="0.3">
      <c r="A11" s="4" t="s">
        <v>32</v>
      </c>
      <c r="B11" s="46">
        <f t="shared" ref="B11:I11" si="5">SUM(B6:B10)</f>
        <v>25316735.859999999</v>
      </c>
      <c r="C11" s="46">
        <f t="shared" si="5"/>
        <v>13367294.109999999</v>
      </c>
      <c r="D11" s="46">
        <f t="shared" si="5"/>
        <v>60121146.689999998</v>
      </c>
      <c r="E11" s="46">
        <f t="shared" si="5"/>
        <v>40177784.350000001</v>
      </c>
      <c r="F11" s="46">
        <f t="shared" si="5"/>
        <v>25672683.75</v>
      </c>
      <c r="G11" s="46">
        <f t="shared" ref="G11" si="6">SUM(G6:G10)</f>
        <v>51218264.550000004</v>
      </c>
      <c r="H11" s="46">
        <f t="shared" ref="H11" si="7">SUM(H6:H10)</f>
        <v>109773204.5</v>
      </c>
      <c r="I11" s="46">
        <f t="shared" si="5"/>
        <v>56452163.769999996</v>
      </c>
      <c r="J11" s="46">
        <f t="shared" si="0"/>
        <v>14.401090362031258</v>
      </c>
      <c r="K11" s="44">
        <f t="shared" si="1"/>
        <v>-48.573821792730854</v>
      </c>
      <c r="L11" s="46">
        <f>SUM(L6:L10)</f>
        <v>15485587.859999999</v>
      </c>
      <c r="M11" s="45">
        <f>IF(I11&gt;0,L11/I11*100,"-")</f>
        <v>27.431345099706178</v>
      </c>
    </row>
    <row r="12" spans="1:13" x14ac:dyDescent="0.3">
      <c r="A12" s="55" t="s">
        <v>28</v>
      </c>
      <c r="B12" s="56">
        <f>Entrate_Uscite!B11</f>
        <v>19995054.899999999</v>
      </c>
      <c r="C12" s="56">
        <f>Entrate_Uscite!E11</f>
        <v>23543822.34</v>
      </c>
      <c r="D12" s="56">
        <f>Entrate_Uscite!H11</f>
        <v>0</v>
      </c>
      <c r="E12" s="56">
        <f>Entrate_Uscite!K11</f>
        <v>0</v>
      </c>
      <c r="F12" s="56">
        <f>Entrate_Uscite!N11</f>
        <v>0</v>
      </c>
      <c r="G12" s="56">
        <f>Entrate_Uscite!Q11</f>
        <v>0</v>
      </c>
      <c r="H12" s="56">
        <f>Entrate_Uscite!T11</f>
        <v>0</v>
      </c>
      <c r="I12" s="56">
        <f>Entrate_Uscite!W11</f>
        <v>0</v>
      </c>
      <c r="J12" s="56">
        <f t="shared" si="0"/>
        <v>0</v>
      </c>
      <c r="K12" s="57" t="str">
        <f t="shared" si="1"/>
        <v>-</v>
      </c>
      <c r="L12" s="56">
        <f>Entrate_Uscite!X11</f>
        <v>0</v>
      </c>
      <c r="M12" s="58" t="str">
        <f t="shared" si="2"/>
        <v>-</v>
      </c>
    </row>
    <row r="13" spans="1:13" x14ac:dyDescent="0.3">
      <c r="A13" s="55" t="s">
        <v>29</v>
      </c>
      <c r="B13" s="56">
        <f>Entrate_Uscite!B12</f>
        <v>5619326.0099999998</v>
      </c>
      <c r="C13" s="56">
        <f>Entrate_Uscite!E12</f>
        <v>0</v>
      </c>
      <c r="D13" s="56">
        <f>Entrate_Uscite!H12</f>
        <v>0</v>
      </c>
      <c r="E13" s="56">
        <f>Entrate_Uscite!K12</f>
        <v>3673382.35</v>
      </c>
      <c r="F13" s="56">
        <f>Entrate_Uscite!N12</f>
        <v>4408556.45</v>
      </c>
      <c r="G13" s="56">
        <f>Entrate_Uscite!Q12</f>
        <v>0</v>
      </c>
      <c r="H13" s="56">
        <f>Entrate_Uscite!T12</f>
        <v>0</v>
      </c>
      <c r="I13" s="56">
        <f>Entrate_Uscite!W12</f>
        <v>0</v>
      </c>
      <c r="J13" s="56">
        <f t="shared" si="0"/>
        <v>0</v>
      </c>
      <c r="K13" s="57" t="str">
        <f t="shared" si="1"/>
        <v>-</v>
      </c>
      <c r="L13" s="56">
        <f>Entrate_Uscite!X12</f>
        <v>0</v>
      </c>
      <c r="M13" s="58" t="str">
        <f t="shared" si="2"/>
        <v>-</v>
      </c>
    </row>
    <row r="14" spans="1:13" x14ac:dyDescent="0.3">
      <c r="A14" s="55" t="s">
        <v>30</v>
      </c>
      <c r="B14" s="56">
        <f>Entrate_Uscite!B13</f>
        <v>0</v>
      </c>
      <c r="C14" s="56">
        <f>Entrate_Uscite!E13</f>
        <v>0</v>
      </c>
      <c r="D14" s="56">
        <f>Entrate_Uscite!H13</f>
        <v>0</v>
      </c>
      <c r="E14" s="56">
        <f>Entrate_Uscite!K13</f>
        <v>0</v>
      </c>
      <c r="F14" s="56">
        <f>Entrate_Uscite!N13</f>
        <v>0</v>
      </c>
      <c r="G14" s="56">
        <f>Entrate_Uscite!Q13</f>
        <v>2944208.24</v>
      </c>
      <c r="H14" s="56">
        <f>Entrate_Uscite!T13</f>
        <v>0</v>
      </c>
      <c r="I14" s="56">
        <f>Entrate_Uscite!W13</f>
        <v>0</v>
      </c>
      <c r="J14" s="56">
        <f t="shared" si="0"/>
        <v>0</v>
      </c>
      <c r="K14" s="57" t="str">
        <f t="shared" si="1"/>
        <v>-</v>
      </c>
      <c r="L14" s="56">
        <f>Entrate_Uscite!X13</f>
        <v>0</v>
      </c>
      <c r="M14" s="58" t="str">
        <f t="shared" si="2"/>
        <v>-</v>
      </c>
    </row>
    <row r="15" spans="1:13" x14ac:dyDescent="0.3">
      <c r="A15" s="4" t="s">
        <v>33</v>
      </c>
      <c r="B15" s="43">
        <f t="shared" ref="B15:I15" si="8">SUM(B12:B14)</f>
        <v>25614380.909999996</v>
      </c>
      <c r="C15" s="43">
        <f t="shared" si="8"/>
        <v>23543822.34</v>
      </c>
      <c r="D15" s="43">
        <f t="shared" si="8"/>
        <v>0</v>
      </c>
      <c r="E15" s="43">
        <f t="shared" si="8"/>
        <v>3673382.35</v>
      </c>
      <c r="F15" s="43">
        <f t="shared" si="8"/>
        <v>4408556.45</v>
      </c>
      <c r="G15" s="43">
        <f t="shared" ref="G15" si="9">SUM(G12:G14)</f>
        <v>2944208.24</v>
      </c>
      <c r="H15" s="43">
        <f t="shared" ref="H15" si="10">SUM(H12:H14)</f>
        <v>0</v>
      </c>
      <c r="I15" s="43">
        <f t="shared" si="8"/>
        <v>0</v>
      </c>
      <c r="J15" s="43">
        <f t="shared" si="0"/>
        <v>0</v>
      </c>
      <c r="K15" s="44" t="str">
        <f t="shared" si="1"/>
        <v>-</v>
      </c>
      <c r="L15" s="43">
        <f>SUM(L12:L14)</f>
        <v>0</v>
      </c>
      <c r="M15" s="45" t="str">
        <f t="shared" si="2"/>
        <v>-</v>
      </c>
    </row>
    <row r="16" spans="1:13" x14ac:dyDescent="0.3">
      <c r="A16" s="47" t="s">
        <v>348</v>
      </c>
      <c r="B16" s="48">
        <f>B5+B11+B15</f>
        <v>334287343.88</v>
      </c>
      <c r="C16" s="48">
        <f t="shared" ref="C16:I16" si="11">C5+C11+C15</f>
        <v>304779263.39999998</v>
      </c>
      <c r="D16" s="48">
        <f t="shared" si="11"/>
        <v>338494659.92000002</v>
      </c>
      <c r="E16" s="48">
        <f t="shared" si="11"/>
        <v>325989843.57000005</v>
      </c>
      <c r="F16" s="48">
        <f t="shared" ref="F16:H16" si="12">F5+F11+F15</f>
        <v>328523348.68000001</v>
      </c>
      <c r="G16" s="48">
        <f t="shared" si="12"/>
        <v>376106736.18000001</v>
      </c>
      <c r="H16" s="48">
        <f t="shared" si="12"/>
        <v>442776424.28000003</v>
      </c>
      <c r="I16" s="48">
        <f t="shared" si="11"/>
        <v>391999233.04999995</v>
      </c>
      <c r="J16" s="48">
        <f t="shared" si="0"/>
        <v>100</v>
      </c>
      <c r="K16" s="49">
        <f t="shared" si="1"/>
        <v>-11.467907604287873</v>
      </c>
      <c r="L16" s="48">
        <f t="shared" ref="L16" si="13">L5+L11+L15</f>
        <v>262050901.43000001</v>
      </c>
      <c r="M16" s="50">
        <f t="shared" si="2"/>
        <v>66.849850544624687</v>
      </c>
    </row>
    <row r="17" spans="1:13" x14ac:dyDescent="0.3">
      <c r="A17" s="4" t="s">
        <v>34</v>
      </c>
      <c r="B17" s="43">
        <f>Entrate_Uscite!B17</f>
        <v>10169326.01</v>
      </c>
      <c r="C17" s="43">
        <f>Entrate_Uscite!E17</f>
        <v>4150000</v>
      </c>
      <c r="D17" s="43">
        <f>Entrate_Uscite!H17</f>
        <v>0</v>
      </c>
      <c r="E17" s="43">
        <f>Entrate_Uscite!K17</f>
        <v>6673382.3499999996</v>
      </c>
      <c r="F17" s="43">
        <f>Entrate_Uscite!N17</f>
        <v>4408556.45</v>
      </c>
      <c r="G17" s="43">
        <f>Entrate_Uscite!Q17</f>
        <v>4244208.24</v>
      </c>
      <c r="H17" s="43">
        <f>Entrate_Uscite!T17</f>
        <v>0</v>
      </c>
      <c r="I17" s="43">
        <f>Entrate_Uscite!W17</f>
        <v>0</v>
      </c>
      <c r="J17" s="43">
        <f t="shared" si="0"/>
        <v>0</v>
      </c>
      <c r="K17" s="44" t="str">
        <f t="shared" si="1"/>
        <v>-</v>
      </c>
      <c r="L17" s="43">
        <f>Entrate_Uscite!X17</f>
        <v>0</v>
      </c>
      <c r="M17" s="45" t="str">
        <f t="shared" si="2"/>
        <v>-</v>
      </c>
    </row>
    <row r="18" spans="1:13" x14ac:dyDescent="0.3">
      <c r="A18" s="4" t="s">
        <v>35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>Entrate_Uscite!Q18</f>
        <v>0</v>
      </c>
      <c r="H18" s="43">
        <f>Entrate_Uscite!T18</f>
        <v>0</v>
      </c>
      <c r="I18" s="43">
        <f>Entrate_Uscite!W18</f>
        <v>0</v>
      </c>
      <c r="J18" s="43">
        <f t="shared" si="0"/>
        <v>0</v>
      </c>
      <c r="K18" s="44" t="str">
        <f t="shared" si="1"/>
        <v>-</v>
      </c>
      <c r="L18" s="43">
        <f>Entrate_Uscite!X18</f>
        <v>0</v>
      </c>
      <c r="M18" s="45" t="str">
        <f t="shared" si="2"/>
        <v>-</v>
      </c>
    </row>
    <row r="19" spans="1:13" x14ac:dyDescent="0.3">
      <c r="A19" s="4" t="s">
        <v>36</v>
      </c>
      <c r="B19" s="43">
        <f>Entrate_Uscite!B19</f>
        <v>38001509.490000002</v>
      </c>
      <c r="C19" s="43">
        <f>Entrate_Uscite!E19</f>
        <v>37735685.399999999</v>
      </c>
      <c r="D19" s="43">
        <f>Entrate_Uscite!H19</f>
        <v>43831164.18</v>
      </c>
      <c r="E19" s="43">
        <f>Entrate_Uscite!K19</f>
        <v>49643451.420000002</v>
      </c>
      <c r="F19" s="43">
        <f>Entrate_Uscite!N19</f>
        <v>46623390.630000003</v>
      </c>
      <c r="G19" s="43">
        <f>Entrate_Uscite!Q19</f>
        <v>43138419.109999999</v>
      </c>
      <c r="H19" s="43">
        <f>Entrate_Uscite!T19</f>
        <v>108443397.95999999</v>
      </c>
      <c r="I19" s="43">
        <f>Entrate_Uscite!W19</f>
        <v>58153195.210000001</v>
      </c>
      <c r="J19" s="43"/>
      <c r="K19" s="44">
        <f t="shared" si="1"/>
        <v>-46.374609885011019</v>
      </c>
      <c r="L19" s="43">
        <f>Entrate_Uscite!X19</f>
        <v>49181940.329999998</v>
      </c>
      <c r="M19" s="45">
        <f t="shared" si="2"/>
        <v>84.57306628190689</v>
      </c>
    </row>
    <row r="20" spans="1:13" x14ac:dyDescent="0.3">
      <c r="A20" s="47" t="s">
        <v>37</v>
      </c>
      <c r="B20" s="48">
        <f t="shared" ref="B20:I20" si="14">B5+B11+B15+B17+B18+B19</f>
        <v>382458179.38</v>
      </c>
      <c r="C20" s="48">
        <f t="shared" si="14"/>
        <v>346664948.79999995</v>
      </c>
      <c r="D20" s="48">
        <f t="shared" si="14"/>
        <v>382325824.10000002</v>
      </c>
      <c r="E20" s="48">
        <f t="shared" si="14"/>
        <v>382306677.34000009</v>
      </c>
      <c r="F20" s="48">
        <f t="shared" si="14"/>
        <v>379555295.75999999</v>
      </c>
      <c r="G20" s="48">
        <f t="shared" ref="G20:H20" si="15">G5+G11+G15+G17+G18+G19</f>
        <v>423489363.53000003</v>
      </c>
      <c r="H20" s="48">
        <f t="shared" si="15"/>
        <v>551219822.24000001</v>
      </c>
      <c r="I20" s="48">
        <f t="shared" si="14"/>
        <v>450152428.25999993</v>
      </c>
      <c r="J20" s="48"/>
      <c r="K20" s="49">
        <f t="shared" si="1"/>
        <v>-18.335224878033415</v>
      </c>
      <c r="L20" s="48">
        <f>L5+L11+L15+L17+L18+L19</f>
        <v>311232841.75999999</v>
      </c>
      <c r="M20" s="50">
        <f t="shared" si="2"/>
        <v>69.139434160785541</v>
      </c>
    </row>
    <row r="21" spans="1:13" x14ac:dyDescent="0.3">
      <c r="A21" s="38" t="s">
        <v>38</v>
      </c>
      <c r="B21" s="51">
        <f t="shared" ref="B21:I21" si="16">B20-B19</f>
        <v>344456669.88999999</v>
      </c>
      <c r="C21" s="51">
        <f t="shared" si="16"/>
        <v>308929263.39999998</v>
      </c>
      <c r="D21" s="51">
        <f t="shared" si="16"/>
        <v>338494659.92000002</v>
      </c>
      <c r="E21" s="51">
        <f t="shared" si="16"/>
        <v>332663225.92000008</v>
      </c>
      <c r="F21" s="51">
        <f t="shared" si="16"/>
        <v>332931905.13</v>
      </c>
      <c r="G21" s="51">
        <f t="shared" ref="G21:H21" si="17">G20-G19</f>
        <v>380350944.42000002</v>
      </c>
      <c r="H21" s="51">
        <f t="shared" si="17"/>
        <v>442776424.28000003</v>
      </c>
      <c r="I21" s="51">
        <f t="shared" si="16"/>
        <v>391999233.04999995</v>
      </c>
      <c r="J21" s="51">
        <f t="shared" si="0"/>
        <v>100</v>
      </c>
      <c r="K21" s="52">
        <f t="shared" si="1"/>
        <v>-11.467907604287873</v>
      </c>
      <c r="L21" s="51">
        <f>L20-L19</f>
        <v>262050901.43000001</v>
      </c>
      <c r="M21" s="53">
        <f t="shared" si="2"/>
        <v>66.849850544624687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opLeftCell="B1" workbookViewId="0">
      <selection activeCell="K1" sqref="K1:K31"/>
    </sheetView>
  </sheetViews>
  <sheetFormatPr defaultRowHeight="14.4" x14ac:dyDescent="0.3"/>
  <cols>
    <col min="1" max="1" width="50.6640625" bestFit="1" customWidth="1"/>
    <col min="2" max="9" width="12.44140625" bestFit="1" customWidth="1"/>
    <col min="10" max="10" width="8.5546875" customWidth="1"/>
    <col min="11" max="11" width="6.5546875" bestFit="1" customWidth="1"/>
    <col min="12" max="12" width="12.44140625" bestFit="1" customWidth="1"/>
    <col min="13" max="13" width="7" bestFit="1" customWidth="1"/>
  </cols>
  <sheetData>
    <row r="1" spans="1:13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367</v>
      </c>
      <c r="M1" s="42" t="s">
        <v>339</v>
      </c>
    </row>
    <row r="2" spans="1:13" x14ac:dyDescent="0.3">
      <c r="A2" s="59" t="s">
        <v>270</v>
      </c>
      <c r="B2" s="56">
        <f>Entrate_Uscite!B23</f>
        <v>69936222.909999996</v>
      </c>
      <c r="C2" s="56">
        <f>Entrate_Uscite!E23</f>
        <v>68650691.760000005</v>
      </c>
      <c r="D2" s="56">
        <f>Entrate_Uscite!H23</f>
        <v>71068013.109999999</v>
      </c>
      <c r="E2" s="56">
        <f>Entrate_Uscite!K23</f>
        <v>70606670.560000002</v>
      </c>
      <c r="F2" s="56">
        <f>Entrate_Uscite!N23</f>
        <v>71563525.540000007</v>
      </c>
      <c r="G2" s="56">
        <f>Entrate_Uscite!Q23</f>
        <v>72540836.530000001</v>
      </c>
      <c r="H2" s="56">
        <f>Entrate_Uscite!T23</f>
        <v>77710157.530000001</v>
      </c>
      <c r="I2" s="56">
        <f>Entrate_Uscite!W23</f>
        <v>75490961.590000004</v>
      </c>
      <c r="J2" s="56">
        <f>I2/I$31*100</f>
        <v>21.692675160354888</v>
      </c>
      <c r="K2" s="57">
        <f>IF(H2&gt;0,I2/H2*100-100,"-")</f>
        <v>-2.8557347077095727</v>
      </c>
      <c r="L2" s="56">
        <f>Entrate_Uscite!X23</f>
        <v>73603436.280000001</v>
      </c>
      <c r="M2" s="58">
        <f>IF(I2&gt;0,L2/I2*100,"-")</f>
        <v>97.499667151875258</v>
      </c>
    </row>
    <row r="3" spans="1:13" x14ac:dyDescent="0.3">
      <c r="A3" s="59" t="s">
        <v>271</v>
      </c>
      <c r="B3" s="56">
        <f>Entrate_Uscite!B24</f>
        <v>4783963.91</v>
      </c>
      <c r="C3" s="56">
        <f>Entrate_Uscite!E24</f>
        <v>4730004.87</v>
      </c>
      <c r="D3" s="56">
        <f>Entrate_Uscite!H24</f>
        <v>7147728.1399999997</v>
      </c>
      <c r="E3" s="56">
        <f>Entrate_Uscite!K24</f>
        <v>4809018.47</v>
      </c>
      <c r="F3" s="56">
        <f>Entrate_Uscite!N24</f>
        <v>5601611.75</v>
      </c>
      <c r="G3" s="56">
        <f>Entrate_Uscite!Q24</f>
        <v>4972516.97</v>
      </c>
      <c r="H3" s="56">
        <f>Entrate_Uscite!T24</f>
        <v>5244731.66</v>
      </c>
      <c r="I3" s="56">
        <f>Entrate_Uscite!W24</f>
        <v>5495249.4100000001</v>
      </c>
      <c r="J3" s="56">
        <f t="shared" ref="J3:J31" si="0">I3/I$31*100</f>
        <v>1.5790852025926863</v>
      </c>
      <c r="K3" s="57">
        <f t="shared" ref="K3:K31" si="1">IF(H3&gt;0,I3/H3*100-100,"-")</f>
        <v>4.7765599126953191</v>
      </c>
      <c r="L3" s="56">
        <f>Entrate_Uscite!X24</f>
        <v>5218380.38</v>
      </c>
      <c r="M3" s="58">
        <f>IF(I3&gt;0,L3/I3*100,"-")</f>
        <v>94.961665807266783</v>
      </c>
    </row>
    <row r="4" spans="1:13" x14ac:dyDescent="0.3">
      <c r="A4" s="59" t="s">
        <v>272</v>
      </c>
      <c r="B4" s="56">
        <f>Entrate_Uscite!B25</f>
        <v>134514929.53</v>
      </c>
      <c r="C4" s="56">
        <f>Entrate_Uscite!E25</f>
        <v>139218846.41999999</v>
      </c>
      <c r="D4" s="56">
        <f>Entrate_Uscite!H25</f>
        <v>143890803.28999999</v>
      </c>
      <c r="E4" s="56">
        <f>Entrate_Uscite!K25</f>
        <v>149745346.74000001</v>
      </c>
      <c r="F4" s="56">
        <f>Entrate_Uscite!N25</f>
        <v>139888077.25</v>
      </c>
      <c r="G4" s="56">
        <f>Entrate_Uscite!Q25</f>
        <v>148348418.37</v>
      </c>
      <c r="H4" s="56">
        <f>Entrate_Uscite!T25</f>
        <v>160298221.94</v>
      </c>
      <c r="I4" s="56">
        <f>Entrate_Uscite!W25</f>
        <v>160200850.43000001</v>
      </c>
      <c r="J4" s="56">
        <f t="shared" si="0"/>
        <v>46.034451483936778</v>
      </c>
      <c r="K4" s="57">
        <f t="shared" si="1"/>
        <v>-6.0743973839237242E-2</v>
      </c>
      <c r="L4" s="56">
        <f>Entrate_Uscite!X25</f>
        <v>102821047.65000001</v>
      </c>
      <c r="M4" s="58">
        <f t="shared" ref="M4:M9" si="2">IF(I4&gt;0,L4/I4*100,"-")</f>
        <v>64.182585407015551</v>
      </c>
    </row>
    <row r="5" spans="1:13" x14ac:dyDescent="0.3">
      <c r="A5" s="59" t="s">
        <v>273</v>
      </c>
      <c r="B5" s="56">
        <f>Entrate_Uscite!B26</f>
        <v>24981684.32</v>
      </c>
      <c r="C5" s="56">
        <f>Entrate_Uscite!E26</f>
        <v>16755667.810000001</v>
      </c>
      <c r="D5" s="56">
        <f>Entrate_Uscite!H26</f>
        <v>18853385.949999999</v>
      </c>
      <c r="E5" s="56">
        <f>Entrate_Uscite!K26</f>
        <v>19759395.719999999</v>
      </c>
      <c r="F5" s="56">
        <f>Entrate_Uscite!N26</f>
        <v>24690971.829999998</v>
      </c>
      <c r="G5" s="56">
        <f>Entrate_Uscite!Q26</f>
        <v>37530476.789999999</v>
      </c>
      <c r="H5" s="56">
        <f>Entrate_Uscite!T26</f>
        <v>28881757.329999998</v>
      </c>
      <c r="I5" s="56">
        <f>Entrate_Uscite!W26</f>
        <v>32269570.109999999</v>
      </c>
      <c r="J5" s="56">
        <f t="shared" si="0"/>
        <v>9.2728094491944528</v>
      </c>
      <c r="K5" s="57">
        <f t="shared" si="1"/>
        <v>11.729939910827454</v>
      </c>
      <c r="L5" s="56">
        <f>Entrate_Uscite!X26</f>
        <v>22706833.75</v>
      </c>
      <c r="M5" s="58">
        <f t="shared" si="2"/>
        <v>70.366086912832444</v>
      </c>
    </row>
    <row r="6" spans="1:13" x14ac:dyDescent="0.3">
      <c r="A6" s="59" t="s">
        <v>274</v>
      </c>
      <c r="B6" s="56">
        <f>Entrate_Uscite!B27</f>
        <v>3321241.78</v>
      </c>
      <c r="C6" s="56">
        <f>Entrate_Uscite!E27</f>
        <v>3402246.14</v>
      </c>
      <c r="D6" s="56">
        <f>Entrate_Uscite!H27</f>
        <v>3386374.33</v>
      </c>
      <c r="E6" s="56">
        <f>Entrate_Uscite!K27</f>
        <v>3140924.27</v>
      </c>
      <c r="F6" s="56">
        <f>Entrate_Uscite!N27</f>
        <v>3004387.42</v>
      </c>
      <c r="G6" s="56">
        <f>Entrate_Uscite!Q27</f>
        <v>2841250.12</v>
      </c>
      <c r="H6" s="56">
        <f>Entrate_Uscite!T27</f>
        <v>2806982.46</v>
      </c>
      <c r="I6" s="56">
        <f>Entrate_Uscite!W27</f>
        <v>2657167.9300000002</v>
      </c>
      <c r="J6" s="56">
        <f t="shared" si="0"/>
        <v>0.76354943079223025</v>
      </c>
      <c r="K6" s="57">
        <f t="shared" si="1"/>
        <v>-5.3372093390280639</v>
      </c>
      <c r="L6" s="56">
        <f>Entrate_Uscite!X27</f>
        <v>2647918.56</v>
      </c>
      <c r="M6" s="58">
        <f t="shared" si="2"/>
        <v>99.651908714704376</v>
      </c>
    </row>
    <row r="7" spans="1:13" x14ac:dyDescent="0.3">
      <c r="A7" s="59" t="s">
        <v>275</v>
      </c>
      <c r="B7" s="56">
        <f>Entrate_Uscite!B28</f>
        <v>0</v>
      </c>
      <c r="C7" s="56">
        <f>Entrate_Uscite!E28</f>
        <v>40000</v>
      </c>
      <c r="D7" s="56">
        <f>Entrate_Uscite!H28</f>
        <v>31199.8</v>
      </c>
      <c r="E7" s="56">
        <f>Entrate_Uscite!K28</f>
        <v>0</v>
      </c>
      <c r="F7" s="56">
        <f>Entrate_Uscite!N28</f>
        <v>0</v>
      </c>
      <c r="G7" s="56">
        <f>Entrate_Uscite!Q28</f>
        <v>0</v>
      </c>
      <c r="H7" s="56">
        <f>Entrate_Uscite!T28</f>
        <v>0</v>
      </c>
      <c r="I7" s="56">
        <f>Entrate_Uscite!W28</f>
        <v>0</v>
      </c>
      <c r="J7" s="56">
        <f t="shared" si="0"/>
        <v>0</v>
      </c>
      <c r="K7" s="57" t="str">
        <f t="shared" si="1"/>
        <v>-</v>
      </c>
      <c r="L7" s="56">
        <f>Entrate_Uscite!X28</f>
        <v>0</v>
      </c>
      <c r="M7" s="58" t="str">
        <f t="shared" si="2"/>
        <v>-</v>
      </c>
    </row>
    <row r="8" spans="1:13" x14ac:dyDescent="0.3">
      <c r="A8" s="59" t="s">
        <v>276</v>
      </c>
      <c r="B8" s="56">
        <f>Entrate_Uscite!B29</f>
        <v>856107.7</v>
      </c>
      <c r="C8" s="56">
        <f>Entrate_Uscite!E29</f>
        <v>1256476.5</v>
      </c>
      <c r="D8" s="56">
        <f>Entrate_Uscite!H29</f>
        <v>3004758.74</v>
      </c>
      <c r="E8" s="56">
        <f>Entrate_Uscite!K29</f>
        <v>1572419.37</v>
      </c>
      <c r="F8" s="56">
        <f>Entrate_Uscite!N29</f>
        <v>1099591.83</v>
      </c>
      <c r="G8" s="56">
        <f>Entrate_Uscite!Q29</f>
        <v>1688731.86</v>
      </c>
      <c r="H8" s="56">
        <f>Entrate_Uscite!T29</f>
        <v>1313632.78</v>
      </c>
      <c r="I8" s="56">
        <f>Entrate_Uscite!W29</f>
        <v>1491982.19</v>
      </c>
      <c r="J8" s="56">
        <f t="shared" si="0"/>
        <v>0.42872794717443585</v>
      </c>
      <c r="K8" s="57">
        <f t="shared" si="1"/>
        <v>13.576808733411781</v>
      </c>
      <c r="L8" s="56">
        <f>Entrate_Uscite!X29</f>
        <v>168630.81</v>
      </c>
      <c r="M8" s="58">
        <f t="shared" si="2"/>
        <v>11.302468027450113</v>
      </c>
    </row>
    <row r="9" spans="1:13" x14ac:dyDescent="0.3">
      <c r="A9" s="59" t="s">
        <v>277</v>
      </c>
      <c r="B9" s="56">
        <f>Entrate_Uscite!B30</f>
        <v>3712106.88</v>
      </c>
      <c r="C9" s="56">
        <f>Entrate_Uscite!E30</f>
        <v>3013964.4</v>
      </c>
      <c r="D9" s="56">
        <f>Entrate_Uscite!H30</f>
        <v>3143346.26</v>
      </c>
      <c r="E9" s="56">
        <f>Entrate_Uscite!K30</f>
        <v>3255455.28</v>
      </c>
      <c r="F9" s="56">
        <f>Entrate_Uscite!N30</f>
        <v>2981458.56</v>
      </c>
      <c r="G9" s="56">
        <f>Entrate_Uscite!Q30</f>
        <v>3434101.12</v>
      </c>
      <c r="H9" s="56">
        <f>Entrate_Uscite!T30</f>
        <v>3063074.7</v>
      </c>
      <c r="I9" s="56">
        <f>Entrate_Uscite!W30</f>
        <v>2822754.55</v>
      </c>
      <c r="J9" s="56">
        <f t="shared" si="0"/>
        <v>0.81113150794299915</v>
      </c>
      <c r="K9" s="57">
        <f t="shared" si="1"/>
        <v>-7.8457162667302924</v>
      </c>
      <c r="L9" s="56">
        <f>Entrate_Uscite!X30</f>
        <v>2078813.25</v>
      </c>
      <c r="M9" s="58">
        <f t="shared" si="2"/>
        <v>73.644846308014991</v>
      </c>
    </row>
    <row r="10" spans="1:13" x14ac:dyDescent="0.3">
      <c r="A10" s="4" t="s">
        <v>282</v>
      </c>
      <c r="B10" s="43">
        <f t="shared" ref="B10:I10" si="3">SUM(B2:B9)</f>
        <v>242106257.02999997</v>
      </c>
      <c r="C10" s="43">
        <f t="shared" si="3"/>
        <v>237067897.90000001</v>
      </c>
      <c r="D10" s="43">
        <f t="shared" si="3"/>
        <v>250525609.62</v>
      </c>
      <c r="E10" s="43">
        <f t="shared" si="3"/>
        <v>252889230.41000003</v>
      </c>
      <c r="F10" s="43">
        <f t="shared" si="3"/>
        <v>248829624.18000001</v>
      </c>
      <c r="G10" s="43">
        <f t="shared" ref="G10" si="4">SUM(G2:G9)</f>
        <v>271356331.75999999</v>
      </c>
      <c r="H10" s="43">
        <f t="shared" ref="H10" si="5">SUM(H2:H9)</f>
        <v>279318558.39999992</v>
      </c>
      <c r="I10" s="43">
        <f t="shared" si="3"/>
        <v>280428536.21000004</v>
      </c>
      <c r="J10" s="43">
        <f t="shared" si="0"/>
        <v>80.582430181988471</v>
      </c>
      <c r="K10" s="44">
        <f t="shared" si="1"/>
        <v>0.39738777700928551</v>
      </c>
      <c r="L10" s="43">
        <f>SUM(L2:L9)</f>
        <v>209245060.68000001</v>
      </c>
      <c r="M10" s="45">
        <f t="shared" ref="M10:M17" si="6">IF(I10&gt;0,L10/I10*100,"-")</f>
        <v>74.616179761144565</v>
      </c>
    </row>
    <row r="11" spans="1:13" x14ac:dyDescent="0.3">
      <c r="A11" s="59" t="s">
        <v>278</v>
      </c>
      <c r="B11" s="56">
        <f>Entrate_Uscite!B32</f>
        <v>19780302.84</v>
      </c>
      <c r="C11" s="56">
        <f>Entrate_Uscite!E32</f>
        <v>22666155.350000001</v>
      </c>
      <c r="D11" s="56">
        <f>Entrate_Uscite!H32</f>
        <v>30741528.940000001</v>
      </c>
      <c r="E11" s="56">
        <f>Entrate_Uscite!K32</f>
        <v>41024104.859999999</v>
      </c>
      <c r="F11" s="56">
        <f>Entrate_Uscite!N32</f>
        <v>35676366.840000004</v>
      </c>
      <c r="G11" s="56">
        <f>Entrate_Uscite!Q32</f>
        <v>43623368.350000001</v>
      </c>
      <c r="H11" s="56">
        <f>Entrate_Uscite!T32</f>
        <v>77155529.819999993</v>
      </c>
      <c r="I11" s="56">
        <f>Entrate_Uscite!W32</f>
        <v>31061725.190000001</v>
      </c>
      <c r="J11" s="56">
        <f t="shared" si="0"/>
        <v>8.9257296539211115</v>
      </c>
      <c r="K11" s="57">
        <f t="shared" si="1"/>
        <v>-59.741414176708453</v>
      </c>
      <c r="L11" s="56">
        <f>Entrate_Uscite!X32</f>
        <v>26209296.48</v>
      </c>
      <c r="M11" s="58">
        <f t="shared" si="6"/>
        <v>84.37810945683664</v>
      </c>
    </row>
    <row r="12" spans="1:13" x14ac:dyDescent="0.3">
      <c r="A12" s="59" t="s">
        <v>279</v>
      </c>
      <c r="B12" s="56">
        <f>Entrate_Uscite!B33</f>
        <v>6624255.6799999997</v>
      </c>
      <c r="C12" s="56">
        <f>Entrate_Uscite!E33</f>
        <v>5585469.2999999998</v>
      </c>
      <c r="D12" s="56">
        <f>Entrate_Uscite!H33</f>
        <v>13373447.619999999</v>
      </c>
      <c r="E12" s="56">
        <f>Entrate_Uscite!K33</f>
        <v>9078329.1600000001</v>
      </c>
      <c r="F12" s="56">
        <f>Entrate_Uscite!N33</f>
        <v>8607797.1600000001</v>
      </c>
      <c r="G12" s="56">
        <f>Entrate_Uscite!Q33</f>
        <v>9567004.6999999993</v>
      </c>
      <c r="H12" s="56">
        <f>Entrate_Uscite!T33</f>
        <v>48252000.079999998</v>
      </c>
      <c r="I12" s="56">
        <f>Entrate_Uscite!W33</f>
        <v>31573897.629999999</v>
      </c>
      <c r="J12" s="56">
        <f t="shared" si="0"/>
        <v>9.0729047611524667</v>
      </c>
      <c r="K12" s="57">
        <f t="shared" si="1"/>
        <v>-34.56458265429066</v>
      </c>
      <c r="L12" s="56">
        <f>Entrate_Uscite!X33</f>
        <v>20457016.890000001</v>
      </c>
      <c r="M12" s="58">
        <f t="shared" si="6"/>
        <v>64.790914095327679</v>
      </c>
    </row>
    <row r="13" spans="1:13" x14ac:dyDescent="0.3">
      <c r="A13" s="59" t="s">
        <v>280</v>
      </c>
      <c r="B13" s="56">
        <f>Entrate_Uscite!B34</f>
        <v>0</v>
      </c>
      <c r="C13" s="56">
        <f>Entrate_Uscite!E34</f>
        <v>0</v>
      </c>
      <c r="D13" s="56">
        <f>Entrate_Uscite!H34</f>
        <v>0</v>
      </c>
      <c r="E13" s="56">
        <f>Entrate_Uscite!K34</f>
        <v>0</v>
      </c>
      <c r="F13" s="56">
        <f>Entrate_Uscite!N34</f>
        <v>0</v>
      </c>
      <c r="G13" s="56">
        <f>Entrate_Uscite!Q34</f>
        <v>0</v>
      </c>
      <c r="H13" s="56">
        <f>Entrate_Uscite!T34</f>
        <v>0</v>
      </c>
      <c r="I13" s="56">
        <f>Entrate_Uscite!W34</f>
        <v>0</v>
      </c>
      <c r="J13" s="56">
        <f t="shared" si="0"/>
        <v>0</v>
      </c>
      <c r="K13" s="57" t="str">
        <f t="shared" si="1"/>
        <v>-</v>
      </c>
      <c r="L13" s="56">
        <f>Entrate_Uscite!X34</f>
        <v>0</v>
      </c>
      <c r="M13" s="58" t="str">
        <f t="shared" si="6"/>
        <v>-</v>
      </c>
    </row>
    <row r="14" spans="1:13" x14ac:dyDescent="0.3">
      <c r="A14" s="59" t="s">
        <v>281</v>
      </c>
      <c r="B14" s="56">
        <f>Entrate_Uscite!B35</f>
        <v>578255.27</v>
      </c>
      <c r="C14" s="56">
        <f>Entrate_Uscite!E35</f>
        <v>133741.43</v>
      </c>
      <c r="D14" s="56">
        <f>Entrate_Uscite!H35</f>
        <v>237894.79</v>
      </c>
      <c r="E14" s="56">
        <f>Entrate_Uscite!K35</f>
        <v>84235.35</v>
      </c>
      <c r="F14" s="56">
        <f>Entrate_Uscite!N35</f>
        <v>386675.75</v>
      </c>
      <c r="G14" s="56">
        <f>Entrate_Uscite!Q35</f>
        <v>95712.91</v>
      </c>
      <c r="H14" s="56">
        <f>Entrate_Uscite!T35</f>
        <v>133328.43</v>
      </c>
      <c r="I14" s="56">
        <f>Entrate_Uscite!W35</f>
        <v>284405.93</v>
      </c>
      <c r="J14" s="56">
        <f t="shared" si="0"/>
        <v>8.172535258824791E-2</v>
      </c>
      <c r="K14" s="57">
        <f t="shared" si="1"/>
        <v>113.31229205954051</v>
      </c>
      <c r="L14" s="56">
        <f>Entrate_Uscite!X35</f>
        <v>284405.93</v>
      </c>
      <c r="M14" s="58">
        <f t="shared" si="6"/>
        <v>100</v>
      </c>
    </row>
    <row r="15" spans="1:13" x14ac:dyDescent="0.3">
      <c r="A15" s="4" t="s">
        <v>283</v>
      </c>
      <c r="B15" s="46">
        <f t="shared" ref="B15:I15" si="7">SUM(B11:B14)</f>
        <v>26982813.789999999</v>
      </c>
      <c r="C15" s="46">
        <f t="shared" si="7"/>
        <v>28385366.080000002</v>
      </c>
      <c r="D15" s="46">
        <f t="shared" si="7"/>
        <v>44352871.350000001</v>
      </c>
      <c r="E15" s="46">
        <f t="shared" si="7"/>
        <v>50186669.369999997</v>
      </c>
      <c r="F15" s="46">
        <f t="shared" si="7"/>
        <v>44670839.75</v>
      </c>
      <c r="G15" s="46">
        <f t="shared" ref="G15:H15" si="8">SUM(G11:G14)</f>
        <v>53286085.959999993</v>
      </c>
      <c r="H15" s="46">
        <f t="shared" si="8"/>
        <v>125540858.33</v>
      </c>
      <c r="I15" s="46">
        <f t="shared" si="7"/>
        <v>62920028.75</v>
      </c>
      <c r="J15" s="46">
        <f t="shared" si="0"/>
        <v>18.080359767661829</v>
      </c>
      <c r="K15" s="44">
        <f t="shared" si="1"/>
        <v>-49.880835939000221</v>
      </c>
      <c r="L15" s="46">
        <f>SUM(L11:L14)</f>
        <v>46950719.300000004</v>
      </c>
      <c r="M15" s="45">
        <f t="shared" si="6"/>
        <v>74.619672356713608</v>
      </c>
    </row>
    <row r="16" spans="1:13" x14ac:dyDescent="0.3">
      <c r="A16" s="59" t="s">
        <v>284</v>
      </c>
      <c r="B16" s="56">
        <f>Entrate_Uscite!B36</f>
        <v>500000</v>
      </c>
      <c r="C16" s="56">
        <f>Entrate_Uscite!E36</f>
        <v>500000</v>
      </c>
      <c r="D16" s="56">
        <f>Entrate_Uscite!H36</f>
        <v>31500000</v>
      </c>
      <c r="E16" s="56">
        <f>Entrate_Uscite!K36</f>
        <v>0</v>
      </c>
      <c r="F16" s="56">
        <f>Entrate_Uscite!N36</f>
        <v>0</v>
      </c>
      <c r="G16" s="56">
        <f>Entrate_Uscite!Q36</f>
        <v>17203248</v>
      </c>
      <c r="H16" s="56">
        <f>Entrate_Uscite!T36</f>
        <v>3000000</v>
      </c>
      <c r="I16" s="56">
        <f>Entrate_Uscite!W36</f>
        <v>0</v>
      </c>
      <c r="J16" s="56">
        <f t="shared" si="0"/>
        <v>0</v>
      </c>
      <c r="K16" s="57">
        <f t="shared" si="1"/>
        <v>-100</v>
      </c>
      <c r="L16" s="56">
        <f>Entrate_Uscite!X36</f>
        <v>0</v>
      </c>
      <c r="M16" s="58" t="str">
        <f t="shared" si="6"/>
        <v>-</v>
      </c>
    </row>
    <row r="17" spans="1:13" x14ac:dyDescent="0.3">
      <c r="A17" s="59" t="s">
        <v>285</v>
      </c>
      <c r="B17" s="56">
        <f>Entrate_Uscite!B37</f>
        <v>0</v>
      </c>
      <c r="C17" s="56">
        <f>Entrate_Uscite!E37</f>
        <v>0</v>
      </c>
      <c r="D17" s="56">
        <f>Entrate_Uscite!H37</f>
        <v>0</v>
      </c>
      <c r="E17" s="56">
        <f>Entrate_Uscite!K37</f>
        <v>0</v>
      </c>
      <c r="F17" s="56">
        <f>Entrate_Uscite!N37</f>
        <v>0</v>
      </c>
      <c r="G17" s="56">
        <f>Entrate_Uscite!Q37</f>
        <v>0</v>
      </c>
      <c r="H17" s="56">
        <f>Entrate_Uscite!T37</f>
        <v>0</v>
      </c>
      <c r="I17" s="56">
        <f>Entrate_Uscite!W37</f>
        <v>0</v>
      </c>
      <c r="J17" s="56">
        <f t="shared" si="0"/>
        <v>0</v>
      </c>
      <c r="K17" s="57" t="str">
        <f t="shared" si="1"/>
        <v>-</v>
      </c>
      <c r="L17" s="56">
        <f>Entrate_Uscite!X37</f>
        <v>0</v>
      </c>
      <c r="M17" s="58" t="str">
        <f t="shared" si="6"/>
        <v>-</v>
      </c>
    </row>
    <row r="18" spans="1:13" x14ac:dyDescent="0.3">
      <c r="A18" s="59" t="s">
        <v>286</v>
      </c>
      <c r="B18" s="56">
        <f>Entrate_Uscite!B38</f>
        <v>5619326.0099999998</v>
      </c>
      <c r="C18" s="56">
        <f>Entrate_Uscite!E38</f>
        <v>0</v>
      </c>
      <c r="D18" s="56">
        <f>Entrate_Uscite!H38</f>
        <v>0</v>
      </c>
      <c r="E18" s="56">
        <f>Entrate_Uscite!K38</f>
        <v>3673382.35</v>
      </c>
      <c r="F18" s="56">
        <f>Entrate_Uscite!N38</f>
        <v>4408556.45</v>
      </c>
      <c r="G18" s="56">
        <f>Entrate_Uscite!Q38</f>
        <v>0</v>
      </c>
      <c r="H18" s="56">
        <f>Entrate_Uscite!T38</f>
        <v>0</v>
      </c>
      <c r="I18" s="56">
        <f>Entrate_Uscite!W38</f>
        <v>0</v>
      </c>
      <c r="J18" s="56">
        <f t="shared" si="0"/>
        <v>0</v>
      </c>
      <c r="K18" s="57" t="str">
        <f t="shared" si="1"/>
        <v>-</v>
      </c>
      <c r="L18" s="56">
        <f>Entrate_Uscite!X38</f>
        <v>0</v>
      </c>
      <c r="M18" s="58" t="str">
        <f t="shared" ref="M18:M26" si="9">IF(I18&gt;0,L18/I18*100,"-")</f>
        <v>-</v>
      </c>
    </row>
    <row r="19" spans="1:13" x14ac:dyDescent="0.3">
      <c r="A19" s="59" t="s">
        <v>287</v>
      </c>
      <c r="B19" s="56">
        <f>Entrate_Uscite!B39</f>
        <v>0</v>
      </c>
      <c r="C19" s="56">
        <f>Entrate_Uscite!E39</f>
        <v>0</v>
      </c>
      <c r="D19" s="56">
        <f>Entrate_Uscite!H39</f>
        <v>0</v>
      </c>
      <c r="E19" s="56">
        <f>Entrate_Uscite!K39</f>
        <v>0</v>
      </c>
      <c r="F19" s="56">
        <f>Entrate_Uscite!N39</f>
        <v>0</v>
      </c>
      <c r="G19" s="56">
        <f>Entrate_Uscite!Q39</f>
        <v>2944208.24</v>
      </c>
      <c r="H19" s="56">
        <f>Entrate_Uscite!T39</f>
        <v>0</v>
      </c>
      <c r="I19" s="56">
        <f>Entrate_Uscite!W39</f>
        <v>0</v>
      </c>
      <c r="J19" s="56">
        <f t="shared" si="0"/>
        <v>0</v>
      </c>
      <c r="K19" s="57" t="str">
        <f t="shared" si="1"/>
        <v>-</v>
      </c>
      <c r="L19" s="56">
        <f>Entrate_Uscite!X39</f>
        <v>0</v>
      </c>
      <c r="M19" s="58" t="str">
        <f t="shared" si="9"/>
        <v>-</v>
      </c>
    </row>
    <row r="20" spans="1:13" x14ac:dyDescent="0.3">
      <c r="A20" s="4" t="s">
        <v>288</v>
      </c>
      <c r="B20" s="43">
        <f t="shared" ref="B20:I20" si="10">SUM(B16:B19)</f>
        <v>6119326.0099999998</v>
      </c>
      <c r="C20" s="43">
        <f t="shared" si="10"/>
        <v>500000</v>
      </c>
      <c r="D20" s="43">
        <f t="shared" si="10"/>
        <v>31500000</v>
      </c>
      <c r="E20" s="43">
        <f t="shared" si="10"/>
        <v>3673382.35</v>
      </c>
      <c r="F20" s="43">
        <f t="shared" si="10"/>
        <v>4408556.45</v>
      </c>
      <c r="G20" s="43">
        <f t="shared" ref="G20:H20" si="11">SUM(G16:G19)</f>
        <v>20147456.240000002</v>
      </c>
      <c r="H20" s="43">
        <f t="shared" si="11"/>
        <v>3000000</v>
      </c>
      <c r="I20" s="43">
        <f t="shared" si="10"/>
        <v>0</v>
      </c>
      <c r="J20" s="43">
        <f t="shared" si="0"/>
        <v>0</v>
      </c>
      <c r="K20" s="44">
        <f t="shared" si="1"/>
        <v>-100</v>
      </c>
      <c r="L20" s="43">
        <f>SUM(L16:L19)</f>
        <v>0</v>
      </c>
      <c r="M20" s="40" t="str">
        <f t="shared" si="9"/>
        <v>-</v>
      </c>
    </row>
    <row r="21" spans="1:13" x14ac:dyDescent="0.3">
      <c r="A21" s="47" t="s">
        <v>349</v>
      </c>
      <c r="B21" s="48">
        <f t="shared" ref="B21:I21" si="12">B10+B15+B20</f>
        <v>275208396.82999998</v>
      </c>
      <c r="C21" s="48">
        <f t="shared" si="12"/>
        <v>265953263.98000002</v>
      </c>
      <c r="D21" s="48">
        <f t="shared" si="12"/>
        <v>326378480.97000003</v>
      </c>
      <c r="E21" s="48">
        <f t="shared" si="12"/>
        <v>306749282.13000005</v>
      </c>
      <c r="F21" s="48">
        <f t="shared" si="12"/>
        <v>297909020.38</v>
      </c>
      <c r="G21" s="48">
        <f t="shared" ref="G21:H21" si="13">G10+G15+G20</f>
        <v>344789873.95999998</v>
      </c>
      <c r="H21" s="48">
        <f t="shared" si="13"/>
        <v>407859416.7299999</v>
      </c>
      <c r="I21" s="48">
        <f t="shared" si="12"/>
        <v>343348564.96000004</v>
      </c>
      <c r="J21" s="48">
        <f>I21/I$31*100</f>
        <v>98.662789949650303</v>
      </c>
      <c r="K21" s="49">
        <f t="shared" si="1"/>
        <v>-15.816933267647372</v>
      </c>
      <c r="L21" s="48">
        <f>L10+L15+L20</f>
        <v>256195779.98000002</v>
      </c>
      <c r="M21" s="50">
        <f>IF(I21&gt;0,L21/I21*100,"-")</f>
        <v>74.616819793566549</v>
      </c>
    </row>
    <row r="22" spans="1:13" x14ac:dyDescent="0.3">
      <c r="A22" s="59" t="s">
        <v>289</v>
      </c>
      <c r="B22" s="60">
        <f>Entrate_Uscite!B40</f>
        <v>817049.12000000011</v>
      </c>
      <c r="C22" s="60">
        <f>Entrate_Uscite!E40</f>
        <v>374256.56</v>
      </c>
      <c r="D22" s="60">
        <f>Entrate_Uscite!H40</f>
        <v>23413.89</v>
      </c>
      <c r="E22" s="60">
        <f>Entrate_Uscite!K40</f>
        <v>0</v>
      </c>
      <c r="F22" s="60">
        <f>Entrate_Uscite!N40</f>
        <v>0</v>
      </c>
      <c r="G22" s="60">
        <f>Entrate_Uscite!Q40</f>
        <v>0</v>
      </c>
      <c r="H22" s="60">
        <f>Entrate_Uscite!T40</f>
        <v>0</v>
      </c>
      <c r="I22" s="60">
        <f>Entrate_Uscite!W40</f>
        <v>0</v>
      </c>
      <c r="J22" s="60">
        <f t="shared" si="0"/>
        <v>0</v>
      </c>
      <c r="K22" s="61" t="str">
        <f t="shared" si="1"/>
        <v>-</v>
      </c>
      <c r="L22" s="60">
        <f>Entrate_Uscite!X40</f>
        <v>0</v>
      </c>
      <c r="M22" s="58" t="str">
        <f t="shared" si="9"/>
        <v>-</v>
      </c>
    </row>
    <row r="23" spans="1:13" x14ac:dyDescent="0.3">
      <c r="A23" s="59" t="s">
        <v>290</v>
      </c>
      <c r="B23" s="60">
        <f>Entrate_Uscite!B41</f>
        <v>0</v>
      </c>
      <c r="C23" s="60">
        <f>Entrate_Uscite!E41</f>
        <v>2837.23</v>
      </c>
      <c r="D23" s="60">
        <f>Entrate_Uscite!H41</f>
        <v>4715081.9300000006</v>
      </c>
      <c r="E23" s="60">
        <f>Entrate_Uscite!K41</f>
        <v>0</v>
      </c>
      <c r="F23" s="60">
        <f>Entrate_Uscite!N41</f>
        <v>0</v>
      </c>
      <c r="G23" s="60">
        <f>Entrate_Uscite!Q41</f>
        <v>0</v>
      </c>
      <c r="H23" s="60">
        <f>Entrate_Uscite!T41</f>
        <v>0</v>
      </c>
      <c r="I23" s="60">
        <f>Entrate_Uscite!W41</f>
        <v>0</v>
      </c>
      <c r="J23" s="60">
        <f t="shared" si="0"/>
        <v>0</v>
      </c>
      <c r="K23" s="61" t="str">
        <f t="shared" si="1"/>
        <v>-</v>
      </c>
      <c r="L23" s="60">
        <f>Entrate_Uscite!X41</f>
        <v>0</v>
      </c>
      <c r="M23" s="58" t="str">
        <f t="shared" si="9"/>
        <v>-</v>
      </c>
    </row>
    <row r="24" spans="1:13" x14ac:dyDescent="0.3">
      <c r="A24" s="59" t="s">
        <v>291</v>
      </c>
      <c r="B24" s="60">
        <f>Entrate_Uscite!B42</f>
        <v>5291421.4999999991</v>
      </c>
      <c r="C24" s="60">
        <f>Entrate_Uscite!E42</f>
        <v>5720903.0700000003</v>
      </c>
      <c r="D24" s="60">
        <f>Entrate_Uscite!H42</f>
        <v>0</v>
      </c>
      <c r="E24" s="60">
        <f>Entrate_Uscite!K42</f>
        <v>4178674.94</v>
      </c>
      <c r="F24" s="60">
        <f>Entrate_Uscite!N42</f>
        <v>2095596.12</v>
      </c>
      <c r="G24" s="60">
        <f>Entrate_Uscite!Q42</f>
        <v>3445884.38</v>
      </c>
      <c r="H24" s="60">
        <f>Entrate_Uscite!T42</f>
        <v>3695168.88</v>
      </c>
      <c r="I24" s="60">
        <f>Entrate_Uscite!W42</f>
        <v>4653518.84</v>
      </c>
      <c r="J24" s="60">
        <f t="shared" si="0"/>
        <v>1.3372100503497042</v>
      </c>
      <c r="K24" s="61">
        <f t="shared" si="1"/>
        <v>25.935214089592563</v>
      </c>
      <c r="L24" s="60">
        <f>Entrate_Uscite!X42</f>
        <v>4367661.95</v>
      </c>
      <c r="M24" s="58">
        <f t="shared" si="9"/>
        <v>93.85718850984604</v>
      </c>
    </row>
    <row r="25" spans="1:13" x14ac:dyDescent="0.3">
      <c r="A25" s="59" t="s">
        <v>292</v>
      </c>
      <c r="B25" s="60">
        <f>Entrate_Uscite!B43</f>
        <v>0</v>
      </c>
      <c r="C25" s="60">
        <f>Entrate_Uscite!E43</f>
        <v>0</v>
      </c>
      <c r="D25" s="60">
        <f>Entrate_Uscite!H43</f>
        <v>0</v>
      </c>
      <c r="E25" s="60">
        <f>Entrate_Uscite!K43</f>
        <v>0</v>
      </c>
      <c r="F25" s="60">
        <f>Entrate_Uscite!N43</f>
        <v>0</v>
      </c>
      <c r="G25" s="60">
        <f>Entrate_Uscite!Q43</f>
        <v>0</v>
      </c>
      <c r="H25" s="60">
        <f>Entrate_Uscite!T43</f>
        <v>0</v>
      </c>
      <c r="I25" s="60">
        <f>Entrate_Uscite!W43</f>
        <v>0</v>
      </c>
      <c r="J25" s="60">
        <f t="shared" si="0"/>
        <v>0</v>
      </c>
      <c r="K25" s="61" t="str">
        <f t="shared" si="1"/>
        <v>-</v>
      </c>
      <c r="L25" s="60">
        <f>Entrate_Uscite!X43</f>
        <v>0</v>
      </c>
      <c r="M25" s="58" t="str">
        <f t="shared" si="9"/>
        <v>-</v>
      </c>
    </row>
    <row r="26" spans="1:13" x14ac:dyDescent="0.3">
      <c r="A26" s="59" t="s">
        <v>293</v>
      </c>
      <c r="B26" s="60">
        <f>Entrate_Uscite!B44</f>
        <v>0</v>
      </c>
      <c r="C26" s="60">
        <f>Entrate_Uscite!E44</f>
        <v>0</v>
      </c>
      <c r="D26" s="60">
        <f>Entrate_Uscite!H44</f>
        <v>0</v>
      </c>
      <c r="E26" s="60">
        <f>Entrate_Uscite!K44</f>
        <v>0</v>
      </c>
      <c r="F26" s="60">
        <f>Entrate_Uscite!N44</f>
        <v>0</v>
      </c>
      <c r="G26" s="60">
        <f>Entrate_Uscite!Q44</f>
        <v>0</v>
      </c>
      <c r="H26" s="60">
        <f>Entrate_Uscite!T44</f>
        <v>0</v>
      </c>
      <c r="I26" s="60">
        <f>Entrate_Uscite!W44</f>
        <v>0</v>
      </c>
      <c r="J26" s="60">
        <f t="shared" si="0"/>
        <v>0</v>
      </c>
      <c r="K26" s="61" t="str">
        <f t="shared" si="1"/>
        <v>-</v>
      </c>
      <c r="L26" s="60">
        <f>Entrate_Uscite!X44</f>
        <v>0</v>
      </c>
      <c r="M26" s="58" t="str">
        <f t="shared" si="9"/>
        <v>-</v>
      </c>
    </row>
    <row r="27" spans="1:13" x14ac:dyDescent="0.3">
      <c r="A27" s="4" t="s">
        <v>294</v>
      </c>
      <c r="B27" s="43">
        <f t="shared" ref="B27:I27" si="14">SUM(B22:B26)</f>
        <v>6108470.6199999992</v>
      </c>
      <c r="C27" s="43">
        <f t="shared" si="14"/>
        <v>6097996.8600000003</v>
      </c>
      <c r="D27" s="43">
        <f t="shared" si="14"/>
        <v>4738495.82</v>
      </c>
      <c r="E27" s="43">
        <f t="shared" si="14"/>
        <v>4178674.94</v>
      </c>
      <c r="F27" s="43">
        <f t="shared" si="14"/>
        <v>2095596.12</v>
      </c>
      <c r="G27" s="43">
        <f t="shared" ref="G27" si="15">SUM(G22:G26)</f>
        <v>3445884.38</v>
      </c>
      <c r="H27" s="43">
        <f t="shared" ref="H27" si="16">SUM(H22:H26)</f>
        <v>3695168.88</v>
      </c>
      <c r="I27" s="43">
        <f t="shared" si="14"/>
        <v>4653518.84</v>
      </c>
      <c r="J27" s="43">
        <f t="shared" si="0"/>
        <v>1.3372100503497042</v>
      </c>
      <c r="K27" s="44">
        <f t="shared" si="1"/>
        <v>25.935214089592563</v>
      </c>
      <c r="L27" s="43">
        <f>SUM(L22:L26)</f>
        <v>4367661.95</v>
      </c>
      <c r="M27" s="45">
        <f>IF(I27&gt;0,L27/I27*100,"-")</f>
        <v>93.85718850984604</v>
      </c>
    </row>
    <row r="28" spans="1:13" x14ac:dyDescent="0.3">
      <c r="A28" s="4" t="s">
        <v>295</v>
      </c>
      <c r="B28" s="43">
        <f>Entrate_Uscite!B52</f>
        <v>0</v>
      </c>
      <c r="C28" s="43">
        <f>Entrate_Uscite!E52</f>
        <v>0</v>
      </c>
      <c r="D28" s="43">
        <f>Entrate_Uscite!H52</f>
        <v>0</v>
      </c>
      <c r="E28" s="43">
        <f>Entrate_Uscite!K52</f>
        <v>0</v>
      </c>
      <c r="F28" s="43">
        <f>Entrate_Uscite!N52</f>
        <v>0</v>
      </c>
      <c r="G28" s="43">
        <f>Entrate_Uscite!Q52</f>
        <v>0</v>
      </c>
      <c r="H28" s="43">
        <f>Entrate_Uscite!T52</f>
        <v>0</v>
      </c>
      <c r="I28" s="43">
        <f>Entrate_Uscite!W52</f>
        <v>0</v>
      </c>
      <c r="J28" s="43">
        <f t="shared" si="0"/>
        <v>0</v>
      </c>
      <c r="K28" s="44" t="str">
        <f t="shared" si="1"/>
        <v>-</v>
      </c>
      <c r="L28" s="43">
        <f>Entrate_Uscite!X52</f>
        <v>0</v>
      </c>
      <c r="M28" s="45" t="str">
        <f>IF(I28&gt;0,L28/I28*100,"-")</f>
        <v>-</v>
      </c>
    </row>
    <row r="29" spans="1:13" x14ac:dyDescent="0.3">
      <c r="A29" s="4" t="s">
        <v>296</v>
      </c>
      <c r="B29" s="43">
        <f>Entrate_Uscite!B53</f>
        <v>38001509.490000002</v>
      </c>
      <c r="C29" s="43">
        <f>Entrate_Uscite!E53</f>
        <v>37735685.399999999</v>
      </c>
      <c r="D29" s="43">
        <f>Entrate_Uscite!H53</f>
        <v>43831164.18</v>
      </c>
      <c r="E29" s="43">
        <f>Entrate_Uscite!K53</f>
        <v>49643451.420000002</v>
      </c>
      <c r="F29" s="43">
        <f>Entrate_Uscite!N53</f>
        <v>46623390.630000003</v>
      </c>
      <c r="G29" s="43">
        <f>Entrate_Uscite!Q53</f>
        <v>43138419.109999999</v>
      </c>
      <c r="H29" s="43">
        <f>Entrate_Uscite!T53</f>
        <v>108443397.96000001</v>
      </c>
      <c r="I29" s="43">
        <f>Entrate_Uscite!W53</f>
        <v>58153195.210000001</v>
      </c>
      <c r="J29" s="43"/>
      <c r="K29" s="44">
        <f t="shared" si="1"/>
        <v>-46.374609885011019</v>
      </c>
      <c r="L29" s="43">
        <f>Entrate_Uscite!X53</f>
        <v>46363749.979999997</v>
      </c>
      <c r="M29" s="45">
        <f>IF(I29&gt;0,L29/I29*100,"-")</f>
        <v>79.726917519447511</v>
      </c>
    </row>
    <row r="30" spans="1:13" x14ac:dyDescent="0.3">
      <c r="A30" s="47" t="s">
        <v>69</v>
      </c>
      <c r="B30" s="48">
        <f t="shared" ref="B30:I30" si="17">B10+B15+B20+B27+B28+B29</f>
        <v>319318376.94</v>
      </c>
      <c r="C30" s="48">
        <f t="shared" si="17"/>
        <v>309786946.24000001</v>
      </c>
      <c r="D30" s="48">
        <f t="shared" si="17"/>
        <v>374948140.97000003</v>
      </c>
      <c r="E30" s="48">
        <f t="shared" si="17"/>
        <v>360571408.49000007</v>
      </c>
      <c r="F30" s="48">
        <f t="shared" si="17"/>
        <v>346628007.13</v>
      </c>
      <c r="G30" s="48">
        <f t="shared" ref="G30:H30" si="18">G10+G15+G20+G27+G28+G29</f>
        <v>391374177.44999999</v>
      </c>
      <c r="H30" s="48">
        <f t="shared" si="18"/>
        <v>519997983.56999993</v>
      </c>
      <c r="I30" s="48">
        <f t="shared" si="17"/>
        <v>406155279.00999999</v>
      </c>
      <c r="J30" s="48"/>
      <c r="K30" s="49">
        <f t="shared" si="1"/>
        <v>-21.892912695242188</v>
      </c>
      <c r="L30" s="48">
        <f>L10+L15+L20+L27+L28+L29</f>
        <v>306927191.91000003</v>
      </c>
      <c r="M30" s="50">
        <f>IF(I30&gt;0,L30/I30*100,"-")</f>
        <v>75.568928380823323</v>
      </c>
    </row>
    <row r="31" spans="1:13" x14ac:dyDescent="0.3">
      <c r="A31" s="38" t="s">
        <v>70</v>
      </c>
      <c r="B31" s="51">
        <f t="shared" ref="B31:I31" si="19">B30-B29</f>
        <v>281316867.44999999</v>
      </c>
      <c r="C31" s="51">
        <f t="shared" si="19"/>
        <v>272051260.84000003</v>
      </c>
      <c r="D31" s="51">
        <f t="shared" si="19"/>
        <v>331116976.79000002</v>
      </c>
      <c r="E31" s="51">
        <f t="shared" si="19"/>
        <v>310927957.07000005</v>
      </c>
      <c r="F31" s="51">
        <f t="shared" si="19"/>
        <v>300004616.5</v>
      </c>
      <c r="G31" s="51">
        <f t="shared" ref="G31:H31" si="20">G30-G29</f>
        <v>348235758.33999997</v>
      </c>
      <c r="H31" s="51">
        <f t="shared" si="20"/>
        <v>411554585.6099999</v>
      </c>
      <c r="I31" s="51">
        <f t="shared" si="19"/>
        <v>348002083.80000001</v>
      </c>
      <c r="J31" s="51">
        <f t="shared" si="0"/>
        <v>100</v>
      </c>
      <c r="K31" s="52">
        <f t="shared" si="1"/>
        <v>-15.442058971546473</v>
      </c>
      <c r="L31" s="51">
        <f>L30-L29</f>
        <v>260563441.93000004</v>
      </c>
      <c r="M31" s="53">
        <f>IF(I31&gt;0,L31/I31*100,"-")</f>
        <v>74.874103937764986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B38" sqref="B38"/>
    </sheetView>
  </sheetViews>
  <sheetFormatPr defaultRowHeight="14.4" x14ac:dyDescent="0.3"/>
  <cols>
    <col min="1" max="1" width="50.6640625" bestFit="1" customWidth="1"/>
    <col min="2" max="2" width="10.5546875" bestFit="1" customWidth="1"/>
    <col min="3" max="10" width="11.21875" bestFit="1" customWidth="1"/>
    <col min="11" max="11" width="11.33203125" bestFit="1" customWidth="1"/>
  </cols>
  <sheetData>
    <row r="1" spans="1:11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42" t="s">
        <v>266</v>
      </c>
      <c r="K1" s="42" t="s">
        <v>340</v>
      </c>
    </row>
    <row r="2" spans="1:11" x14ac:dyDescent="0.3">
      <c r="A2" s="62" t="s">
        <v>298</v>
      </c>
      <c r="B2" s="64">
        <f>Entrate_Uscite!B56</f>
        <v>41249970.080000043</v>
      </c>
      <c r="C2" s="64">
        <f>Entrate_Uscite!E56</f>
        <v>30800249.049999982</v>
      </c>
      <c r="D2" s="64">
        <f>Entrate_Uscite!H56</f>
        <v>27847903.610000014</v>
      </c>
      <c r="E2" s="64">
        <f>Entrate_Uscite!K56</f>
        <v>29249446.459999979</v>
      </c>
      <c r="F2" s="64">
        <f>Entrate_Uscite!N56</f>
        <v>49612484.300000012</v>
      </c>
      <c r="G2" s="64">
        <f>Entrate_Uscite!Q56</f>
        <v>50587931.629999995</v>
      </c>
      <c r="H2" s="64">
        <f>Entrate_Uscite!T56</f>
        <v>53684661.380000114</v>
      </c>
      <c r="I2" s="64">
        <f>Entrate_Uscite!W56</f>
        <v>55118533.069999933</v>
      </c>
      <c r="J2" s="64">
        <f t="shared" ref="J2:J6" si="0">I2-H2</f>
        <v>1433871.6899998188</v>
      </c>
      <c r="K2" s="64">
        <f>Entrate_Uscite!X56</f>
        <v>37320252.889999986</v>
      </c>
    </row>
    <row r="3" spans="1:11" x14ac:dyDescent="0.3">
      <c r="A3" s="62" t="s">
        <v>72</v>
      </c>
      <c r="B3" s="65">
        <f>Entrate_Uscite!B57</f>
        <v>-1666077.9299999997</v>
      </c>
      <c r="C3" s="65">
        <f>Entrate_Uscite!E57</f>
        <v>-15018071.970000003</v>
      </c>
      <c r="D3" s="65">
        <f>Entrate_Uscite!H57</f>
        <v>15768275.339999996</v>
      </c>
      <c r="E3" s="65">
        <f>Entrate_Uscite!K57</f>
        <v>-10008885.019999996</v>
      </c>
      <c r="F3" s="65">
        <f>Entrate_Uscite!N57</f>
        <v>-18998156</v>
      </c>
      <c r="G3" s="65">
        <f>Entrate_Uscite!Q57</f>
        <v>-2067821.409999989</v>
      </c>
      <c r="H3" s="65">
        <f>Entrate_Uscite!T57</f>
        <v>-15767653.829999998</v>
      </c>
      <c r="I3" s="65">
        <f>Entrate_Uscite!W57</f>
        <v>-6467864.9800000042</v>
      </c>
      <c r="J3" s="64">
        <f t="shared" si="0"/>
        <v>9299788.849999994</v>
      </c>
      <c r="K3" s="64">
        <f>Entrate_Uscite!X57</f>
        <v>-31465131.440000005</v>
      </c>
    </row>
    <row r="4" spans="1:11" x14ac:dyDescent="0.3">
      <c r="A4" s="62" t="s">
        <v>301</v>
      </c>
      <c r="B4" s="65">
        <f>Entrate_Uscite!B16-Entrate_Uscite!B50</f>
        <v>19495054.899999999</v>
      </c>
      <c r="C4" s="65">
        <f>Entrate_Uscite!E16-Entrate_Uscite!E50</f>
        <v>23043822.34</v>
      </c>
      <c r="D4" s="65">
        <f>Entrate_Uscite!H16-Entrate_Uscite!H50</f>
        <v>-31500000</v>
      </c>
      <c r="E4" s="65">
        <f>Entrate_Uscite!K16-Entrate_Uscite!K50</f>
        <v>0</v>
      </c>
      <c r="F4" s="65">
        <f>Entrate_Uscite!N16-Entrate_Uscite!N50</f>
        <v>0</v>
      </c>
      <c r="G4" s="65">
        <f>Entrate_Uscite!Q16-Entrate_Uscite!Q50</f>
        <v>-17203248</v>
      </c>
      <c r="H4" s="65">
        <f>Entrate_Uscite!T16-Entrate_Uscite!T50</f>
        <v>-3000000</v>
      </c>
      <c r="I4" s="65">
        <f>Entrate_Uscite!W16-Entrate_Uscite!W50</f>
        <v>0</v>
      </c>
      <c r="J4" s="64">
        <f t="shared" si="0"/>
        <v>3000000</v>
      </c>
      <c r="K4" s="65">
        <f>Entrate_Uscite!X16-Entrate_Uscite!X50</f>
        <v>0</v>
      </c>
    </row>
    <row r="5" spans="1:11" x14ac:dyDescent="0.3">
      <c r="A5" s="47" t="s">
        <v>299</v>
      </c>
      <c r="B5" s="66">
        <f>Entrate_Uscite!B58</f>
        <v>59078947.050000012</v>
      </c>
      <c r="C5" s="66">
        <f>Entrate_Uscite!E58</f>
        <v>38825999.419999957</v>
      </c>
      <c r="D5" s="66">
        <f>Entrate_Uscite!H58</f>
        <v>12116178.949999988</v>
      </c>
      <c r="E5" s="66">
        <f>Entrate_Uscite!K58</f>
        <v>19240561.439999998</v>
      </c>
      <c r="F5" s="66">
        <f>Entrate_Uscite!N58</f>
        <v>30614328.300000012</v>
      </c>
      <c r="G5" s="66">
        <f>Entrate_Uscite!Q58</f>
        <v>31316862.220000029</v>
      </c>
      <c r="H5" s="66">
        <f>Entrate_Uscite!T58</f>
        <v>34917007.550000131</v>
      </c>
      <c r="I5" s="66">
        <f>Entrate_Uscite!W58</f>
        <v>48650668.089999914</v>
      </c>
      <c r="J5" s="66">
        <f t="shared" si="0"/>
        <v>13733660.539999783</v>
      </c>
      <c r="K5" s="66">
        <f>Entrate_Uscite!X58</f>
        <v>5855121.4499999881</v>
      </c>
    </row>
    <row r="6" spans="1:11" x14ac:dyDescent="0.3">
      <c r="A6" s="38" t="s">
        <v>300</v>
      </c>
      <c r="B6" s="67">
        <f>Entrate_Uscite!B59</f>
        <v>63139802.439999998</v>
      </c>
      <c r="C6" s="67">
        <f>Entrate_Uscite!E59</f>
        <v>36878002.559999943</v>
      </c>
      <c r="D6" s="67">
        <f>Entrate_Uscite!H59</f>
        <v>7377683.1299999952</v>
      </c>
      <c r="E6" s="67">
        <f>Entrate_Uscite!K59</f>
        <v>21735268.850000024</v>
      </c>
      <c r="F6" s="67">
        <f>Entrate_Uscite!N59</f>
        <v>32927288.629999995</v>
      </c>
      <c r="G6" s="67">
        <f>Entrate_Uscite!Q59</f>
        <v>32115186.080000043</v>
      </c>
      <c r="H6" s="67">
        <f>Entrate_Uscite!T59</f>
        <v>31221838.670000136</v>
      </c>
      <c r="I6" s="67">
        <f>Entrate_Uscite!W59</f>
        <v>43997149.24999994</v>
      </c>
      <c r="J6" s="67">
        <f t="shared" si="0"/>
        <v>12775310.579999804</v>
      </c>
      <c r="K6" s="67">
        <f>Entrate_Uscite!X59</f>
        <v>1487459.4999999702</v>
      </c>
    </row>
    <row r="7" spans="1:11" x14ac:dyDescent="0.3">
      <c r="J7" s="6"/>
    </row>
    <row r="8" spans="1:11" x14ac:dyDescent="0.3">
      <c r="J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topLeftCell="E1" workbookViewId="0">
      <selection activeCell="K2" sqref="K2:K23"/>
    </sheetView>
  </sheetViews>
  <sheetFormatPr defaultRowHeight="14.4" x14ac:dyDescent="0.3"/>
  <cols>
    <col min="1" max="1" width="36.44140625" bestFit="1" customWidth="1"/>
    <col min="2" max="11" width="13.5546875" bestFit="1" customWidth="1"/>
    <col min="14" max="14" width="10" bestFit="1" customWidth="1"/>
  </cols>
  <sheetData>
    <row r="1" spans="1:11" x14ac:dyDescent="0.3">
      <c r="A1" s="41"/>
      <c r="B1" s="97">
        <v>2014</v>
      </c>
      <c r="C1" s="97">
        <v>2015</v>
      </c>
      <c r="D1" s="97">
        <v>2016</v>
      </c>
      <c r="E1" s="97">
        <v>2017</v>
      </c>
      <c r="F1" s="69">
        <v>2018</v>
      </c>
      <c r="G1" s="97">
        <v>2019</v>
      </c>
      <c r="H1" s="69">
        <v>2020</v>
      </c>
      <c r="I1" s="69">
        <v>2021</v>
      </c>
      <c r="J1" s="69">
        <v>2022</v>
      </c>
      <c r="K1" s="69">
        <v>2023</v>
      </c>
    </row>
    <row r="2" spans="1:11" x14ac:dyDescent="0.3">
      <c r="A2" t="s">
        <v>5</v>
      </c>
      <c r="B2" s="1">
        <v>53708689.43</v>
      </c>
      <c r="C2" s="1">
        <v>75823444.180000007</v>
      </c>
      <c r="D2" s="1">
        <v>98422831.260000005</v>
      </c>
      <c r="E2" s="1">
        <v>130335495.59</v>
      </c>
      <c r="F2" s="1">
        <v>146295941.31999999</v>
      </c>
      <c r="G2" s="1">
        <v>144811614.78</v>
      </c>
      <c r="H2" s="1">
        <v>171498729.19999999</v>
      </c>
      <c r="I2" s="1">
        <v>232096622.81</v>
      </c>
      <c r="J2" s="1">
        <v>234605440.16</v>
      </c>
      <c r="K2" s="1">
        <v>218003692.63</v>
      </c>
    </row>
    <row r="3" spans="1:11" x14ac:dyDescent="0.3">
      <c r="A3" t="s">
        <v>6</v>
      </c>
      <c r="B3" s="1">
        <v>133600926.06999999</v>
      </c>
      <c r="C3" s="1">
        <v>144015214.37</v>
      </c>
      <c r="D3" s="1">
        <v>178715141.16</v>
      </c>
      <c r="E3" s="1">
        <v>185426889.66999999</v>
      </c>
      <c r="F3" s="1">
        <v>179344132.50999999</v>
      </c>
      <c r="G3" s="1">
        <v>203778840.99000001</v>
      </c>
      <c r="H3" s="1">
        <v>221177019.21000001</v>
      </c>
      <c r="I3" s="1">
        <v>221021912.05000001</v>
      </c>
      <c r="J3" s="1">
        <v>278421216.86000001</v>
      </c>
      <c r="K3" s="1">
        <v>356574324.29000002</v>
      </c>
    </row>
    <row r="4" spans="1:11" x14ac:dyDescent="0.3">
      <c r="A4" t="s">
        <v>7</v>
      </c>
      <c r="B4" s="1">
        <v>140669036.43000001</v>
      </c>
      <c r="C4" s="1">
        <v>100579942.25</v>
      </c>
      <c r="D4" s="1">
        <v>94630982.060000002</v>
      </c>
      <c r="E4" s="1">
        <v>99400451.969999999</v>
      </c>
      <c r="F4" s="1">
        <v>96289167.849999994</v>
      </c>
      <c r="G4" s="1">
        <v>98974625.450000003</v>
      </c>
      <c r="H4" s="1">
        <v>110268432.45999999</v>
      </c>
      <c r="I4" s="1">
        <v>135128777.49000001</v>
      </c>
      <c r="J4" s="1">
        <v>158910844.72999999</v>
      </c>
      <c r="K4" s="1">
        <v>170711609.90000001</v>
      </c>
    </row>
    <row r="5" spans="1:11" x14ac:dyDescent="0.3">
      <c r="A5" t="s">
        <v>8</v>
      </c>
      <c r="B5" s="1">
        <v>0</v>
      </c>
      <c r="C5" s="1">
        <v>12885263.52</v>
      </c>
      <c r="D5" s="1">
        <v>12993435.68</v>
      </c>
      <c r="E5" s="1">
        <v>12749704.52</v>
      </c>
      <c r="F5" s="1">
        <v>14468394.6</v>
      </c>
      <c r="G5" s="1">
        <v>17604297.809999999</v>
      </c>
      <c r="H5" s="1">
        <v>23503755.989999998</v>
      </c>
      <c r="I5" s="1">
        <v>23089565.280000001</v>
      </c>
      <c r="J5" s="1">
        <v>24072430.329999998</v>
      </c>
      <c r="K5" s="1">
        <v>23337240.350000001</v>
      </c>
    </row>
    <row r="6" spans="1:11" x14ac:dyDescent="0.3">
      <c r="A6" t="s">
        <v>9</v>
      </c>
      <c r="B6" s="1">
        <v>0</v>
      </c>
      <c r="C6" s="1">
        <v>37264271.759999998</v>
      </c>
      <c r="D6" s="1">
        <v>62949400.770000003</v>
      </c>
      <c r="E6" s="1">
        <v>73258223.769999996</v>
      </c>
      <c r="F6" s="1">
        <v>84693667.060000002</v>
      </c>
      <c r="G6" s="1">
        <v>84202782.640000001</v>
      </c>
      <c r="H6" s="1">
        <v>70692907.879999995</v>
      </c>
      <c r="I6" s="1">
        <v>99156377.629999995</v>
      </c>
      <c r="J6" s="1">
        <v>78725696.599999994</v>
      </c>
      <c r="K6" s="1">
        <v>75752634.680000007</v>
      </c>
    </row>
    <row r="7" spans="1:11" x14ac:dyDescent="0.3">
      <c r="A7" s="4" t="s">
        <v>0</v>
      </c>
      <c r="B7" s="3">
        <f t="shared" ref="B7:C7" si="0">B2+B3-B4-B5-B6</f>
        <v>46640579.069999993</v>
      </c>
      <c r="C7" s="3">
        <f t="shared" si="0"/>
        <v>69109181.020000011</v>
      </c>
      <c r="D7" s="3">
        <f t="shared" ref="D7:E7" si="1">D2+D3-D4-D5-D6</f>
        <v>106564153.91</v>
      </c>
      <c r="E7" s="3">
        <f t="shared" si="1"/>
        <v>130354004.99999999</v>
      </c>
      <c r="F7" s="3">
        <f t="shared" ref="F7:G7" si="2">F2+F3-F4-F5-F6</f>
        <v>130188844.31999999</v>
      </c>
      <c r="G7" s="3">
        <f t="shared" si="2"/>
        <v>147808749.87</v>
      </c>
      <c r="H7" s="3">
        <f t="shared" ref="H7:K7" si="3">H2+H3-H4-H5-H6</f>
        <v>188210652.07999998</v>
      </c>
      <c r="I7" s="3">
        <f t="shared" ref="I7:J7" si="4">I2+I3-I4-I5-I6</f>
        <v>195743814.46000004</v>
      </c>
      <c r="J7" s="3">
        <f t="shared" si="4"/>
        <v>251317685.35999998</v>
      </c>
      <c r="K7" s="3">
        <f t="shared" si="3"/>
        <v>304776531.99000007</v>
      </c>
    </row>
    <row r="8" spans="1:11" x14ac:dyDescent="0.3">
      <c r="A8" t="s">
        <v>10</v>
      </c>
      <c r="B8" s="1">
        <v>0</v>
      </c>
      <c r="C8" s="1">
        <v>0</v>
      </c>
      <c r="D8" s="1">
        <v>38892001.009999998</v>
      </c>
      <c r="E8" s="1">
        <v>49241113.049999997</v>
      </c>
      <c r="F8" s="1">
        <v>65117606.020000003</v>
      </c>
      <c r="G8" s="1">
        <v>86780538.790000007</v>
      </c>
      <c r="H8" s="1">
        <v>81002409.870000005</v>
      </c>
      <c r="I8" s="1">
        <v>88473630.280000001</v>
      </c>
      <c r="J8" s="1">
        <v>128012684.55</v>
      </c>
      <c r="K8" s="1">
        <v>171275215.34999999</v>
      </c>
    </row>
    <row r="9" spans="1:11" x14ac:dyDescent="0.3">
      <c r="A9" t="s">
        <v>11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x14ac:dyDescent="0.3">
      <c r="A10" t="s">
        <v>12</v>
      </c>
      <c r="B10" s="1">
        <v>0</v>
      </c>
      <c r="C10" s="1">
        <v>0</v>
      </c>
      <c r="D10" s="1">
        <v>723167.36</v>
      </c>
      <c r="E10" s="1">
        <v>823167.36</v>
      </c>
      <c r="F10" s="1">
        <v>1823167.36</v>
      </c>
      <c r="G10" s="1">
        <v>2191390.36</v>
      </c>
      <c r="H10" s="1">
        <v>7891390.3600000003</v>
      </c>
      <c r="I10" s="1">
        <v>7929890.4699999997</v>
      </c>
      <c r="J10" s="1">
        <v>9905715.4900000002</v>
      </c>
      <c r="K10" s="1">
        <v>9907304.6699999999</v>
      </c>
    </row>
    <row r="11" spans="1:11" x14ac:dyDescent="0.3">
      <c r="A11" t="s">
        <v>13</v>
      </c>
      <c r="B11" s="1">
        <v>0</v>
      </c>
      <c r="C11" s="1">
        <v>0</v>
      </c>
      <c r="D11" s="1">
        <v>1239999</v>
      </c>
      <c r="E11" s="1">
        <v>1569560.53</v>
      </c>
      <c r="F11" s="1">
        <v>1769766.33</v>
      </c>
      <c r="G11" s="1">
        <v>3283475.65</v>
      </c>
      <c r="H11" s="1">
        <v>7629532.5199999996</v>
      </c>
      <c r="I11" s="1">
        <v>10204648</v>
      </c>
      <c r="J11" s="1">
        <v>10204648</v>
      </c>
      <c r="K11" s="1">
        <v>10099848.17</v>
      </c>
    </row>
    <row r="12" spans="1:11" x14ac:dyDescent="0.3">
      <c r="A12" t="s">
        <v>14</v>
      </c>
      <c r="B12" s="1">
        <v>0</v>
      </c>
      <c r="C12" s="1">
        <v>0</v>
      </c>
      <c r="D12" s="1">
        <v>3452182</v>
      </c>
      <c r="E12" s="1">
        <v>6991871</v>
      </c>
      <c r="F12" s="1">
        <v>8751183.8599999994</v>
      </c>
      <c r="G12" s="1">
        <v>1048125.88</v>
      </c>
      <c r="H12" s="1">
        <v>2077325.57</v>
      </c>
      <c r="I12" s="1">
        <v>4354853.8499999996</v>
      </c>
      <c r="J12" s="1">
        <v>7820757.4900000002</v>
      </c>
      <c r="K12" s="1">
        <v>7830757.4900000002</v>
      </c>
    </row>
    <row r="13" spans="1:11" x14ac:dyDescent="0.3">
      <c r="A13" s="4" t="s">
        <v>1</v>
      </c>
      <c r="B13" s="3">
        <f t="shared" ref="B13" si="5">SUM(B8:B12)</f>
        <v>0</v>
      </c>
      <c r="C13" s="3">
        <v>20324270.289999999</v>
      </c>
      <c r="D13" s="3">
        <f t="shared" ref="D13:E13" si="6">SUM(D8:D12)</f>
        <v>44307349.369999997</v>
      </c>
      <c r="E13" s="3">
        <f t="shared" si="6"/>
        <v>58625711.939999998</v>
      </c>
      <c r="F13" s="3">
        <f t="shared" ref="F13:K13" si="7">SUM(F8:F12)</f>
        <v>77461723.570000008</v>
      </c>
      <c r="G13" s="3">
        <f t="shared" si="7"/>
        <v>93303530.680000007</v>
      </c>
      <c r="H13" s="3">
        <f t="shared" si="7"/>
        <v>98600658.319999993</v>
      </c>
      <c r="I13" s="3">
        <f t="shared" si="7"/>
        <v>110963022.59999999</v>
      </c>
      <c r="J13" s="3">
        <f t="shared" si="7"/>
        <v>155943805.53</v>
      </c>
      <c r="K13" s="3">
        <f t="shared" si="7"/>
        <v>199113125.67999998</v>
      </c>
    </row>
    <row r="14" spans="1:11" x14ac:dyDescent="0.3">
      <c r="A14" t="s">
        <v>16</v>
      </c>
      <c r="B14" s="1">
        <v>0</v>
      </c>
      <c r="C14" s="1">
        <v>0</v>
      </c>
      <c r="D14" s="1">
        <v>13414996.18</v>
      </c>
      <c r="E14" s="1">
        <v>19712937.079999998</v>
      </c>
      <c r="F14" s="1">
        <v>13830230.15</v>
      </c>
      <c r="G14" s="1">
        <v>22411053.530000001</v>
      </c>
      <c r="H14" s="1">
        <v>30481662.52</v>
      </c>
      <c r="I14" s="1">
        <v>31111963.530000001</v>
      </c>
      <c r="J14" s="1">
        <v>30424628.219999999</v>
      </c>
      <c r="K14" s="1">
        <v>33569557.899999999</v>
      </c>
    </row>
    <row r="15" spans="1:11" x14ac:dyDescent="0.3">
      <c r="A15" t="s">
        <v>15</v>
      </c>
      <c r="B15" s="1">
        <v>0</v>
      </c>
      <c r="C15" s="1">
        <v>0</v>
      </c>
      <c r="D15" s="1">
        <v>5961167.6500000004</v>
      </c>
      <c r="E15" s="1">
        <v>7884908.79</v>
      </c>
      <c r="F15" s="1">
        <v>11912282.050000001</v>
      </c>
      <c r="G15" s="1">
        <v>12862237.4</v>
      </c>
      <c r="H15" s="1">
        <v>21404392.010000002</v>
      </c>
      <c r="I15" s="1">
        <v>24418391.129999999</v>
      </c>
      <c r="J15" s="1">
        <v>32165333.359999999</v>
      </c>
      <c r="K15" s="1">
        <v>34597703.299999997</v>
      </c>
    </row>
    <row r="16" spans="1:11" x14ac:dyDescent="0.3">
      <c r="A16" t="s">
        <v>17</v>
      </c>
      <c r="B16" s="1">
        <v>0</v>
      </c>
      <c r="C16" s="1">
        <v>0</v>
      </c>
      <c r="D16" s="1">
        <v>4011691.31</v>
      </c>
      <c r="E16" s="1">
        <v>2903039.63</v>
      </c>
      <c r="F16" s="1">
        <v>5661600.0300000003</v>
      </c>
      <c r="G16" s="1">
        <v>1791943.53</v>
      </c>
      <c r="H16" s="1">
        <v>889593.77</v>
      </c>
      <c r="I16" s="1">
        <v>275407.38</v>
      </c>
      <c r="J16" s="1">
        <v>495170.87</v>
      </c>
      <c r="K16" s="1">
        <v>1994586.94</v>
      </c>
    </row>
    <row r="17" spans="1:11" x14ac:dyDescent="0.3">
      <c r="A17" t="s">
        <v>18</v>
      </c>
      <c r="B17" s="1">
        <v>0</v>
      </c>
      <c r="C17" s="1">
        <v>0</v>
      </c>
      <c r="D17" s="1">
        <v>9960228.8000000007</v>
      </c>
      <c r="E17" s="1">
        <v>7513116.0199999996</v>
      </c>
      <c r="F17" s="1">
        <v>5188354.66</v>
      </c>
      <c r="G17" s="1">
        <v>3301723.72</v>
      </c>
      <c r="H17" s="1">
        <v>2772592.02</v>
      </c>
      <c r="I17" s="1">
        <v>2436475.2799999998</v>
      </c>
      <c r="J17" s="1">
        <v>4265989.4000000004</v>
      </c>
      <c r="K17" s="1">
        <v>6723339.5599999996</v>
      </c>
    </row>
    <row r="18" spans="1:11" x14ac:dyDescent="0.3">
      <c r="A18" t="s">
        <v>19</v>
      </c>
      <c r="B18" s="1">
        <v>0</v>
      </c>
      <c r="C18" s="1">
        <v>0</v>
      </c>
      <c r="D18" s="1">
        <v>282810.08</v>
      </c>
      <c r="E18" s="1">
        <v>213882.36</v>
      </c>
      <c r="F18" s="1">
        <v>158633.54999999999</v>
      </c>
      <c r="G18" s="1">
        <v>382531.95</v>
      </c>
      <c r="H18" s="1">
        <v>542383.26</v>
      </c>
      <c r="I18" s="1">
        <v>729967.39</v>
      </c>
      <c r="J18" s="1">
        <v>950094.16</v>
      </c>
      <c r="K18" s="1">
        <v>146886.04</v>
      </c>
    </row>
    <row r="19" spans="1:11" x14ac:dyDescent="0.3">
      <c r="A19" s="4" t="s">
        <v>2</v>
      </c>
      <c r="B19" s="3">
        <v>33584405.960000001</v>
      </c>
      <c r="C19" s="3">
        <v>35797721.240000002</v>
      </c>
      <c r="D19" s="3">
        <f t="shared" ref="D19:E19" si="8">SUM(D14:D18)</f>
        <v>33630894.019999996</v>
      </c>
      <c r="E19" s="3">
        <f t="shared" si="8"/>
        <v>38227883.879999995</v>
      </c>
      <c r="F19" s="3">
        <f t="shared" ref="F19:K19" si="9">SUM(F14:F18)</f>
        <v>36751100.439999998</v>
      </c>
      <c r="G19" s="3">
        <f t="shared" si="9"/>
        <v>40749490.130000003</v>
      </c>
      <c r="H19" s="3">
        <f t="shared" si="9"/>
        <v>56090623.580000006</v>
      </c>
      <c r="I19" s="3">
        <f t="shared" si="9"/>
        <v>58972204.710000001</v>
      </c>
      <c r="J19" s="3">
        <f t="shared" si="9"/>
        <v>68301216.00999999</v>
      </c>
      <c r="K19" s="3">
        <f t="shared" si="9"/>
        <v>77032073.739999995</v>
      </c>
    </row>
    <row r="20" spans="1:11" x14ac:dyDescent="0.3">
      <c r="A20" s="4" t="s">
        <v>3</v>
      </c>
      <c r="B20" s="3">
        <v>13025692.109999999</v>
      </c>
      <c r="C20" s="3">
        <v>12987189.49</v>
      </c>
      <c r="D20" s="3">
        <v>21990866.789999999</v>
      </c>
      <c r="E20" s="3">
        <v>23537099.899999999</v>
      </c>
      <c r="F20" s="3">
        <v>4612966.21</v>
      </c>
      <c r="G20" s="3">
        <v>2348063.67</v>
      </c>
      <c r="H20" s="3">
        <v>2047281.97</v>
      </c>
      <c r="I20" s="3">
        <v>4349272.96</v>
      </c>
      <c r="J20" s="3">
        <v>7209248.7599999998</v>
      </c>
      <c r="K20" s="3">
        <v>8429654.8499999996</v>
      </c>
    </row>
    <row r="21" spans="1:11" x14ac:dyDescent="0.3">
      <c r="A21" s="70" t="s">
        <v>4</v>
      </c>
      <c r="B21" s="37">
        <f t="shared" ref="B21" si="10">B7-B13-B19-B20</f>
        <v>30480.999999992549</v>
      </c>
      <c r="C21" s="37">
        <f t="shared" ref="C21:D21" si="11">C7-C13-C19-C20</f>
        <v>0</v>
      </c>
      <c r="D21" s="37">
        <f t="shared" si="11"/>
        <v>6635043.7300000042</v>
      </c>
      <c r="E21" s="37">
        <f t="shared" ref="E21:K21" si="12">E7-E13-E19-E20</f>
        <v>9963309.2799999937</v>
      </c>
      <c r="F21" s="37">
        <f t="shared" si="12"/>
        <v>11363054.099999987</v>
      </c>
      <c r="G21" s="37">
        <f t="shared" si="12"/>
        <v>11407665.389999995</v>
      </c>
      <c r="H21" s="37">
        <f t="shared" si="12"/>
        <v>31472088.209999986</v>
      </c>
      <c r="I21" s="37">
        <f t="shared" si="12"/>
        <v>21459314.190000042</v>
      </c>
      <c r="J21" s="37">
        <f t="shared" ref="J21" si="13">J7-J13-J19-J20</f>
        <v>19863415.059999995</v>
      </c>
      <c r="K21" s="37">
        <f t="shared" si="12"/>
        <v>20201677.720000096</v>
      </c>
    </row>
    <row r="22" spans="1:11" x14ac:dyDescent="0.3">
      <c r="A22" t="s">
        <v>356</v>
      </c>
      <c r="B22" s="1"/>
      <c r="D22" s="1">
        <v>-2894398.24</v>
      </c>
      <c r="E22" s="1">
        <v>-6214713.29</v>
      </c>
      <c r="F22" s="1">
        <v>-1885067.26</v>
      </c>
      <c r="G22" s="1">
        <v>-7614020.5999999996</v>
      </c>
      <c r="H22" s="1">
        <v>-4270697.58</v>
      </c>
      <c r="I22" s="1">
        <v>-1486702.5</v>
      </c>
      <c r="J22" s="1">
        <v>-2812159.49</v>
      </c>
      <c r="K22" s="1">
        <v>-2179106.89</v>
      </c>
    </row>
    <row r="23" spans="1:11" x14ac:dyDescent="0.3">
      <c r="A23" t="s">
        <v>357</v>
      </c>
      <c r="B23" s="6"/>
      <c r="C23" s="6"/>
      <c r="D23" s="6">
        <f t="shared" ref="D23:G23" si="14">D8/D3*100</f>
        <v>21.762006709426366</v>
      </c>
      <c r="E23" s="6">
        <f t="shared" si="14"/>
        <v>26.55554064334104</v>
      </c>
      <c r="F23" s="6">
        <f t="shared" si="14"/>
        <v>36.308746268222144</v>
      </c>
      <c r="G23" s="6">
        <f t="shared" si="14"/>
        <v>42.585647444259713</v>
      </c>
      <c r="H23" s="6">
        <f t="shared" ref="H23:K23" si="15">H8/H3*100</f>
        <v>36.623339151293557</v>
      </c>
      <c r="I23" s="6">
        <f t="shared" ref="I23:J23" si="16">I8/I3*100</f>
        <v>40.02934797703918</v>
      </c>
      <c r="J23" s="6">
        <f t="shared" si="16"/>
        <v>45.97806373871618</v>
      </c>
      <c r="K23" s="6">
        <f t="shared" si="15"/>
        <v>48.033524480776343</v>
      </c>
    </row>
  </sheetData>
  <conditionalFormatting sqref="D21:G21 K21">
    <cfRule type="cellIs" dxfId="105" priority="24" operator="greaterThan">
      <formula>0</formula>
    </cfRule>
  </conditionalFormatting>
  <conditionalFormatting sqref="D21:G21 K21">
    <cfRule type="cellIs" dxfId="104" priority="21" operator="greaterThan">
      <formula>0</formula>
    </cfRule>
    <cfRule type="cellIs" dxfId="103" priority="22" operator="lessThan">
      <formula>0</formula>
    </cfRule>
  </conditionalFormatting>
  <conditionalFormatting sqref="C21">
    <cfRule type="cellIs" dxfId="102" priority="15" operator="greaterThan">
      <formula>0</formula>
    </cfRule>
  </conditionalFormatting>
  <conditionalFormatting sqref="C21">
    <cfRule type="cellIs" dxfId="101" priority="13" operator="greaterThan">
      <formula>0</formula>
    </cfRule>
    <cfRule type="cellIs" dxfId="100" priority="14" operator="lessThan">
      <formula>0</formula>
    </cfRule>
  </conditionalFormatting>
  <conditionalFormatting sqref="B21">
    <cfRule type="cellIs" dxfId="99" priority="12" operator="greaterThan">
      <formula>0</formula>
    </cfRule>
  </conditionalFormatting>
  <conditionalFormatting sqref="B21">
    <cfRule type="cellIs" dxfId="98" priority="10" operator="greaterThan">
      <formula>0</formula>
    </cfRule>
    <cfRule type="cellIs" dxfId="97" priority="11" operator="lessThan">
      <formula>0</formula>
    </cfRule>
  </conditionalFormatting>
  <conditionalFormatting sqref="H21">
    <cfRule type="cellIs" dxfId="96" priority="9" operator="greaterThan">
      <formula>0</formula>
    </cfRule>
  </conditionalFormatting>
  <conditionalFormatting sqref="H21">
    <cfRule type="cellIs" dxfId="95" priority="7" operator="greaterThan">
      <formula>0</formula>
    </cfRule>
    <cfRule type="cellIs" dxfId="94" priority="8" operator="lessThan">
      <formula>0</formula>
    </cfRule>
  </conditionalFormatting>
  <conditionalFormatting sqref="I21">
    <cfRule type="cellIs" dxfId="93" priority="6" operator="greaterThan">
      <formula>0</formula>
    </cfRule>
  </conditionalFormatting>
  <conditionalFormatting sqref="I21">
    <cfRule type="cellIs" dxfId="92" priority="4" operator="greaterThan">
      <formula>0</formula>
    </cfRule>
    <cfRule type="cellIs" dxfId="91" priority="5" operator="lessThan">
      <formula>0</formula>
    </cfRule>
  </conditionalFormatting>
  <conditionalFormatting sqref="J21">
    <cfRule type="cellIs" dxfId="90" priority="3" operator="greaterThan">
      <formula>0</formula>
    </cfRule>
  </conditionalFormatting>
  <conditionalFormatting sqref="J21">
    <cfRule type="cellIs" dxfId="89" priority="1" operator="greaterThan">
      <formula>0</formula>
    </cfRule>
    <cfRule type="cellIs" dxfId="88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J2" sqref="J2:J29"/>
    </sheetView>
  </sheetViews>
  <sheetFormatPr defaultRowHeight="14.4" x14ac:dyDescent="0.3"/>
  <cols>
    <col min="1" max="1" width="65.33203125" bestFit="1" customWidth="1"/>
    <col min="2" max="2" width="3.44140625" bestFit="1" customWidth="1"/>
    <col min="3" max="4" width="15.44140625" bestFit="1" customWidth="1"/>
    <col min="5" max="10" width="15.5546875" customWidth="1"/>
    <col min="11" max="11" width="12.33203125" bestFit="1" customWidth="1"/>
  </cols>
  <sheetData>
    <row r="1" spans="1:11" x14ac:dyDescent="0.3">
      <c r="C1" s="98">
        <v>2016</v>
      </c>
      <c r="D1" s="12">
        <v>2017</v>
      </c>
      <c r="E1" s="12">
        <v>2018</v>
      </c>
      <c r="F1" s="12">
        <v>2019</v>
      </c>
      <c r="G1" s="12">
        <v>2020</v>
      </c>
      <c r="H1" s="12">
        <v>2021</v>
      </c>
      <c r="I1" s="12">
        <v>2022</v>
      </c>
      <c r="J1" s="12">
        <v>2023</v>
      </c>
      <c r="K1" s="12" t="s">
        <v>266</v>
      </c>
    </row>
    <row r="2" spans="1:11" x14ac:dyDescent="0.3">
      <c r="A2" t="s">
        <v>236</v>
      </c>
      <c r="B2" s="26" t="s">
        <v>260</v>
      </c>
      <c r="C2" s="1">
        <v>148657969.81</v>
      </c>
      <c r="D2" s="1">
        <v>149443343.53</v>
      </c>
      <c r="E2" s="1">
        <v>154187546.74000001</v>
      </c>
      <c r="F2" s="1">
        <v>159572223.33000001</v>
      </c>
      <c r="G2" s="1">
        <v>154126218.19999999</v>
      </c>
      <c r="H2" s="1">
        <v>152058918.43000001</v>
      </c>
      <c r="I2" s="1">
        <v>163648349.08000001</v>
      </c>
      <c r="J2" s="1">
        <v>162936012.55000001</v>
      </c>
      <c r="K2" s="1">
        <f>J2-I2</f>
        <v>-712336.53000000119</v>
      </c>
    </row>
    <row r="3" spans="1:11" x14ac:dyDescent="0.3">
      <c r="A3" t="s">
        <v>237</v>
      </c>
      <c r="B3" s="26" t="s">
        <v>260</v>
      </c>
      <c r="C3" s="1">
        <v>20843809.100000001</v>
      </c>
      <c r="D3" s="1">
        <v>12483942.16</v>
      </c>
      <c r="E3" s="1">
        <v>13938496.460000001</v>
      </c>
      <c r="F3" s="1">
        <v>13938496.460000001</v>
      </c>
      <c r="G3" s="1">
        <v>14005564.02</v>
      </c>
      <c r="H3" s="1">
        <v>25079289.73</v>
      </c>
      <c r="I3" s="1">
        <v>16020792</v>
      </c>
      <c r="J3" s="1">
        <v>16045221.65</v>
      </c>
      <c r="K3" s="1">
        <f t="shared" ref="K3:K29" si="0">J3-I3</f>
        <v>24429.650000000373</v>
      </c>
    </row>
    <row r="4" spans="1:11" x14ac:dyDescent="0.3">
      <c r="A4" t="s">
        <v>238</v>
      </c>
      <c r="B4" s="26" t="s">
        <v>260</v>
      </c>
      <c r="C4" s="1">
        <f>32539056.67+8272884.84+8554872.68</f>
        <v>49366814.190000005</v>
      </c>
      <c r="D4" s="1">
        <v>31076079.039999999</v>
      </c>
      <c r="E4" s="1">
        <v>37061479.520000003</v>
      </c>
      <c r="F4" s="1">
        <v>50091129.799999997</v>
      </c>
      <c r="G4" s="1">
        <v>87294961.840000004</v>
      </c>
      <c r="H4" s="1">
        <v>72591096.400000006</v>
      </c>
      <c r="I4" s="1">
        <v>104819886.13</v>
      </c>
      <c r="J4" s="1">
        <v>92796328.700000003</v>
      </c>
      <c r="K4" s="1">
        <f t="shared" si="0"/>
        <v>-12023557.429999992</v>
      </c>
    </row>
    <row r="5" spans="1:11" x14ac:dyDescent="0.3">
      <c r="A5" t="s">
        <v>239</v>
      </c>
      <c r="B5" s="26" t="s">
        <v>260</v>
      </c>
      <c r="C5" s="1">
        <f>12712357.46+299119.22+15233897.09</f>
        <v>28245373.770000003</v>
      </c>
      <c r="D5" s="1">
        <v>29494912.609999999</v>
      </c>
      <c r="E5" s="1">
        <v>30618128.98</v>
      </c>
      <c r="F5" s="1">
        <v>29340059.82</v>
      </c>
      <c r="G5" s="1">
        <v>22145330.27</v>
      </c>
      <c r="H5" s="1">
        <v>29073444.370000001</v>
      </c>
      <c r="I5" s="1">
        <v>34658938.859999999</v>
      </c>
      <c r="J5" s="1">
        <v>36237056.740000002</v>
      </c>
      <c r="K5" s="1">
        <f t="shared" si="0"/>
        <v>1578117.8800000027</v>
      </c>
    </row>
    <row r="6" spans="1:11" x14ac:dyDescent="0.3">
      <c r="A6" t="s">
        <v>240</v>
      </c>
      <c r="B6" s="26" t="s">
        <v>260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f t="shared" si="0"/>
        <v>0</v>
      </c>
    </row>
    <row r="7" spans="1:11" x14ac:dyDescent="0.3">
      <c r="A7" t="s">
        <v>241</v>
      </c>
      <c r="B7" s="26" t="s">
        <v>260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f t="shared" si="0"/>
        <v>0</v>
      </c>
    </row>
    <row r="8" spans="1:11" x14ac:dyDescent="0.3">
      <c r="A8" t="s">
        <v>242</v>
      </c>
      <c r="B8" s="26" t="s">
        <v>260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f t="shared" si="0"/>
        <v>0</v>
      </c>
    </row>
    <row r="9" spans="1:11" x14ac:dyDescent="0.3">
      <c r="A9" s="32" t="s">
        <v>243</v>
      </c>
      <c r="B9" s="33" t="s">
        <v>260</v>
      </c>
      <c r="C9" s="34">
        <v>46207082.289999999</v>
      </c>
      <c r="D9" s="34">
        <v>32569692.129999999</v>
      </c>
      <c r="E9" s="34">
        <v>36795026.979999997</v>
      </c>
      <c r="F9" s="34">
        <v>32579393.039999999</v>
      </c>
      <c r="G9" s="34">
        <v>24482836.300000001</v>
      </c>
      <c r="H9" s="34">
        <v>18428291.719999999</v>
      </c>
      <c r="I9" s="1">
        <v>55407655.369999997</v>
      </c>
      <c r="J9" s="1">
        <v>58356774.810000002</v>
      </c>
      <c r="K9" s="1">
        <f t="shared" si="0"/>
        <v>2949119.4400000051</v>
      </c>
    </row>
    <row r="10" spans="1:11" x14ac:dyDescent="0.3">
      <c r="A10" s="35" t="s">
        <v>264</v>
      </c>
      <c r="B10" s="36" t="s">
        <v>260</v>
      </c>
      <c r="C10" s="94">
        <f t="shared" ref="C10:E10" si="1">SUM(C2:C9)</f>
        <v>293321049.16000003</v>
      </c>
      <c r="D10" s="94">
        <f t="shared" si="1"/>
        <v>255067969.46999997</v>
      </c>
      <c r="E10" s="94">
        <f t="shared" si="1"/>
        <v>272600678.68000001</v>
      </c>
      <c r="F10" s="94">
        <f t="shared" ref="F10:J10" si="2">SUM(F2:F9)</f>
        <v>285521302.45000005</v>
      </c>
      <c r="G10" s="94">
        <f t="shared" ref="G10:I10" si="3">SUM(G2:G9)</f>
        <v>302054910.63</v>
      </c>
      <c r="H10" s="94">
        <f t="shared" si="3"/>
        <v>297231040.64999998</v>
      </c>
      <c r="I10" s="94">
        <f t="shared" si="3"/>
        <v>374555621.44000006</v>
      </c>
      <c r="J10" s="94">
        <f t="shared" si="2"/>
        <v>366371394.45000005</v>
      </c>
      <c r="K10" s="11">
        <f t="shared" si="0"/>
        <v>-8184226.9900000095</v>
      </c>
    </row>
    <row r="11" spans="1:11" x14ac:dyDescent="0.3">
      <c r="A11" t="s">
        <v>244</v>
      </c>
      <c r="B11" s="26" t="s">
        <v>261</v>
      </c>
      <c r="C11" s="1">
        <v>1834518.08</v>
      </c>
      <c r="D11" s="1">
        <v>1819441.67</v>
      </c>
      <c r="E11" s="1">
        <v>2100913.56</v>
      </c>
      <c r="F11" s="1">
        <v>2104757.7200000002</v>
      </c>
      <c r="G11" s="1">
        <v>2978387.37</v>
      </c>
      <c r="H11" s="1">
        <v>2791920.45</v>
      </c>
      <c r="I11" s="1">
        <v>1947479.14</v>
      </c>
      <c r="J11" s="1">
        <v>2038071.35</v>
      </c>
      <c r="K11" s="1">
        <f t="shared" si="0"/>
        <v>90592.210000000196</v>
      </c>
    </row>
    <row r="12" spans="1:11" x14ac:dyDescent="0.3">
      <c r="A12" t="s">
        <v>245</v>
      </c>
      <c r="B12" s="26" t="s">
        <v>261</v>
      </c>
      <c r="C12" s="1">
        <v>127047555.58</v>
      </c>
      <c r="D12" s="1">
        <v>131816944.61</v>
      </c>
      <c r="E12" s="1">
        <v>136230602.69999999</v>
      </c>
      <c r="F12" s="1">
        <v>141802668.38</v>
      </c>
      <c r="G12" s="1">
        <v>131512108.28</v>
      </c>
      <c r="H12" s="1">
        <v>139529313.06</v>
      </c>
      <c r="I12" s="1">
        <v>152505761.03</v>
      </c>
      <c r="J12" s="1">
        <v>152390995.13</v>
      </c>
      <c r="K12" s="1">
        <f t="shared" si="0"/>
        <v>-114765.90000000596</v>
      </c>
    </row>
    <row r="13" spans="1:11" x14ac:dyDescent="0.3">
      <c r="A13" t="s">
        <v>246</v>
      </c>
      <c r="B13" s="26" t="s">
        <v>261</v>
      </c>
      <c r="C13" s="1">
        <v>4277975.91</v>
      </c>
      <c r="D13" s="1">
        <v>4712257.91</v>
      </c>
      <c r="E13" s="1">
        <v>4699197.51</v>
      </c>
      <c r="F13" s="1">
        <v>4927335.09</v>
      </c>
      <c r="G13" s="1">
        <v>4694169.87</v>
      </c>
      <c r="H13" s="1">
        <v>5267534.4000000004</v>
      </c>
      <c r="I13" s="1">
        <v>5048745.6100000003</v>
      </c>
      <c r="J13" s="1">
        <v>4996790.54</v>
      </c>
      <c r="K13" s="1">
        <f t="shared" si="0"/>
        <v>-51955.070000000298</v>
      </c>
    </row>
    <row r="14" spans="1:11" x14ac:dyDescent="0.3">
      <c r="A14" t="s">
        <v>247</v>
      </c>
      <c r="B14" s="26" t="s">
        <v>261</v>
      </c>
      <c r="C14" s="1">
        <f>25000153.86+6624255.68</f>
        <v>31624409.539999999</v>
      </c>
      <c r="D14" s="1">
        <v>22368644.800000001</v>
      </c>
      <c r="E14" s="1">
        <v>32438117.57</v>
      </c>
      <c r="F14" s="1">
        <v>28864670.879999999</v>
      </c>
      <c r="G14" s="1">
        <v>33301054.649999999</v>
      </c>
      <c r="H14" s="1">
        <v>47038060.509999998</v>
      </c>
      <c r="I14" s="1">
        <v>77064652.620000005</v>
      </c>
      <c r="J14" s="1">
        <v>63853357.109999999</v>
      </c>
      <c r="K14" s="1">
        <f t="shared" si="0"/>
        <v>-13211295.510000005</v>
      </c>
    </row>
    <row r="15" spans="1:11" x14ac:dyDescent="0.3">
      <c r="A15" t="s">
        <v>248</v>
      </c>
      <c r="B15" s="26" t="s">
        <v>261</v>
      </c>
      <c r="C15" s="1">
        <v>69915637.450000003</v>
      </c>
      <c r="D15" s="1">
        <v>68856887.810000002</v>
      </c>
      <c r="E15" s="1">
        <v>70521229.329999998</v>
      </c>
      <c r="F15" s="1">
        <v>70086473.629999995</v>
      </c>
      <c r="G15" s="1">
        <v>72854681.530000001</v>
      </c>
      <c r="H15" s="1">
        <v>71290349.709999993</v>
      </c>
      <c r="I15" s="1">
        <v>75036062.920000002</v>
      </c>
      <c r="J15" s="1">
        <v>75955847.280000001</v>
      </c>
      <c r="K15" s="1">
        <f t="shared" si="0"/>
        <v>919784.3599999994</v>
      </c>
    </row>
    <row r="16" spans="1:11" x14ac:dyDescent="0.3">
      <c r="A16" t="s">
        <v>249</v>
      </c>
      <c r="B16" s="26" t="s">
        <v>261</v>
      </c>
      <c r="C16" s="1">
        <f>124046.16+31880920.63</f>
        <v>32004966.789999999</v>
      </c>
      <c r="D16" s="1">
        <v>39187145.57</v>
      </c>
      <c r="E16" s="1">
        <v>30965055.579999998</v>
      </c>
      <c r="F16" s="1">
        <v>32296173.079999998</v>
      </c>
      <c r="G16" s="1">
        <v>32261640.559999999</v>
      </c>
      <c r="H16" s="1">
        <v>27514377.059999999</v>
      </c>
      <c r="I16" s="1">
        <v>52982603.579999998</v>
      </c>
      <c r="J16" s="1">
        <v>59349534.770000003</v>
      </c>
      <c r="K16" s="1">
        <f t="shared" si="0"/>
        <v>6366931.1900000051</v>
      </c>
    </row>
    <row r="17" spans="1:11" x14ac:dyDescent="0.3">
      <c r="A17" t="s">
        <v>250</v>
      </c>
      <c r="B17" s="26" t="s">
        <v>261</v>
      </c>
      <c r="C17" s="1">
        <v>99809.26</v>
      </c>
      <c r="D17" s="1">
        <v>33174.269999999997</v>
      </c>
      <c r="E17" s="1">
        <v>-114796.41</v>
      </c>
      <c r="F17" s="1">
        <v>-103364.55</v>
      </c>
      <c r="G17" s="1">
        <v>-84189.8</v>
      </c>
      <c r="H17" s="1">
        <v>-69447.850000000006</v>
      </c>
      <c r="I17" s="1">
        <v>-63625.78</v>
      </c>
      <c r="J17" s="1">
        <v>-37700.92</v>
      </c>
      <c r="K17" s="1">
        <f t="shared" si="0"/>
        <v>25924.86</v>
      </c>
    </row>
    <row r="18" spans="1:11" x14ac:dyDescent="0.3">
      <c r="A18" t="s">
        <v>251</v>
      </c>
      <c r="B18" s="26" t="s">
        <v>261</v>
      </c>
      <c r="C18" s="1">
        <v>0</v>
      </c>
      <c r="D18" s="1">
        <v>0</v>
      </c>
      <c r="E18" s="1">
        <v>0</v>
      </c>
      <c r="F18" s="1">
        <v>1513709.32</v>
      </c>
      <c r="G18" s="1">
        <v>0</v>
      </c>
      <c r="H18" s="1">
        <v>0</v>
      </c>
      <c r="I18" s="1">
        <v>0</v>
      </c>
      <c r="J18" s="1">
        <v>0</v>
      </c>
      <c r="K18" s="1">
        <f t="shared" si="0"/>
        <v>0</v>
      </c>
    </row>
    <row r="19" spans="1:11" x14ac:dyDescent="0.3">
      <c r="A19" t="s">
        <v>14</v>
      </c>
      <c r="B19" s="26" t="s">
        <v>261</v>
      </c>
      <c r="C19" s="1">
        <v>21571540.079999998</v>
      </c>
      <c r="D19" s="1">
        <v>0</v>
      </c>
      <c r="E19" s="1">
        <v>0</v>
      </c>
      <c r="F19" s="1">
        <v>0</v>
      </c>
      <c r="G19" s="1">
        <v>4346056.87</v>
      </c>
      <c r="H19" s="1">
        <v>6930018.8300000001</v>
      </c>
      <c r="I19" s="1">
        <v>3997839.49</v>
      </c>
      <c r="J19" s="1">
        <v>0</v>
      </c>
      <c r="K19" s="1">
        <f t="shared" si="0"/>
        <v>-3997839.49</v>
      </c>
    </row>
    <row r="20" spans="1:11" x14ac:dyDescent="0.3">
      <c r="A20" s="32" t="s">
        <v>252</v>
      </c>
      <c r="B20" s="33" t="s">
        <v>261</v>
      </c>
      <c r="C20" s="34">
        <v>4122568.13</v>
      </c>
      <c r="D20" s="34">
        <v>3414489.1</v>
      </c>
      <c r="E20" s="34">
        <v>5857509.25</v>
      </c>
      <c r="F20" s="1">
        <v>3342356.54</v>
      </c>
      <c r="G20" s="1">
        <v>4052514.79</v>
      </c>
      <c r="H20" s="1">
        <v>4476517.25</v>
      </c>
      <c r="I20" s="1">
        <v>3969867.06</v>
      </c>
      <c r="J20" s="1">
        <v>4104552.55</v>
      </c>
      <c r="K20" s="1">
        <f t="shared" si="0"/>
        <v>134685.48999999976</v>
      </c>
    </row>
    <row r="21" spans="1:11" x14ac:dyDescent="0.3">
      <c r="A21" s="35" t="s">
        <v>265</v>
      </c>
      <c r="B21" s="36" t="s">
        <v>261</v>
      </c>
      <c r="C21" s="94">
        <f>SUM(C11:C20)</f>
        <v>292498980.81999999</v>
      </c>
      <c r="D21" s="94">
        <f t="shared" ref="D21:E21" si="4">SUM(D11:D20)</f>
        <v>272208985.74000001</v>
      </c>
      <c r="E21" s="94">
        <f t="shared" si="4"/>
        <v>282697829.08999991</v>
      </c>
      <c r="F21" s="94">
        <f t="shared" ref="F21:J21" si="5">SUM(F11:F20)</f>
        <v>284834780.08999997</v>
      </c>
      <c r="G21" s="94">
        <f t="shared" ref="G21:I21" si="6">SUM(G11:G20)</f>
        <v>285916424.12</v>
      </c>
      <c r="H21" s="94">
        <f t="shared" si="6"/>
        <v>304768643.41999996</v>
      </c>
      <c r="I21" s="94">
        <f t="shared" si="6"/>
        <v>372489385.67000002</v>
      </c>
      <c r="J21" s="94">
        <f t="shared" si="5"/>
        <v>362651447.80999994</v>
      </c>
      <c r="K21" s="11">
        <f t="shared" si="0"/>
        <v>-9837937.8600000739</v>
      </c>
    </row>
    <row r="22" spans="1:11" x14ac:dyDescent="0.3">
      <c r="A22" t="s">
        <v>253</v>
      </c>
      <c r="B22" s="26" t="s">
        <v>260</v>
      </c>
      <c r="C22" s="1">
        <v>5970037.8200000003</v>
      </c>
      <c r="D22" s="1">
        <v>5186057.88</v>
      </c>
      <c r="E22" s="1">
        <v>4502693.01</v>
      </c>
      <c r="F22" s="1">
        <v>4914606.0999999996</v>
      </c>
      <c r="G22" s="1">
        <v>4862217.2300000004</v>
      </c>
      <c r="H22" s="1">
        <v>6101221.6200000001</v>
      </c>
      <c r="I22" s="1">
        <v>5744723.4699999997</v>
      </c>
      <c r="J22" s="1">
        <v>6327810.7999999998</v>
      </c>
      <c r="K22" s="1">
        <f t="shared" si="0"/>
        <v>583087.33000000007</v>
      </c>
    </row>
    <row r="23" spans="1:11" x14ac:dyDescent="0.3">
      <c r="A23" t="s">
        <v>254</v>
      </c>
      <c r="B23" s="26" t="s">
        <v>261</v>
      </c>
      <c r="C23" s="1">
        <v>3321241.78</v>
      </c>
      <c r="D23" s="1">
        <v>3442246.14</v>
      </c>
      <c r="E23" s="1">
        <v>3417574.13</v>
      </c>
      <c r="F23" s="1">
        <v>3140924.27</v>
      </c>
      <c r="G23" s="1">
        <v>3004387.42</v>
      </c>
      <c r="H23" s="1">
        <v>2841250.12</v>
      </c>
      <c r="I23" s="1">
        <v>2806982.46</v>
      </c>
      <c r="J23" s="1">
        <v>2657167.9300000002</v>
      </c>
      <c r="K23" s="1">
        <f t="shared" si="0"/>
        <v>-149814.5299999998</v>
      </c>
    </row>
    <row r="24" spans="1:11" x14ac:dyDescent="0.3">
      <c r="A24" t="s">
        <v>255</v>
      </c>
      <c r="B24" s="26" t="s">
        <v>260</v>
      </c>
      <c r="C24" s="1">
        <v>-3688970.27</v>
      </c>
      <c r="D24" s="1">
        <v>-6636417.5599999996</v>
      </c>
      <c r="E24" s="1">
        <v>1564117.86</v>
      </c>
      <c r="F24" s="1">
        <v>2944856.96</v>
      </c>
      <c r="G24" s="1">
        <v>-698903.02</v>
      </c>
      <c r="H24" s="1">
        <v>9091661.5899999999</v>
      </c>
      <c r="I24" s="1">
        <v>4947585.6500000004</v>
      </c>
      <c r="J24" s="1">
        <v>-24748.400000000001</v>
      </c>
      <c r="K24" s="1">
        <f t="shared" si="0"/>
        <v>-4972334.0500000007</v>
      </c>
    </row>
    <row r="25" spans="1:11" x14ac:dyDescent="0.3">
      <c r="A25" t="s">
        <v>256</v>
      </c>
      <c r="B25" s="26" t="s">
        <v>260</v>
      </c>
      <c r="C25" s="1">
        <v>8754495.6999999993</v>
      </c>
      <c r="D25" s="1">
        <v>29860984.359999999</v>
      </c>
      <c r="E25" s="1">
        <v>21963768.780000001</v>
      </c>
      <c r="F25" s="1">
        <v>14759613.93</v>
      </c>
      <c r="G25" s="1">
        <v>22425253.600000001</v>
      </c>
      <c r="H25" s="1">
        <v>17269413.449999999</v>
      </c>
      <c r="I25" s="1">
        <v>16174938.130000001</v>
      </c>
      <c r="J25" s="1">
        <v>12212199.039999999</v>
      </c>
      <c r="K25" s="1">
        <f t="shared" si="0"/>
        <v>-3962739.0900000017</v>
      </c>
    </row>
    <row r="26" spans="1:11" x14ac:dyDescent="0.3">
      <c r="A26" t="s">
        <v>257</v>
      </c>
      <c r="B26" s="26" t="s">
        <v>261</v>
      </c>
      <c r="C26" s="1">
        <v>3744372.89</v>
      </c>
      <c r="D26" s="1">
        <v>2108152.73</v>
      </c>
      <c r="E26" s="1">
        <v>10022330.84</v>
      </c>
      <c r="F26" s="1">
        <v>13847824.75</v>
      </c>
      <c r="G26" s="1">
        <v>12255013.6</v>
      </c>
      <c r="H26" s="1">
        <v>4365057.47</v>
      </c>
      <c r="I26" s="1">
        <v>5372145.5300000003</v>
      </c>
      <c r="J26" s="1">
        <v>2475426.5099999998</v>
      </c>
      <c r="K26" s="1">
        <f t="shared" si="0"/>
        <v>-2896719.0200000005</v>
      </c>
    </row>
    <row r="27" spans="1:11" x14ac:dyDescent="0.3">
      <c r="A27" t="s">
        <v>258</v>
      </c>
      <c r="B27" s="26" t="s">
        <v>261</v>
      </c>
      <c r="C27" s="1">
        <v>4001609.91</v>
      </c>
      <c r="D27" s="1">
        <v>3885818.61</v>
      </c>
      <c r="E27" s="1">
        <v>4109547.45</v>
      </c>
      <c r="F27" s="1">
        <v>4051814.34</v>
      </c>
      <c r="G27" s="1">
        <v>4194539.22</v>
      </c>
      <c r="H27" s="1">
        <v>4132039.55</v>
      </c>
      <c r="I27" s="1">
        <v>4312729.0999999996</v>
      </c>
      <c r="J27" s="1">
        <v>4610443.18</v>
      </c>
      <c r="K27" s="1">
        <f t="shared" si="0"/>
        <v>297714.08000000007</v>
      </c>
    </row>
    <row r="28" spans="1:11" x14ac:dyDescent="0.3">
      <c r="A28" s="10" t="s">
        <v>259</v>
      </c>
      <c r="B28" s="36" t="s">
        <v>262</v>
      </c>
      <c r="C28" s="37">
        <f>C10-C21+C22-C23+C24+C25-C26-C27</f>
        <v>790407.01000003144</v>
      </c>
      <c r="D28" s="37">
        <f t="shared" ref="D28:E28" si="7">D10-D21+D22-D23+D24+D25-D26-D27</f>
        <v>1833390.9299999583</v>
      </c>
      <c r="E28" s="37">
        <f t="shared" si="7"/>
        <v>383976.8200000925</v>
      </c>
      <c r="F28" s="37">
        <f t="shared" ref="F28:J28" si="8">F10-F21+F22-F23+F24+F25-F26-F27</f>
        <v>2265035.9900000729</v>
      </c>
      <c r="G28" s="37">
        <f t="shared" ref="G28:I28" si="9">G10-G21+G22-G23+G24+G25-G26-G27</f>
        <v>23273114.079999991</v>
      </c>
      <c r="H28" s="37">
        <f t="shared" si="9"/>
        <v>13586346.750000019</v>
      </c>
      <c r="I28" s="37">
        <f t="shared" si="9"/>
        <v>16441625.930000039</v>
      </c>
      <c r="J28" s="37">
        <f t="shared" si="8"/>
        <v>12492170.460000105</v>
      </c>
      <c r="K28" s="37">
        <f t="shared" si="0"/>
        <v>-3949455.4699999336</v>
      </c>
    </row>
    <row r="29" spans="1:11" x14ac:dyDescent="0.3">
      <c r="A29" s="72" t="s">
        <v>365</v>
      </c>
      <c r="B29" s="114"/>
      <c r="C29" s="115">
        <f>C10-SUM(C11:C15)+C17</f>
        <v>58720761.860000022</v>
      </c>
      <c r="D29" s="115">
        <f t="shared" ref="D29:J29" si="10">D10-SUM(D11:D15)+D17</f>
        <v>25526966.939999957</v>
      </c>
      <c r="E29" s="115">
        <f t="shared" si="10"/>
        <v>26495821.60000005</v>
      </c>
      <c r="F29" s="115">
        <f t="shared" si="10"/>
        <v>37632032.200000063</v>
      </c>
      <c r="G29" s="115">
        <f t="shared" si="10"/>
        <v>56630319.12999998</v>
      </c>
      <c r="H29" s="115">
        <f t="shared" si="10"/>
        <v>31244414.669999979</v>
      </c>
      <c r="I29" s="115">
        <f t="shared" ref="I29" si="11">I10-SUM(I11:I15)+I17</f>
        <v>62889294.340000063</v>
      </c>
      <c r="J29" s="115">
        <f t="shared" si="10"/>
        <v>67098632.120000079</v>
      </c>
      <c r="K29" s="115">
        <f t="shared" si="0"/>
        <v>4209337.7800000161</v>
      </c>
    </row>
  </sheetData>
  <conditionalFormatting sqref="C28:F28 J28:K28 C29:H29 J29">
    <cfRule type="cellIs" dxfId="87" priority="18" operator="greaterThan">
      <formula>0</formula>
    </cfRule>
  </conditionalFormatting>
  <conditionalFormatting sqref="G28">
    <cfRule type="cellIs" dxfId="86" priority="8" operator="greaterThan">
      <formula>0</formula>
    </cfRule>
  </conditionalFormatting>
  <conditionalFormatting sqref="H28">
    <cfRule type="cellIs" dxfId="85" priority="7" operator="greaterThan">
      <formula>0</formula>
    </cfRule>
  </conditionalFormatting>
  <conditionalFormatting sqref="K29">
    <cfRule type="cellIs" dxfId="84" priority="2" operator="greaterThan">
      <formula>0</formula>
    </cfRule>
  </conditionalFormatting>
  <conditionalFormatting sqref="I28:I29">
    <cfRule type="cellIs" dxfId="8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workbookViewId="0">
      <selection activeCell="J2" sqref="J2:J16"/>
    </sheetView>
  </sheetViews>
  <sheetFormatPr defaultRowHeight="14.4" x14ac:dyDescent="0.3"/>
  <cols>
    <col min="1" max="1" width="50.6640625" bestFit="1" customWidth="1"/>
    <col min="2" max="9" width="11.5546875" bestFit="1" customWidth="1"/>
    <col min="10" max="10" width="11.21875" bestFit="1" customWidth="1"/>
  </cols>
  <sheetData>
    <row r="1" spans="1:10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42" t="s">
        <v>266</v>
      </c>
    </row>
    <row r="2" spans="1:10" x14ac:dyDescent="0.3">
      <c r="A2" s="71" t="s">
        <v>346</v>
      </c>
      <c r="B2" s="64">
        <f>Conto_economico!C10</f>
        <v>293321049.16000003</v>
      </c>
      <c r="C2" s="64">
        <f>Conto_economico!D10</f>
        <v>255067969.46999997</v>
      </c>
      <c r="D2" s="64">
        <f>Conto_economico!E10</f>
        <v>272600678.68000001</v>
      </c>
      <c r="E2" s="64">
        <f>Conto_economico!F10</f>
        <v>285521302.45000005</v>
      </c>
      <c r="F2" s="64">
        <f>Conto_economico!G10</f>
        <v>302054910.63</v>
      </c>
      <c r="G2" s="64">
        <f>Conto_economico!H10</f>
        <v>297231040.64999998</v>
      </c>
      <c r="H2" s="64">
        <f>Conto_economico!I10</f>
        <v>374555621.44000006</v>
      </c>
      <c r="I2" s="64">
        <f>Conto_economico!J10</f>
        <v>366371394.45000005</v>
      </c>
      <c r="J2" s="64">
        <f t="shared" ref="J2:J16" si="0">I2-H2</f>
        <v>-8184226.9900000095</v>
      </c>
    </row>
    <row r="3" spans="1:10" x14ac:dyDescent="0.3">
      <c r="A3" s="71" t="s">
        <v>341</v>
      </c>
      <c r="B3" s="64">
        <f>Conto_economico!C2</f>
        <v>148657969.81</v>
      </c>
      <c r="C3" s="64">
        <f>Conto_economico!D2</f>
        <v>149443343.53</v>
      </c>
      <c r="D3" s="64">
        <f>Conto_economico!E2</f>
        <v>154187546.74000001</v>
      </c>
      <c r="E3" s="64">
        <f>Conto_economico!F2</f>
        <v>159572223.33000001</v>
      </c>
      <c r="F3" s="64">
        <f>Conto_economico!G2</f>
        <v>154126218.19999999</v>
      </c>
      <c r="G3" s="64">
        <f>Conto_economico!H2</f>
        <v>152058918.43000001</v>
      </c>
      <c r="H3" s="64">
        <f>Conto_economico!I2</f>
        <v>163648349.08000001</v>
      </c>
      <c r="I3" s="64">
        <f>Conto_economico!J2</f>
        <v>162936012.55000001</v>
      </c>
      <c r="J3" s="64">
        <f t="shared" si="0"/>
        <v>-712336.53000000119</v>
      </c>
    </row>
    <row r="4" spans="1:10" x14ac:dyDescent="0.3">
      <c r="A4" s="71" t="s">
        <v>342</v>
      </c>
      <c r="B4" s="64">
        <f>Conto_economico!C4</f>
        <v>49366814.190000005</v>
      </c>
      <c r="C4" s="64">
        <f>Conto_economico!D4</f>
        <v>31076079.039999999</v>
      </c>
      <c r="D4" s="64">
        <f>Conto_economico!E4</f>
        <v>37061479.520000003</v>
      </c>
      <c r="E4" s="64">
        <f>Conto_economico!F4</f>
        <v>50091129.799999997</v>
      </c>
      <c r="F4" s="64">
        <f>Conto_economico!G4</f>
        <v>87294961.840000004</v>
      </c>
      <c r="G4" s="64">
        <f>Conto_economico!H4</f>
        <v>72591096.400000006</v>
      </c>
      <c r="H4" s="64">
        <f>Conto_economico!I4</f>
        <v>104819886.13</v>
      </c>
      <c r="I4" s="64">
        <f>Conto_economico!J4</f>
        <v>92796328.700000003</v>
      </c>
      <c r="J4" s="64">
        <f t="shared" si="0"/>
        <v>-12023557.429999992</v>
      </c>
    </row>
    <row r="5" spans="1:10" x14ac:dyDescent="0.3">
      <c r="A5" s="71" t="s">
        <v>347</v>
      </c>
      <c r="B5" s="65">
        <f>Conto_economico!C21</f>
        <v>292498980.81999999</v>
      </c>
      <c r="C5" s="65">
        <f>Conto_economico!D21</f>
        <v>272208985.74000001</v>
      </c>
      <c r="D5" s="65">
        <f>Conto_economico!E21</f>
        <v>282697829.08999991</v>
      </c>
      <c r="E5" s="65">
        <f>Conto_economico!F21</f>
        <v>284834780.08999997</v>
      </c>
      <c r="F5" s="65">
        <f>Conto_economico!G21</f>
        <v>285916424.12</v>
      </c>
      <c r="G5" s="65">
        <f>Conto_economico!H21</f>
        <v>304768643.41999996</v>
      </c>
      <c r="H5" s="65">
        <f>Conto_economico!I21</f>
        <v>372489385.67000002</v>
      </c>
      <c r="I5" s="65">
        <f>Conto_economico!J21</f>
        <v>362651447.80999994</v>
      </c>
      <c r="J5" s="64">
        <f t="shared" si="0"/>
        <v>-9837937.8600000739</v>
      </c>
    </row>
    <row r="6" spans="1:10" x14ac:dyDescent="0.3">
      <c r="A6" s="71" t="s">
        <v>343</v>
      </c>
      <c r="B6" s="64">
        <f>Conto_economico!C12</f>
        <v>127047555.58</v>
      </c>
      <c r="C6" s="64">
        <f>Conto_economico!D12</f>
        <v>131816944.61</v>
      </c>
      <c r="D6" s="64">
        <f>Conto_economico!E12</f>
        <v>136230602.69999999</v>
      </c>
      <c r="E6" s="64">
        <f>Conto_economico!F12</f>
        <v>141802668.38</v>
      </c>
      <c r="F6" s="64">
        <f>Conto_economico!G12</f>
        <v>131512108.28</v>
      </c>
      <c r="G6" s="64">
        <f>Conto_economico!H12</f>
        <v>139529313.06</v>
      </c>
      <c r="H6" s="64">
        <f>Conto_economico!I12</f>
        <v>152505761.03</v>
      </c>
      <c r="I6" s="64">
        <f>Conto_economico!J12</f>
        <v>152390995.13</v>
      </c>
      <c r="J6" s="64">
        <f t="shared" si="0"/>
        <v>-114765.90000000596</v>
      </c>
    </row>
    <row r="7" spans="1:10" x14ac:dyDescent="0.3">
      <c r="A7" s="71" t="s">
        <v>344</v>
      </c>
      <c r="B7" s="64">
        <f>Conto_economico!C15</f>
        <v>69915637.450000003</v>
      </c>
      <c r="C7" s="64">
        <f>Conto_economico!D15</f>
        <v>68856887.810000002</v>
      </c>
      <c r="D7" s="64">
        <f>Conto_economico!E15</f>
        <v>70521229.329999998</v>
      </c>
      <c r="E7" s="64">
        <f>Conto_economico!F15</f>
        <v>70086473.629999995</v>
      </c>
      <c r="F7" s="64">
        <f>Conto_economico!G15</f>
        <v>72854681.530000001</v>
      </c>
      <c r="G7" s="64">
        <f>Conto_economico!H15</f>
        <v>71290349.709999993</v>
      </c>
      <c r="H7" s="64">
        <f>Conto_economico!I15</f>
        <v>75036062.920000002</v>
      </c>
      <c r="I7" s="64">
        <f>Conto_economico!J15</f>
        <v>75955847.280000001</v>
      </c>
      <c r="J7" s="64">
        <f t="shared" si="0"/>
        <v>919784.3599999994</v>
      </c>
    </row>
    <row r="8" spans="1:10" x14ac:dyDescent="0.3">
      <c r="A8" s="71" t="s">
        <v>345</v>
      </c>
      <c r="B8" s="64">
        <f>Conto_economico!C16</f>
        <v>32004966.789999999</v>
      </c>
      <c r="C8" s="64">
        <f>Conto_economico!D16</f>
        <v>39187145.57</v>
      </c>
      <c r="D8" s="64">
        <f>Conto_economico!E16</f>
        <v>30965055.579999998</v>
      </c>
      <c r="E8" s="64">
        <f>Conto_economico!F16</f>
        <v>32296173.079999998</v>
      </c>
      <c r="F8" s="64">
        <f>Conto_economico!G16</f>
        <v>32261640.559999999</v>
      </c>
      <c r="G8" s="64">
        <f>Conto_economico!H16</f>
        <v>27514377.059999999</v>
      </c>
      <c r="H8" s="64">
        <f>Conto_economico!I16</f>
        <v>52982603.579999998</v>
      </c>
      <c r="I8" s="64">
        <f>Conto_economico!J16</f>
        <v>59349534.770000003</v>
      </c>
      <c r="J8" s="64">
        <f t="shared" si="0"/>
        <v>6366931.1900000051</v>
      </c>
    </row>
    <row r="9" spans="1:10" x14ac:dyDescent="0.3">
      <c r="A9" s="47" t="s">
        <v>365</v>
      </c>
      <c r="B9" s="66">
        <f>Conto_economico!C29</f>
        <v>58720761.860000022</v>
      </c>
      <c r="C9" s="66">
        <f>Conto_economico!D29</f>
        <v>25526966.939999957</v>
      </c>
      <c r="D9" s="66">
        <f>Conto_economico!E29</f>
        <v>26495821.60000005</v>
      </c>
      <c r="E9" s="66">
        <f>Conto_economico!F29</f>
        <v>37632032.200000063</v>
      </c>
      <c r="F9" s="66">
        <f>Conto_economico!G29</f>
        <v>56630319.12999998</v>
      </c>
      <c r="G9" s="66">
        <f>Conto_economico!H29</f>
        <v>31244414.669999979</v>
      </c>
      <c r="H9" s="66">
        <f>Conto_economico!I29</f>
        <v>62889294.340000063</v>
      </c>
      <c r="I9" s="66">
        <f>Conto_economico!J29</f>
        <v>67098632.120000079</v>
      </c>
      <c r="J9" s="66">
        <f t="shared" si="0"/>
        <v>4209337.7800000161</v>
      </c>
    </row>
    <row r="10" spans="1:10" x14ac:dyDescent="0.3">
      <c r="A10" s="47" t="s">
        <v>307</v>
      </c>
      <c r="B10" s="66">
        <f t="shared" ref="B10:D10" si="1">B2-B5</f>
        <v>822068.34000003338</v>
      </c>
      <c r="C10" s="66">
        <f t="shared" si="1"/>
        <v>-17141016.270000041</v>
      </c>
      <c r="D10" s="66">
        <f t="shared" si="1"/>
        <v>-10097150.409999907</v>
      </c>
      <c r="E10" s="66">
        <f t="shared" ref="E10:I10" si="2">E2-E5</f>
        <v>686522.36000007391</v>
      </c>
      <c r="F10" s="66">
        <f t="shared" ref="F10:H10" si="3">F2-F5</f>
        <v>16138486.50999999</v>
      </c>
      <c r="G10" s="66">
        <f t="shared" si="3"/>
        <v>-7537602.7699999809</v>
      </c>
      <c r="H10" s="66">
        <f t="shared" si="3"/>
        <v>2066235.7700000405</v>
      </c>
      <c r="I10" s="66">
        <f t="shared" si="2"/>
        <v>3719946.6400001049</v>
      </c>
      <c r="J10" s="66">
        <f t="shared" si="0"/>
        <v>1653710.8700000644</v>
      </c>
    </row>
    <row r="11" spans="1:10" x14ac:dyDescent="0.3">
      <c r="A11" s="71" t="s">
        <v>308</v>
      </c>
      <c r="B11" s="64">
        <f>Conto_economico!C22-Conto_economico!C23</f>
        <v>2648796.0400000005</v>
      </c>
      <c r="C11" s="64">
        <f>Conto_economico!D22-Conto_economico!D23</f>
        <v>1743811.7399999998</v>
      </c>
      <c r="D11" s="64">
        <f>Conto_economico!E22-Conto_economico!E23</f>
        <v>1085118.8799999999</v>
      </c>
      <c r="E11" s="64">
        <f>Conto_economico!F22-Conto_economico!F23</f>
        <v>1773681.8299999996</v>
      </c>
      <c r="F11" s="64">
        <f>Conto_economico!G22-Conto_economico!G23</f>
        <v>1857829.8100000005</v>
      </c>
      <c r="G11" s="64">
        <f>Conto_economico!H22-Conto_economico!H23</f>
        <v>3259971.5</v>
      </c>
      <c r="H11" s="64">
        <f>Conto_economico!I22-Conto_economico!I23</f>
        <v>2937741.01</v>
      </c>
      <c r="I11" s="64">
        <f>Conto_economico!J22-Conto_economico!J23</f>
        <v>3670642.8699999996</v>
      </c>
      <c r="J11" s="64">
        <f t="shared" si="0"/>
        <v>732901.85999999987</v>
      </c>
    </row>
    <row r="12" spans="1:10" x14ac:dyDescent="0.3">
      <c r="A12" s="71" t="s">
        <v>309</v>
      </c>
      <c r="B12" s="65">
        <f>Conto_economico!C25-Conto_economico!C26</f>
        <v>5010122.8099999987</v>
      </c>
      <c r="C12" s="65">
        <f>Conto_economico!D25-Conto_economico!D26</f>
        <v>27752831.629999999</v>
      </c>
      <c r="D12" s="65">
        <f>Conto_economico!E25-Conto_economico!E26</f>
        <v>11941437.940000001</v>
      </c>
      <c r="E12" s="65">
        <f>Conto_economico!F25-Conto_economico!F26</f>
        <v>911789.1799999997</v>
      </c>
      <c r="F12" s="65">
        <f>Conto_economico!G25-Conto_economico!G26</f>
        <v>10170240.000000002</v>
      </c>
      <c r="G12" s="65">
        <f>Conto_economico!H25-Conto_economico!H26</f>
        <v>12904355.98</v>
      </c>
      <c r="H12" s="65">
        <f>Conto_economico!I25-Conto_economico!I26</f>
        <v>10802792.600000001</v>
      </c>
      <c r="I12" s="65">
        <f>Conto_economico!J25-Conto_economico!J26</f>
        <v>9736772.5299999993</v>
      </c>
      <c r="J12" s="64">
        <f t="shared" si="0"/>
        <v>-1066020.0700000022</v>
      </c>
    </row>
    <row r="13" spans="1:10" x14ac:dyDescent="0.3">
      <c r="A13" s="71" t="s">
        <v>255</v>
      </c>
      <c r="B13" s="65">
        <f>Conto_economico!C24</f>
        <v>-3688970.27</v>
      </c>
      <c r="C13" s="65">
        <f>Conto_economico!D24</f>
        <v>-6636417.5599999996</v>
      </c>
      <c r="D13" s="65">
        <f>Conto_economico!E24</f>
        <v>1564117.86</v>
      </c>
      <c r="E13" s="65">
        <f>Conto_economico!F24</f>
        <v>2944856.96</v>
      </c>
      <c r="F13" s="65">
        <f>Conto_economico!G24</f>
        <v>-698903.02</v>
      </c>
      <c r="G13" s="65">
        <f>Conto_economico!H24</f>
        <v>9091661.5899999999</v>
      </c>
      <c r="H13" s="65">
        <f>Conto_economico!I24</f>
        <v>4947585.6500000004</v>
      </c>
      <c r="I13" s="65">
        <f>Conto_economico!J24</f>
        <v>-24748.400000000001</v>
      </c>
      <c r="J13" s="64">
        <f t="shared" si="0"/>
        <v>-4972334.0500000007</v>
      </c>
    </row>
    <row r="14" spans="1:10" x14ac:dyDescent="0.3">
      <c r="A14" s="47" t="s">
        <v>310</v>
      </c>
      <c r="B14" s="66">
        <f t="shared" ref="B14:D14" si="4">SUM(B10:B13)</f>
        <v>4792016.9200000335</v>
      </c>
      <c r="C14" s="66">
        <f t="shared" si="4"/>
        <v>5719209.5399999591</v>
      </c>
      <c r="D14" s="66">
        <f t="shared" si="4"/>
        <v>4493524.2700000936</v>
      </c>
      <c r="E14" s="66">
        <f t="shared" ref="E14:I14" si="5">SUM(E10:E13)</f>
        <v>6316850.3300000727</v>
      </c>
      <c r="F14" s="66">
        <f t="shared" ref="F14:H14" si="6">SUM(F10:F13)</f>
        <v>27467653.299999993</v>
      </c>
      <c r="G14" s="66">
        <f t="shared" si="6"/>
        <v>17718386.300000019</v>
      </c>
      <c r="H14" s="66">
        <f t="shared" si="6"/>
        <v>20754355.030000042</v>
      </c>
      <c r="I14" s="66">
        <f t="shared" si="5"/>
        <v>17102613.640000105</v>
      </c>
      <c r="J14" s="66">
        <f t="shared" si="0"/>
        <v>-3651741.3899999373</v>
      </c>
    </row>
    <row r="15" spans="1:10" x14ac:dyDescent="0.3">
      <c r="A15" s="71" t="s">
        <v>258</v>
      </c>
      <c r="B15" s="64">
        <f>Conto_economico!C27</f>
        <v>4001609.91</v>
      </c>
      <c r="C15" s="64">
        <f>Conto_economico!D27</f>
        <v>3885818.61</v>
      </c>
      <c r="D15" s="64">
        <f>Conto_economico!E27</f>
        <v>4109547.45</v>
      </c>
      <c r="E15" s="64">
        <f>Conto_economico!F27</f>
        <v>4051814.34</v>
      </c>
      <c r="F15" s="64">
        <f>Conto_economico!G27</f>
        <v>4194539.22</v>
      </c>
      <c r="G15" s="64">
        <f>Conto_economico!H27</f>
        <v>4132039.55</v>
      </c>
      <c r="H15" s="64">
        <f>Conto_economico!I27</f>
        <v>4312729.0999999996</v>
      </c>
      <c r="I15" s="64">
        <f>Conto_economico!J27</f>
        <v>4610443.18</v>
      </c>
      <c r="J15" s="64">
        <f t="shared" si="0"/>
        <v>297714.08000000007</v>
      </c>
    </row>
    <row r="16" spans="1:10" x14ac:dyDescent="0.3">
      <c r="A16" s="70" t="s">
        <v>259</v>
      </c>
      <c r="B16" s="67">
        <f t="shared" ref="B16:D16" si="7">B14-B15</f>
        <v>790407.0100000333</v>
      </c>
      <c r="C16" s="67">
        <f t="shared" si="7"/>
        <v>1833390.9299999592</v>
      </c>
      <c r="D16" s="67">
        <f t="shared" si="7"/>
        <v>383976.82000009343</v>
      </c>
      <c r="E16" s="67">
        <f t="shared" ref="E16:I16" si="8">E14-E15</f>
        <v>2265035.9900000729</v>
      </c>
      <c r="F16" s="67">
        <f t="shared" ref="F16:H16" si="9">F14-F15</f>
        <v>23273114.079999994</v>
      </c>
      <c r="G16" s="67">
        <f t="shared" si="9"/>
        <v>13586346.750000019</v>
      </c>
      <c r="H16" s="67">
        <f t="shared" si="9"/>
        <v>16441625.930000043</v>
      </c>
      <c r="I16" s="67">
        <f t="shared" si="8"/>
        <v>12492170.460000105</v>
      </c>
      <c r="J16" s="67">
        <f t="shared" si="0"/>
        <v>-3949455.4699999373</v>
      </c>
    </row>
  </sheetData>
  <conditionalFormatting sqref="B16:E16 I16:J16">
    <cfRule type="cellIs" dxfId="82" priority="19" operator="greaterThan">
      <formula>0</formula>
    </cfRule>
  </conditionalFormatting>
  <conditionalFormatting sqref="B10:E10 B14:E14 I14:J14 I10:J10">
    <cfRule type="cellIs" dxfId="81" priority="18" operator="lessThan">
      <formula>0</formula>
    </cfRule>
  </conditionalFormatting>
  <conditionalFormatting sqref="F16">
    <cfRule type="cellIs" dxfId="80" priority="10" operator="greaterThan">
      <formula>0</formula>
    </cfRule>
  </conditionalFormatting>
  <conditionalFormatting sqref="F14 F10">
    <cfRule type="cellIs" dxfId="79" priority="9" operator="lessThan">
      <formula>0</formula>
    </cfRule>
  </conditionalFormatting>
  <conditionalFormatting sqref="G16">
    <cfRule type="cellIs" dxfId="78" priority="8" operator="greaterThan">
      <formula>0</formula>
    </cfRule>
  </conditionalFormatting>
  <conditionalFormatting sqref="G14 G10">
    <cfRule type="cellIs" dxfId="77" priority="7" operator="lessThan">
      <formula>0</formula>
    </cfRule>
  </conditionalFormatting>
  <conditionalFormatting sqref="B9:G9 I9:J9">
    <cfRule type="cellIs" dxfId="76" priority="6" operator="lessThan">
      <formula>0</formula>
    </cfRule>
  </conditionalFormatting>
  <conditionalFormatting sqref="H16">
    <cfRule type="cellIs" dxfId="75" priority="3" operator="greaterThan">
      <formula>0</formula>
    </cfRule>
  </conditionalFormatting>
  <conditionalFormatting sqref="H14 H10">
    <cfRule type="cellIs" dxfId="74" priority="2" operator="lessThan">
      <formula>0</formula>
    </cfRule>
  </conditionalFormatting>
  <conditionalFormatting sqref="H9">
    <cfRule type="cellIs" dxfId="7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topLeftCell="B1" workbookViewId="0">
      <selection activeCell="J2" sqref="J2:J28"/>
    </sheetView>
  </sheetViews>
  <sheetFormatPr defaultRowHeight="14.4" x14ac:dyDescent="0.3"/>
  <cols>
    <col min="1" max="1" width="51.6640625" style="32" bestFit="1" customWidth="1"/>
    <col min="2" max="10" width="13.88671875" bestFit="1" customWidth="1"/>
    <col min="11" max="12" width="12.6640625" bestFit="1" customWidth="1"/>
  </cols>
  <sheetData>
    <row r="1" spans="1:10" x14ac:dyDescent="0.3">
      <c r="A1" s="73"/>
      <c r="B1" s="97">
        <v>2015</v>
      </c>
      <c r="C1" s="97">
        <v>2016</v>
      </c>
      <c r="D1" s="69">
        <v>2017</v>
      </c>
      <c r="E1" s="69">
        <v>2018</v>
      </c>
      <c r="F1" s="69">
        <v>2019</v>
      </c>
      <c r="G1" s="69">
        <v>2020</v>
      </c>
      <c r="H1" s="69">
        <v>2021</v>
      </c>
      <c r="I1" s="69">
        <v>2022</v>
      </c>
      <c r="J1" s="69">
        <v>2023</v>
      </c>
    </row>
    <row r="2" spans="1:10" x14ac:dyDescent="0.3">
      <c r="A2" s="32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</row>
    <row r="3" spans="1:10" x14ac:dyDescent="0.3">
      <c r="A3" s="32" t="s">
        <v>213</v>
      </c>
      <c r="B3" s="1">
        <v>610404.18000000005</v>
      </c>
      <c r="C3" s="1">
        <v>0</v>
      </c>
      <c r="D3" s="1">
        <v>2128354.7400000002</v>
      </c>
      <c r="E3" s="1">
        <v>2295618.6</v>
      </c>
      <c r="F3" s="1">
        <v>3296505.2</v>
      </c>
      <c r="G3" s="1">
        <v>3866966.55</v>
      </c>
      <c r="H3" s="1">
        <v>4321731.2699999996</v>
      </c>
      <c r="I3" s="1">
        <v>5754132.3300000001</v>
      </c>
      <c r="J3" s="1">
        <v>6377356.3200000003</v>
      </c>
    </row>
    <row r="4" spans="1:10" x14ac:dyDescent="0.3">
      <c r="A4" s="32" t="s">
        <v>214</v>
      </c>
      <c r="B4" s="1">
        <v>1095224480.0599999</v>
      </c>
      <c r="C4" s="1">
        <v>1072408287.89</v>
      </c>
      <c r="D4" s="1">
        <v>1074035779.49</v>
      </c>
      <c r="E4" s="1">
        <v>1093728104.3599999</v>
      </c>
      <c r="F4" s="1">
        <v>1112849112.8800001</v>
      </c>
      <c r="G4" s="1">
        <v>1124484232.76</v>
      </c>
      <c r="H4" s="1">
        <v>1135538750.27</v>
      </c>
      <c r="I4" s="1">
        <v>1194723209.0799999</v>
      </c>
      <c r="J4" s="1">
        <v>1207260146.1700001</v>
      </c>
    </row>
    <row r="5" spans="1:10" x14ac:dyDescent="0.3">
      <c r="A5" s="32" t="s">
        <v>228</v>
      </c>
      <c r="B5" s="1">
        <v>183781113.34999999</v>
      </c>
      <c r="C5" s="1">
        <f>22136448.66+32419043.88+106041595.64</f>
        <v>160597088.18000001</v>
      </c>
      <c r="D5" s="1">
        <v>146022024.62</v>
      </c>
      <c r="E5" s="1">
        <v>179086142.47999999</v>
      </c>
      <c r="F5" s="1">
        <v>173915689.58000001</v>
      </c>
      <c r="G5" s="1">
        <v>173216786.56</v>
      </c>
      <c r="H5" s="1">
        <v>199511696.15000001</v>
      </c>
      <c r="I5" s="1">
        <v>207459281.80000001</v>
      </c>
      <c r="J5" s="1">
        <v>214125872.49000001</v>
      </c>
    </row>
    <row r="6" spans="1:10" x14ac:dyDescent="0.3">
      <c r="A6" s="32" t="s">
        <v>229</v>
      </c>
      <c r="B6" s="1">
        <v>0</v>
      </c>
      <c r="C6" s="1">
        <v>4550000</v>
      </c>
      <c r="D6" s="1">
        <v>5463482.1699999999</v>
      </c>
      <c r="E6" s="1">
        <v>3371723.66</v>
      </c>
      <c r="F6" s="1">
        <v>5653889.7699999996</v>
      </c>
      <c r="G6" s="1">
        <v>9945807.3699999992</v>
      </c>
      <c r="H6" s="1">
        <v>0</v>
      </c>
      <c r="I6" s="1">
        <v>0</v>
      </c>
      <c r="J6" s="1">
        <v>0</v>
      </c>
    </row>
    <row r="7" spans="1:10" x14ac:dyDescent="0.3">
      <c r="A7" s="32" t="s">
        <v>230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</row>
    <row r="8" spans="1:10" x14ac:dyDescent="0.3">
      <c r="A8" s="32" t="s">
        <v>231</v>
      </c>
      <c r="B8" s="1">
        <v>632777.14</v>
      </c>
      <c r="C8" s="1">
        <v>532967.88</v>
      </c>
      <c r="D8" s="1">
        <v>499793.61</v>
      </c>
      <c r="E8" s="1">
        <v>614590.02</v>
      </c>
      <c r="F8" s="1">
        <v>717954.57</v>
      </c>
      <c r="G8" s="1">
        <v>802144.37</v>
      </c>
      <c r="H8" s="1">
        <v>871592.22</v>
      </c>
      <c r="I8" s="1">
        <v>935218</v>
      </c>
      <c r="J8" s="1">
        <v>972918.92</v>
      </c>
    </row>
    <row r="9" spans="1:10" x14ac:dyDescent="0.3">
      <c r="A9" s="32" t="s">
        <v>215</v>
      </c>
      <c r="B9" s="1">
        <v>121833138.97</v>
      </c>
      <c r="C9" s="1">
        <v>138191609.46000001</v>
      </c>
      <c r="D9" s="1">
        <v>136432474.28</v>
      </c>
      <c r="E9" s="1">
        <v>110966906.45999999</v>
      </c>
      <c r="F9" s="1">
        <v>119201274.16</v>
      </c>
      <c r="G9" s="1">
        <v>129083937.48</v>
      </c>
      <c r="H9" s="1">
        <v>121593518.62</v>
      </c>
      <c r="I9" s="1">
        <v>142996636.99000001</v>
      </c>
      <c r="J9" s="1">
        <v>180308470.06999999</v>
      </c>
    </row>
    <row r="10" spans="1:10" x14ac:dyDescent="0.3">
      <c r="A10" s="32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</row>
    <row r="11" spans="1:10" x14ac:dyDescent="0.3">
      <c r="A11" s="32" t="s">
        <v>216</v>
      </c>
      <c r="B11" s="1">
        <v>79682395.480000004</v>
      </c>
      <c r="C11" s="1">
        <v>107490202.20999999</v>
      </c>
      <c r="D11" s="1">
        <v>139402866.53999999</v>
      </c>
      <c r="E11" s="1">
        <v>148221346.52000001</v>
      </c>
      <c r="F11" s="1">
        <v>146629986.12</v>
      </c>
      <c r="G11" s="1">
        <v>173329029.44999999</v>
      </c>
      <c r="H11" s="1">
        <v>244060742.81</v>
      </c>
      <c r="I11" s="1">
        <v>243072932.02000001</v>
      </c>
      <c r="J11" s="1">
        <v>224136540.27000001</v>
      </c>
    </row>
    <row r="12" spans="1:10" x14ac:dyDescent="0.3">
      <c r="A12" s="32" t="s">
        <v>217</v>
      </c>
      <c r="B12" s="1">
        <v>0</v>
      </c>
      <c r="C12" s="1">
        <v>337034.48</v>
      </c>
      <c r="D12" s="1">
        <v>807877.69</v>
      </c>
      <c r="E12" s="1">
        <v>804762.07</v>
      </c>
      <c r="F12" s="1">
        <v>430564.51</v>
      </c>
      <c r="G12" s="1">
        <v>421574.85</v>
      </c>
      <c r="H12" s="1">
        <v>445901.41</v>
      </c>
      <c r="I12" s="1">
        <v>323787.74</v>
      </c>
      <c r="J12" s="1">
        <v>332661.90000000002</v>
      </c>
    </row>
    <row r="13" spans="1:10" x14ac:dyDescent="0.3">
      <c r="A13" s="10" t="s">
        <v>218</v>
      </c>
      <c r="B13" s="11">
        <f t="shared" ref="B13:E13" si="0">SUM(B2:B12)</f>
        <v>1481764309.1800001</v>
      </c>
      <c r="C13" s="11">
        <f t="shared" si="0"/>
        <v>1484107190.1000001</v>
      </c>
      <c r="D13" s="11">
        <f t="shared" si="0"/>
        <v>1504792653.1399999</v>
      </c>
      <c r="E13" s="11">
        <f t="shared" si="0"/>
        <v>1539089194.1699998</v>
      </c>
      <c r="F13" s="11">
        <f t="shared" ref="F13:J13" si="1">SUM(F2:F12)</f>
        <v>1562694976.7900002</v>
      </c>
      <c r="G13" s="11">
        <f t="shared" ref="G13:I13" si="2">SUM(G2:G12)</f>
        <v>1615150479.3899996</v>
      </c>
      <c r="H13" s="11">
        <f t="shared" si="2"/>
        <v>1706343932.7500002</v>
      </c>
      <c r="I13" s="11">
        <f t="shared" si="2"/>
        <v>1795265197.9599998</v>
      </c>
      <c r="J13" s="11">
        <f t="shared" si="1"/>
        <v>1833513966.1400001</v>
      </c>
    </row>
    <row r="14" spans="1:10" x14ac:dyDescent="0.3">
      <c r="A14" s="32" t="s">
        <v>219</v>
      </c>
      <c r="B14" s="1">
        <v>796078641.98000002</v>
      </c>
      <c r="C14" s="1">
        <v>796078641.98000002</v>
      </c>
      <c r="D14" s="1">
        <v>406609289.38999999</v>
      </c>
      <c r="E14" s="1">
        <v>408442680.31999999</v>
      </c>
      <c r="F14" s="1">
        <v>408442680.31999999</v>
      </c>
      <c r="G14" s="1">
        <v>408442680.31999999</v>
      </c>
      <c r="H14" s="1">
        <v>408442680.31999999</v>
      </c>
      <c r="I14" s="1">
        <v>408442680.31999999</v>
      </c>
      <c r="J14" s="1">
        <v>408442680.31999999</v>
      </c>
    </row>
    <row r="15" spans="1:10" x14ac:dyDescent="0.3">
      <c r="A15" s="32" t="s">
        <v>220</v>
      </c>
      <c r="B15" s="95">
        <f>30283257.43+159178696.25+51777412.89</f>
        <v>241239366.56999999</v>
      </c>
      <c r="C15" s="95">
        <f>30283257.43+159178696.25+51777412.89</f>
        <v>241239366.56999999</v>
      </c>
      <c r="D15" s="1">
        <v>637947956.74000001</v>
      </c>
      <c r="E15" s="1">
        <v>670928648.08000004</v>
      </c>
      <c r="F15" s="1">
        <v>669140596.65999997</v>
      </c>
      <c r="G15" s="1">
        <v>641028192.73000002</v>
      </c>
      <c r="H15" s="1">
        <v>641742171.42999995</v>
      </c>
      <c r="I15" s="1">
        <v>645211301.72000003</v>
      </c>
      <c r="J15" s="1">
        <v>657755905.99000001</v>
      </c>
    </row>
    <row r="16" spans="1:10" x14ac:dyDescent="0.3">
      <c r="A16" s="32" t="s">
        <v>235</v>
      </c>
      <c r="B16" s="1">
        <v>51777411.890000001</v>
      </c>
      <c r="C16" s="1">
        <v>51777412.890000001</v>
      </c>
      <c r="D16" s="1">
        <v>57119174.68</v>
      </c>
      <c r="E16" s="1">
        <v>58694169.219999999</v>
      </c>
      <c r="F16" s="1">
        <v>66407217.170000002</v>
      </c>
      <c r="G16" s="1">
        <v>67982688.170000002</v>
      </c>
      <c r="H16" s="1">
        <v>68696666.870000005</v>
      </c>
      <c r="I16" s="1">
        <v>72165797.159999996</v>
      </c>
      <c r="J16" s="1">
        <v>78019062.340000004</v>
      </c>
    </row>
    <row r="17" spans="1:12" x14ac:dyDescent="0.3">
      <c r="A17" s="32" t="s">
        <v>221</v>
      </c>
      <c r="B17" s="1">
        <v>0</v>
      </c>
      <c r="C17" s="1">
        <v>790407.01</v>
      </c>
      <c r="D17" s="1">
        <v>1833390.93</v>
      </c>
      <c r="E17" s="1">
        <v>383976.82</v>
      </c>
      <c r="F17" s="1">
        <v>2265035.9900000002</v>
      </c>
      <c r="G17" s="1">
        <v>23273114.079999998</v>
      </c>
      <c r="H17" s="1">
        <v>13586346.75</v>
      </c>
      <c r="I17" s="1">
        <v>16441625.93</v>
      </c>
      <c r="J17" s="1">
        <v>12492170.460000001</v>
      </c>
    </row>
    <row r="18" spans="1:12" x14ac:dyDescent="0.3">
      <c r="A18" s="32" t="s">
        <v>362</v>
      </c>
      <c r="B18" s="1"/>
      <c r="C18" s="1"/>
      <c r="D18" s="1"/>
      <c r="E18" s="1"/>
      <c r="F18" s="1"/>
      <c r="G18" s="1">
        <v>31952910.920000002</v>
      </c>
      <c r="H18" s="1">
        <v>55226025</v>
      </c>
      <c r="I18" s="1">
        <v>68812371.75</v>
      </c>
      <c r="J18" s="1">
        <v>85253997.680000007</v>
      </c>
    </row>
    <row r="19" spans="1:12" x14ac:dyDescent="0.3">
      <c r="A19" s="32" t="s">
        <v>363</v>
      </c>
      <c r="B19" s="1"/>
      <c r="C19" s="1"/>
      <c r="D19" s="1"/>
      <c r="E19" s="1"/>
      <c r="F19" s="1"/>
      <c r="G19" s="1">
        <v>0</v>
      </c>
      <c r="H19" s="1">
        <v>0</v>
      </c>
      <c r="I19" s="1">
        <v>0</v>
      </c>
      <c r="J19" s="1">
        <v>0</v>
      </c>
    </row>
    <row r="20" spans="1:12" x14ac:dyDescent="0.3">
      <c r="A20" s="32" t="s">
        <v>222</v>
      </c>
      <c r="B20" s="1">
        <v>0</v>
      </c>
      <c r="C20" s="1">
        <v>0</v>
      </c>
      <c r="D20" s="1">
        <v>0</v>
      </c>
      <c r="E20" s="1">
        <v>0</v>
      </c>
      <c r="F20" s="1">
        <v>3283475.65</v>
      </c>
      <c r="G20" s="1">
        <v>7629532.5199999996</v>
      </c>
      <c r="H20" s="1">
        <v>14559551.35</v>
      </c>
      <c r="I20" s="1">
        <v>18557390.84</v>
      </c>
      <c r="J20" s="1">
        <v>17930305.66</v>
      </c>
    </row>
    <row r="21" spans="1:12" x14ac:dyDescent="0.3">
      <c r="A21" s="32" t="s">
        <v>209</v>
      </c>
      <c r="B21" s="1">
        <f>1191305.68+2436367.91+86636554.06</f>
        <v>90264227.650000006</v>
      </c>
      <c r="C21" s="1">
        <f>374256.56+4864355.42+89078519.65</f>
        <v>94317131.63000001</v>
      </c>
      <c r="D21" s="1">
        <v>88324033.920000002</v>
      </c>
      <c r="E21" s="1">
        <v>83287213.859999999</v>
      </c>
      <c r="F21" s="1">
        <v>85363222.420000002</v>
      </c>
      <c r="G21" s="1">
        <v>87745776.760000005</v>
      </c>
      <c r="H21" s="1">
        <v>88419869.510000005</v>
      </c>
      <c r="I21" s="1">
        <v>84734590.109999999</v>
      </c>
      <c r="J21" s="1">
        <v>80079471.469999999</v>
      </c>
    </row>
    <row r="22" spans="1:12" x14ac:dyDescent="0.3">
      <c r="A22" s="32" t="s">
        <v>223</v>
      </c>
      <c r="B22" s="1">
        <v>68033713.170000002</v>
      </c>
      <c r="C22" s="1">
        <v>56748943.140000001</v>
      </c>
      <c r="D22" s="1">
        <v>61203818.009999998</v>
      </c>
      <c r="E22" s="1">
        <v>57857022.649999999</v>
      </c>
      <c r="F22" s="1">
        <v>55485715.479999997</v>
      </c>
      <c r="G22" s="1">
        <v>58453833.710000001</v>
      </c>
      <c r="H22" s="1">
        <v>67786059.659999996</v>
      </c>
      <c r="I22" s="1">
        <v>84765115.420000002</v>
      </c>
      <c r="J22" s="1">
        <v>81152092.930000007</v>
      </c>
    </row>
    <row r="23" spans="1:12" x14ac:dyDescent="0.3">
      <c r="A23" s="32" t="s">
        <v>224</v>
      </c>
      <c r="B23" s="1">
        <f>2610561.22+1563555.09+4754309.85</f>
        <v>8928426.1600000001</v>
      </c>
      <c r="C23" s="1">
        <f>4848562.48+5069105.61+5000021.49</f>
        <v>14917689.58</v>
      </c>
      <c r="D23" s="1">
        <v>17193056.98</v>
      </c>
      <c r="E23" s="1">
        <v>22684135.890000001</v>
      </c>
      <c r="F23" s="1">
        <v>31134006.309999999</v>
      </c>
      <c r="G23" s="1">
        <v>32750401.940000001</v>
      </c>
      <c r="H23" s="1">
        <v>47423914.280000001</v>
      </c>
      <c r="I23" s="1">
        <v>52164312.240000002</v>
      </c>
      <c r="J23" s="1">
        <v>61218910.880000003</v>
      </c>
    </row>
    <row r="24" spans="1:12" x14ac:dyDescent="0.3">
      <c r="A24" s="32" t="s">
        <v>225</v>
      </c>
      <c r="B24" s="1">
        <f>1905704.47+2015939.09+19694602.92</f>
        <v>23616246.48</v>
      </c>
      <c r="C24" s="1">
        <f>1478558.61+2475153.7+19939916.72</f>
        <v>23893629.030000001</v>
      </c>
      <c r="D24" s="1">
        <v>26405487.989999998</v>
      </c>
      <c r="E24" s="1">
        <v>15748009.310000001</v>
      </c>
      <c r="F24" s="1">
        <v>12300266.560000001</v>
      </c>
      <c r="G24" s="1">
        <v>18939965.699999999</v>
      </c>
      <c r="H24" s="1">
        <v>19918803.550000001</v>
      </c>
      <c r="I24" s="1">
        <v>21971527.59</v>
      </c>
      <c r="J24" s="1">
        <v>28331356.719999999</v>
      </c>
      <c r="K24" s="1"/>
      <c r="L24" s="1"/>
    </row>
    <row r="25" spans="1:12" x14ac:dyDescent="0.3">
      <c r="A25" s="32" t="s">
        <v>226</v>
      </c>
      <c r="B25" s="1">
        <v>252911118.24000001</v>
      </c>
      <c r="C25" s="1">
        <v>256121381.16</v>
      </c>
      <c r="D25" s="1">
        <v>265275619.18000001</v>
      </c>
      <c r="E25" s="1">
        <v>279757507.24000001</v>
      </c>
      <c r="F25" s="1">
        <v>295279977.39999998</v>
      </c>
      <c r="G25" s="1">
        <v>304934070.70999998</v>
      </c>
      <c r="H25" s="1">
        <v>349238510.89999998</v>
      </c>
      <c r="I25" s="1">
        <v>394164282.04000002</v>
      </c>
      <c r="J25" s="1">
        <v>400857074.02999997</v>
      </c>
    </row>
    <row r="26" spans="1:12" x14ac:dyDescent="0.3">
      <c r="A26" s="72" t="s">
        <v>227</v>
      </c>
      <c r="B26" s="3">
        <f>SUM(B14:B25)-B16</f>
        <v>1481071740.2500002</v>
      </c>
      <c r="C26" s="3">
        <f>SUM(C14:C25)-C16</f>
        <v>1484107190.1000001</v>
      </c>
      <c r="D26" s="3">
        <f t="shared" ref="D26:E26" si="3">SUM(D14:D25)-D16</f>
        <v>1504792653.1400001</v>
      </c>
      <c r="E26" s="3">
        <f t="shared" si="3"/>
        <v>1539089194.1700001</v>
      </c>
      <c r="F26" s="3">
        <f t="shared" ref="F26:J26" si="4">SUM(F14:F25)-F16</f>
        <v>1562694976.79</v>
      </c>
      <c r="G26" s="3">
        <f t="shared" ref="G26" si="5">SUM(G14:G25)-G16</f>
        <v>1615150479.3900001</v>
      </c>
      <c r="H26" s="3">
        <f t="shared" ref="H26" si="6">SUM(H14:H25)-H16</f>
        <v>1706343932.75</v>
      </c>
      <c r="I26" s="3">
        <f t="shared" ref="I26" si="7">SUM(I14:I25)-I16</f>
        <v>1795265197.9599998</v>
      </c>
      <c r="J26" s="3">
        <f t="shared" si="4"/>
        <v>1833513966.1400003</v>
      </c>
    </row>
    <row r="27" spans="1:12" x14ac:dyDescent="0.3">
      <c r="A27" s="10" t="s">
        <v>267</v>
      </c>
      <c r="B27" s="11">
        <f t="shared" ref="B27:G27" si="8">B14+B15+B17+B18+B19</f>
        <v>1037318008.55</v>
      </c>
      <c r="C27" s="11">
        <f t="shared" si="8"/>
        <v>1038108415.5599999</v>
      </c>
      <c r="D27" s="11">
        <f t="shared" si="8"/>
        <v>1046390637.0599999</v>
      </c>
      <c r="E27" s="11">
        <f t="shared" si="8"/>
        <v>1079755305.22</v>
      </c>
      <c r="F27" s="11">
        <f t="shared" si="8"/>
        <v>1079848312.97</v>
      </c>
      <c r="G27" s="11">
        <f t="shared" si="8"/>
        <v>1104696898.05</v>
      </c>
      <c r="H27" s="11">
        <f>H14+H15+H17+H18+H19</f>
        <v>1118997223.5</v>
      </c>
      <c r="I27" s="11">
        <f>I14+I15+I17+I18+I19</f>
        <v>1138907979.7199998</v>
      </c>
      <c r="J27" s="11">
        <f>J14+J15+J17+J18+J19</f>
        <v>1163944754.45</v>
      </c>
    </row>
    <row r="28" spans="1:12" x14ac:dyDescent="0.3">
      <c r="B28" s="6">
        <f>B27/B26*100</f>
        <v>70.038336453229732</v>
      </c>
      <c r="C28" s="6">
        <f t="shared" ref="C28:J28" si="9">C27/C26*100</f>
        <v>69.948344869217394</v>
      </c>
      <c r="D28" s="6">
        <f t="shared" si="9"/>
        <v>69.537197359153225</v>
      </c>
      <c r="E28" s="6">
        <f t="shared" si="9"/>
        <v>70.155473075248921</v>
      </c>
      <c r="F28" s="6">
        <f t="shared" si="9"/>
        <v>69.101669168231638</v>
      </c>
      <c r="G28" s="6">
        <f t="shared" si="9"/>
        <v>68.395911845143672</v>
      </c>
      <c r="H28" s="6">
        <f t="shared" ref="H28:I28" si="10">H27/H26*100</f>
        <v>65.578644611030285</v>
      </c>
      <c r="I28" s="6">
        <f t="shared" si="10"/>
        <v>63.439539796915042</v>
      </c>
      <c r="J28" s="6">
        <f t="shared" si="9"/>
        <v>63.481641042549086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A73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11" x14ac:dyDescent="0.3">
      <c r="A1" s="125" t="s">
        <v>210</v>
      </c>
      <c r="B1" s="125"/>
      <c r="C1" s="2" t="s">
        <v>211</v>
      </c>
      <c r="D1" s="2">
        <v>2016</v>
      </c>
      <c r="E1" s="2">
        <v>2017</v>
      </c>
      <c r="F1" s="2">
        <v>2018</v>
      </c>
      <c r="G1" s="104">
        <v>2019</v>
      </c>
      <c r="H1" s="110">
        <v>2020</v>
      </c>
      <c r="I1" s="113">
        <v>2021</v>
      </c>
      <c r="J1" s="118">
        <v>2022</v>
      </c>
      <c r="K1" s="110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32.159999999999997</v>
      </c>
      <c r="E3" s="7">
        <v>30.524100000000001</v>
      </c>
      <c r="F3" s="7">
        <v>29.920940000000002</v>
      </c>
      <c r="G3" s="7">
        <v>29.408660000000001</v>
      </c>
      <c r="H3" s="7">
        <v>26.961580000000001</v>
      </c>
      <c r="I3" s="7">
        <v>25.90532</v>
      </c>
      <c r="J3" s="7">
        <v>26</v>
      </c>
      <c r="K3" s="7">
        <v>26</v>
      </c>
    </row>
    <row r="4" spans="1:11" x14ac:dyDescent="0.3">
      <c r="A4" t="s">
        <v>80</v>
      </c>
      <c r="D4" s="7"/>
      <c r="E4" s="7"/>
      <c r="F4" s="7"/>
      <c r="G4" s="7"/>
      <c r="H4" s="7"/>
      <c r="I4" s="7"/>
      <c r="J4" s="7"/>
      <c r="K4" s="7"/>
    </row>
    <row r="5" spans="1:11" x14ac:dyDescent="0.3">
      <c r="A5" t="s">
        <v>81</v>
      </c>
      <c r="B5" t="s">
        <v>82</v>
      </c>
      <c r="D5" s="7">
        <v>110.74</v>
      </c>
      <c r="E5" s="7">
        <v>103.43552</v>
      </c>
      <c r="F5" s="7">
        <v>103.01491</v>
      </c>
      <c r="G5" s="7">
        <v>102.37012</v>
      </c>
      <c r="H5" s="7">
        <v>108.31740000000001</v>
      </c>
      <c r="I5" s="7">
        <v>114.91548</v>
      </c>
      <c r="J5" s="7">
        <v>116</v>
      </c>
      <c r="K5" s="7">
        <v>112</v>
      </c>
    </row>
    <row r="6" spans="1:11" x14ac:dyDescent="0.3">
      <c r="A6" t="s">
        <v>83</v>
      </c>
      <c r="B6" t="s">
        <v>84</v>
      </c>
      <c r="D6" s="7">
        <v>99.42</v>
      </c>
      <c r="E6" s="7">
        <v>98.208799999999997</v>
      </c>
      <c r="F6" s="7">
        <v>96.799899999999994</v>
      </c>
      <c r="G6" s="7">
        <v>98.996769999999998</v>
      </c>
      <c r="H6" s="7">
        <v>96.846029999999999</v>
      </c>
      <c r="I6" s="7">
        <v>95.773359999999997</v>
      </c>
      <c r="J6" s="7">
        <v>101</v>
      </c>
      <c r="K6" s="7">
        <v>96</v>
      </c>
    </row>
    <row r="7" spans="1:11" x14ac:dyDescent="0.3">
      <c r="A7" t="s">
        <v>85</v>
      </c>
      <c r="B7" t="s">
        <v>86</v>
      </c>
      <c r="D7" s="7">
        <v>89.85</v>
      </c>
      <c r="E7" s="7">
        <v>86.043080000000003</v>
      </c>
      <c r="F7" s="7">
        <v>84.448499999999996</v>
      </c>
      <c r="G7" s="7">
        <v>82.489140000000006</v>
      </c>
      <c r="H7" s="7">
        <v>75.061920000000001</v>
      </c>
      <c r="I7" s="7">
        <v>73.927769999999995</v>
      </c>
      <c r="J7" s="7">
        <v>91</v>
      </c>
      <c r="K7" s="7">
        <v>89</v>
      </c>
    </row>
    <row r="8" spans="1:11" x14ac:dyDescent="0.3">
      <c r="A8" t="s">
        <v>87</v>
      </c>
      <c r="B8" t="s">
        <v>88</v>
      </c>
      <c r="D8" s="7">
        <v>80.67</v>
      </c>
      <c r="E8" s="7">
        <v>81.695220000000006</v>
      </c>
      <c r="F8" s="7">
        <v>79.353629999999995</v>
      </c>
      <c r="G8" s="7">
        <v>79.770910000000001</v>
      </c>
      <c r="H8" s="7">
        <v>67.112480000000005</v>
      </c>
      <c r="I8" s="7">
        <v>61.613199999999999</v>
      </c>
      <c r="J8" s="7">
        <v>80</v>
      </c>
      <c r="K8" s="7">
        <v>76</v>
      </c>
    </row>
    <row r="9" spans="1:11" x14ac:dyDescent="0.3">
      <c r="A9" t="s">
        <v>89</v>
      </c>
      <c r="B9" t="s">
        <v>90</v>
      </c>
      <c r="D9" s="7">
        <v>112.12</v>
      </c>
      <c r="E9" s="7">
        <v>94.466380000000001</v>
      </c>
      <c r="F9" s="7">
        <v>88.053380000000004</v>
      </c>
      <c r="G9" s="7">
        <v>91.382840000000002</v>
      </c>
      <c r="H9" s="7">
        <v>108.6923</v>
      </c>
      <c r="I9" s="7">
        <v>132.31164000000001</v>
      </c>
      <c r="J9" s="7">
        <v>78</v>
      </c>
      <c r="K9" s="7">
        <v>63</v>
      </c>
    </row>
    <row r="10" spans="1:11" x14ac:dyDescent="0.3">
      <c r="A10" t="s">
        <v>91</v>
      </c>
      <c r="B10" t="s">
        <v>92</v>
      </c>
      <c r="D10" s="7">
        <v>86.28</v>
      </c>
      <c r="E10" s="7">
        <v>88.520880000000005</v>
      </c>
      <c r="F10" s="7">
        <v>86.959000000000003</v>
      </c>
      <c r="G10" s="7">
        <v>92.819299999999998</v>
      </c>
      <c r="H10" s="7">
        <v>99.698260000000005</v>
      </c>
      <c r="I10" s="7">
        <v>103.09177</v>
      </c>
      <c r="J10" s="7">
        <v>80</v>
      </c>
      <c r="K10" s="7">
        <v>71</v>
      </c>
    </row>
    <row r="11" spans="1:11" x14ac:dyDescent="0.3">
      <c r="A11" t="s">
        <v>93</v>
      </c>
      <c r="B11" t="s">
        <v>94</v>
      </c>
      <c r="D11" s="7">
        <v>90.29</v>
      </c>
      <c r="E11" s="7">
        <v>77.814440000000005</v>
      </c>
      <c r="F11" s="7">
        <v>72.083190000000002</v>
      </c>
      <c r="G11" s="7">
        <v>73.189120000000003</v>
      </c>
      <c r="H11" s="7">
        <v>74.174440000000004</v>
      </c>
      <c r="I11" s="7">
        <v>85.783119999999997</v>
      </c>
      <c r="J11" s="7">
        <v>59</v>
      </c>
      <c r="K11" s="7">
        <v>48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69.489999999999995</v>
      </c>
      <c r="E12" s="7">
        <v>72.916979999999995</v>
      </c>
      <c r="F12" s="7">
        <v>71.187290000000004</v>
      </c>
      <c r="G12" s="7">
        <v>74.339590000000001</v>
      </c>
      <c r="H12" s="7">
        <v>68.036680000000004</v>
      </c>
      <c r="I12" s="7">
        <v>66.838669999999993</v>
      </c>
      <c r="J12" s="7">
        <v>61</v>
      </c>
      <c r="K12" s="7">
        <v>54</v>
      </c>
    </row>
    <row r="13" spans="1:11" x14ac:dyDescent="0.3">
      <c r="A13" t="s">
        <v>97</v>
      </c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t="s">
        <v>98</v>
      </c>
      <c r="B14" t="s">
        <v>99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3">
      <c r="A16" t="s">
        <v>102</v>
      </c>
      <c r="D16" s="7"/>
      <c r="E16" s="7"/>
      <c r="F16" s="7"/>
      <c r="G16" s="7"/>
      <c r="H16" s="7"/>
      <c r="I16" s="7"/>
      <c r="J16" s="7"/>
      <c r="K16" s="7"/>
    </row>
    <row r="17" spans="1:11" x14ac:dyDescent="0.3">
      <c r="A17" t="s">
        <v>103</v>
      </c>
      <c r="B17" t="s">
        <v>104</v>
      </c>
      <c r="D17" s="7">
        <v>36.049999999999997</v>
      </c>
      <c r="E17" s="7">
        <v>32.215769999999999</v>
      </c>
      <c r="F17" s="7">
        <v>31.959029999999998</v>
      </c>
      <c r="G17" s="7">
        <v>31.22175</v>
      </c>
      <c r="H17" s="7">
        <v>32.097729999999999</v>
      </c>
      <c r="I17" s="7">
        <v>29.961490000000001</v>
      </c>
      <c r="J17" s="7">
        <v>33</v>
      </c>
      <c r="K17" s="7">
        <v>34</v>
      </c>
    </row>
    <row r="18" spans="1:11" x14ac:dyDescent="0.3">
      <c r="A18" t="s">
        <v>105</v>
      </c>
      <c r="B18" t="s">
        <v>106</v>
      </c>
      <c r="D18" s="7">
        <v>21.99</v>
      </c>
      <c r="E18" s="7">
        <v>13.73846</v>
      </c>
      <c r="F18" s="7">
        <v>13.817</v>
      </c>
      <c r="G18" s="7">
        <v>15.338469999999999</v>
      </c>
      <c r="H18" s="7">
        <v>14.332280000000001</v>
      </c>
      <c r="I18" s="7">
        <v>15.186820000000001</v>
      </c>
      <c r="J18" s="7">
        <v>13</v>
      </c>
      <c r="K18" s="7">
        <v>13</v>
      </c>
    </row>
    <row r="19" spans="1:11" x14ac:dyDescent="0.3">
      <c r="A19" t="s">
        <v>107</v>
      </c>
      <c r="B19" t="s">
        <v>108</v>
      </c>
      <c r="D19" s="7">
        <v>2.77</v>
      </c>
      <c r="E19" s="7">
        <v>3.68676</v>
      </c>
      <c r="F19" s="7">
        <v>3.5611199999999998</v>
      </c>
      <c r="G19" s="7">
        <v>3.5827499999999999</v>
      </c>
      <c r="H19" s="7">
        <v>2.4888699999999999</v>
      </c>
      <c r="I19" s="7">
        <v>3.1318600000000001</v>
      </c>
      <c r="J19" s="7">
        <v>3</v>
      </c>
      <c r="K19" s="7">
        <v>3</v>
      </c>
    </row>
    <row r="20" spans="1:11" x14ac:dyDescent="0.3">
      <c r="A20" t="s">
        <v>109</v>
      </c>
      <c r="B20" t="s">
        <v>110</v>
      </c>
      <c r="D20" s="7">
        <v>389.33</v>
      </c>
      <c r="E20" s="7">
        <v>344.39524999999998</v>
      </c>
      <c r="F20" s="7">
        <v>356.39080000000001</v>
      </c>
      <c r="G20" s="7">
        <v>359.50198</v>
      </c>
      <c r="H20" s="7">
        <v>357.32776000000001</v>
      </c>
      <c r="I20" s="7">
        <v>369.49115</v>
      </c>
      <c r="J20" s="7">
        <v>386.95</v>
      </c>
      <c r="K20" s="7">
        <v>384.68</v>
      </c>
    </row>
    <row r="21" spans="1:11" x14ac:dyDescent="0.3">
      <c r="A21" t="s">
        <v>111</v>
      </c>
      <c r="D21" s="7"/>
      <c r="E21" s="7"/>
      <c r="F21" s="7"/>
      <c r="G21" s="7"/>
      <c r="H21" s="7"/>
      <c r="I21" s="7"/>
      <c r="J21" s="7"/>
      <c r="K21" s="7"/>
    </row>
    <row r="22" spans="1:11" x14ac:dyDescent="0.3">
      <c r="A22" t="s">
        <v>112</v>
      </c>
      <c r="B22" t="s">
        <v>113</v>
      </c>
      <c r="D22" s="7">
        <v>35.96</v>
      </c>
      <c r="E22" s="7">
        <v>38.099939999999997</v>
      </c>
      <c r="F22" s="7">
        <v>36.630139999999997</v>
      </c>
      <c r="G22" s="7">
        <v>38.628329999999998</v>
      </c>
      <c r="H22" s="7">
        <v>36.375909999999998</v>
      </c>
      <c r="I22" s="7">
        <v>34.57208</v>
      </c>
      <c r="J22" s="7">
        <v>37</v>
      </c>
      <c r="K22" s="7">
        <v>37</v>
      </c>
    </row>
    <row r="23" spans="1:11" x14ac:dyDescent="0.3">
      <c r="A23" t="s">
        <v>114</v>
      </c>
      <c r="D23" s="7"/>
      <c r="E23" s="7"/>
      <c r="F23" s="7"/>
      <c r="G23" s="7"/>
      <c r="H23" s="7"/>
      <c r="I23" s="7"/>
      <c r="J23" s="7"/>
      <c r="K23" s="7"/>
    </row>
    <row r="24" spans="1:11" x14ac:dyDescent="0.3">
      <c r="A24" t="s">
        <v>115</v>
      </c>
      <c r="B24" t="s">
        <v>116</v>
      </c>
      <c r="D24" s="7">
        <v>1.17</v>
      </c>
      <c r="E24" s="7">
        <v>1.2701199999999999</v>
      </c>
      <c r="F24" s="7">
        <v>1.2164900000000001</v>
      </c>
      <c r="G24" s="7">
        <v>1.1132599999999999</v>
      </c>
      <c r="H24" s="7">
        <v>1.0066900000000001</v>
      </c>
      <c r="I24" s="7">
        <v>0.88253000000000004</v>
      </c>
      <c r="J24" s="7">
        <v>1</v>
      </c>
      <c r="K24" s="7">
        <v>1</v>
      </c>
    </row>
    <row r="25" spans="1:11" x14ac:dyDescent="0.3">
      <c r="A25" t="s">
        <v>117</v>
      </c>
      <c r="B25" t="s">
        <v>118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x14ac:dyDescent="0.3">
      <c r="A26" t="s">
        <v>119</v>
      </c>
      <c r="B26" t="s">
        <v>120</v>
      </c>
      <c r="D26" s="7">
        <v>0.32</v>
      </c>
      <c r="E26" s="7">
        <v>6.3800000000000003E-3</v>
      </c>
      <c r="F26" s="7">
        <v>3.68093</v>
      </c>
      <c r="G26" s="7">
        <v>1.7399929999999999</v>
      </c>
      <c r="H26" s="7">
        <v>4.14893</v>
      </c>
      <c r="I26" s="7">
        <v>4.1930000000000002E-2</v>
      </c>
      <c r="J26" s="7">
        <v>0</v>
      </c>
      <c r="K26" s="7">
        <v>0</v>
      </c>
    </row>
    <row r="27" spans="1:11" x14ac:dyDescent="0.3">
      <c r="A27" t="s">
        <v>121</v>
      </c>
      <c r="D27" s="7"/>
      <c r="E27" s="7"/>
      <c r="F27" s="7"/>
      <c r="G27" s="7"/>
      <c r="H27" s="7"/>
      <c r="I27" s="7"/>
      <c r="J27" s="7"/>
      <c r="K27" s="7"/>
    </row>
    <row r="28" spans="1:11" x14ac:dyDescent="0.3">
      <c r="A28" t="s">
        <v>122</v>
      </c>
      <c r="B28" t="s">
        <v>123</v>
      </c>
      <c r="D28" s="7">
        <v>9.81</v>
      </c>
      <c r="E28" s="7">
        <v>10.64279</v>
      </c>
      <c r="F28" s="7">
        <v>14.96039</v>
      </c>
      <c r="G28" s="7">
        <v>16.531320000000001</v>
      </c>
      <c r="H28" s="7">
        <v>15.088279999999999</v>
      </c>
      <c r="I28" s="7">
        <v>16.3843</v>
      </c>
      <c r="J28" s="7">
        <v>31</v>
      </c>
      <c r="K28" s="7">
        <v>18</v>
      </c>
    </row>
    <row r="29" spans="1:11" x14ac:dyDescent="0.3">
      <c r="A29" t="s">
        <v>124</v>
      </c>
      <c r="B29" t="s">
        <v>125</v>
      </c>
      <c r="D29" s="7">
        <v>94.27</v>
      </c>
      <c r="E29" s="7">
        <v>108.02203</v>
      </c>
      <c r="F29" s="7">
        <v>145.75523999999999</v>
      </c>
      <c r="G29" s="7">
        <v>194.94443000000001</v>
      </c>
      <c r="H29" s="7">
        <v>170.5797</v>
      </c>
      <c r="I29" s="7">
        <v>209.02227999999999</v>
      </c>
      <c r="J29" s="7">
        <v>367.75</v>
      </c>
      <c r="K29" s="7">
        <v>148.01</v>
      </c>
    </row>
    <row r="30" spans="1:11" x14ac:dyDescent="0.3">
      <c r="A30" t="s">
        <v>126</v>
      </c>
      <c r="B30" t="s">
        <v>127</v>
      </c>
      <c r="D30" s="7">
        <v>31.57</v>
      </c>
      <c r="E30" s="7">
        <v>26.619150000000001</v>
      </c>
      <c r="F30" s="7">
        <v>63.407710000000002</v>
      </c>
      <c r="G30" s="7">
        <v>43.139749999999999</v>
      </c>
      <c r="H30" s="7">
        <v>41.103029999999997</v>
      </c>
      <c r="I30" s="7">
        <v>45.840499999999999</v>
      </c>
      <c r="J30" s="7">
        <v>229.99</v>
      </c>
      <c r="K30" s="7">
        <v>150.44999999999999</v>
      </c>
    </row>
    <row r="31" spans="1:11" x14ac:dyDescent="0.3">
      <c r="A31" t="s">
        <v>128</v>
      </c>
      <c r="B31" t="s">
        <v>129</v>
      </c>
      <c r="D31" s="7">
        <v>125.84</v>
      </c>
      <c r="E31" s="7">
        <v>134.64117999999999</v>
      </c>
      <c r="F31" s="7">
        <v>209.16295</v>
      </c>
      <c r="G31" s="7">
        <v>238.08418</v>
      </c>
      <c r="H31" s="7">
        <v>211.46100999999999</v>
      </c>
      <c r="I31" s="7">
        <v>254.86278999999999</v>
      </c>
      <c r="J31" s="7">
        <v>597.74</v>
      </c>
      <c r="K31" s="7">
        <v>298.45</v>
      </c>
    </row>
    <row r="32" spans="1:11" x14ac:dyDescent="0.3">
      <c r="A32" t="s">
        <v>130</v>
      </c>
      <c r="B32" t="s">
        <v>131</v>
      </c>
      <c r="D32" s="7">
        <v>46.16</v>
      </c>
      <c r="E32" s="7">
        <v>30.342130000000001</v>
      </c>
      <c r="F32" s="7">
        <v>21.619589999999999</v>
      </c>
      <c r="G32" s="7">
        <v>21.77834</v>
      </c>
      <c r="H32" s="7">
        <v>43.149889999999999</v>
      </c>
      <c r="I32" s="7">
        <v>33.205779999999997</v>
      </c>
      <c r="J32" s="7">
        <v>26</v>
      </c>
      <c r="K32" s="7">
        <v>40</v>
      </c>
    </row>
    <row r="33" spans="1:11" x14ac:dyDescent="0.3">
      <c r="A33" t="s">
        <v>132</v>
      </c>
      <c r="B33" t="s">
        <v>133</v>
      </c>
      <c r="D33" s="7">
        <v>21.82</v>
      </c>
      <c r="E33" s="7">
        <v>22.701070000000001</v>
      </c>
      <c r="F33" s="7">
        <v>-24.454879999999999</v>
      </c>
      <c r="G33" s="7">
        <v>0</v>
      </c>
      <c r="H33" s="7">
        <v>0</v>
      </c>
      <c r="I33" s="7">
        <v>-11.29217</v>
      </c>
      <c r="J33" s="7">
        <v>-1</v>
      </c>
      <c r="K33" s="7">
        <v>0</v>
      </c>
    </row>
    <row r="34" spans="1:11" x14ac:dyDescent="0.3">
      <c r="A34" t="s">
        <v>134</v>
      </c>
      <c r="B34" t="s">
        <v>135</v>
      </c>
      <c r="D34" s="7">
        <v>11.38</v>
      </c>
      <c r="E34" s="7">
        <v>4.0882699999999996</v>
      </c>
      <c r="F34" s="7">
        <v>0</v>
      </c>
      <c r="G34" s="7">
        <v>4.9688819999999998</v>
      </c>
      <c r="H34" s="7">
        <v>3.8342900000000002</v>
      </c>
      <c r="I34" s="7">
        <v>2.7858900000000002</v>
      </c>
      <c r="J34" s="7">
        <v>0</v>
      </c>
      <c r="K34" s="7">
        <v>0</v>
      </c>
    </row>
    <row r="35" spans="1:11" x14ac:dyDescent="0.3">
      <c r="A35" t="s">
        <v>136</v>
      </c>
      <c r="D35" s="7"/>
      <c r="E35" s="7"/>
      <c r="F35" s="7"/>
      <c r="G35" s="7"/>
      <c r="H35" s="7"/>
      <c r="I35" s="7"/>
      <c r="J35" s="7"/>
      <c r="K35" s="7"/>
    </row>
    <row r="36" spans="1:11" x14ac:dyDescent="0.3">
      <c r="A36" t="s">
        <v>137</v>
      </c>
      <c r="B36" t="s">
        <v>138</v>
      </c>
      <c r="D36" s="7">
        <v>77.13</v>
      </c>
      <c r="E36" s="7">
        <v>75.514250000000004</v>
      </c>
      <c r="F36" s="7">
        <v>77.96414</v>
      </c>
      <c r="G36" s="7">
        <v>77.001540000000006</v>
      </c>
      <c r="H36" s="7">
        <v>74.282120000000006</v>
      </c>
      <c r="I36" s="7">
        <v>72.00461</v>
      </c>
      <c r="J36" s="7">
        <v>74</v>
      </c>
      <c r="K36" s="7">
        <v>72</v>
      </c>
    </row>
    <row r="37" spans="1:11" x14ac:dyDescent="0.3">
      <c r="A37" t="s">
        <v>139</v>
      </c>
      <c r="B37" t="s">
        <v>140</v>
      </c>
      <c r="D37" s="7">
        <v>49.02</v>
      </c>
      <c r="E37" s="7">
        <v>63.153390000000002</v>
      </c>
      <c r="F37" s="7">
        <v>66.324489999999997</v>
      </c>
      <c r="G37" s="7">
        <v>60.517879999999998</v>
      </c>
      <c r="H37" s="7">
        <v>62.146039999999999</v>
      </c>
      <c r="I37" s="7">
        <v>57.938070000000003</v>
      </c>
      <c r="J37" s="7">
        <v>51</v>
      </c>
      <c r="K37" s="7">
        <v>36</v>
      </c>
    </row>
    <row r="38" spans="1:11" x14ac:dyDescent="0.3">
      <c r="A38" t="s">
        <v>141</v>
      </c>
      <c r="B38" t="s">
        <v>142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</row>
    <row r="39" spans="1:11" x14ac:dyDescent="0.3">
      <c r="A39" t="s">
        <v>143</v>
      </c>
      <c r="B39" t="s">
        <v>144</v>
      </c>
      <c r="D39" s="7">
        <v>53.86</v>
      </c>
      <c r="E39" s="7">
        <v>49.126269999999998</v>
      </c>
      <c r="F39" s="7">
        <v>44.476199999999999</v>
      </c>
      <c r="G39" s="7">
        <v>40.201659999999997</v>
      </c>
      <c r="H39" s="7">
        <v>34.706009999999999</v>
      </c>
      <c r="I39" s="7">
        <v>30.985749999999999</v>
      </c>
      <c r="J39" s="7">
        <v>43</v>
      </c>
      <c r="K39" s="7">
        <v>39</v>
      </c>
    </row>
    <row r="40" spans="1:11" x14ac:dyDescent="0.3">
      <c r="A40" t="s">
        <v>145</v>
      </c>
      <c r="B40" t="s">
        <v>146</v>
      </c>
      <c r="D40" s="7">
        <v>32.049999999999997</v>
      </c>
      <c r="E40" s="7">
        <v>6.8366499999999997</v>
      </c>
      <c r="F40" s="7">
        <v>27.085550000000001</v>
      </c>
      <c r="G40" s="7">
        <v>44.837119999999999</v>
      </c>
      <c r="H40" s="7">
        <v>19.54795</v>
      </c>
      <c r="I40" s="7">
        <v>38.258040000000001</v>
      </c>
      <c r="J40" s="7">
        <v>31</v>
      </c>
      <c r="K40" s="7">
        <v>39</v>
      </c>
    </row>
    <row r="41" spans="1:11" x14ac:dyDescent="0.3">
      <c r="A41" t="s">
        <v>147</v>
      </c>
      <c r="B41" t="s">
        <v>148</v>
      </c>
      <c r="D41" s="7">
        <v>61.97</v>
      </c>
      <c r="E41" s="7">
        <v>0</v>
      </c>
      <c r="F41" s="7">
        <v>0</v>
      </c>
      <c r="G41" s="7">
        <v>64.970889999999997</v>
      </c>
      <c r="H41" s="7">
        <v>44.325780000000002</v>
      </c>
      <c r="I41" s="7">
        <v>28.632459999999998</v>
      </c>
      <c r="J41" s="7">
        <v>0</v>
      </c>
      <c r="K41" s="7">
        <v>0</v>
      </c>
    </row>
    <row r="42" spans="1:11" x14ac:dyDescent="0.3">
      <c r="A42" t="s">
        <v>149</v>
      </c>
      <c r="D42" s="7"/>
      <c r="E42" s="7"/>
      <c r="F42" s="7"/>
      <c r="G42" s="7"/>
      <c r="H42" s="7"/>
      <c r="I42" s="7"/>
      <c r="J42" s="7"/>
      <c r="K42" s="7"/>
    </row>
    <row r="43" spans="1:11" x14ac:dyDescent="0.3">
      <c r="A43" t="s">
        <v>150</v>
      </c>
      <c r="B43" t="s">
        <v>151</v>
      </c>
      <c r="D43" s="7">
        <v>72.3</v>
      </c>
      <c r="E43" s="7">
        <v>69.401840000000007</v>
      </c>
      <c r="F43" s="7">
        <v>72.590850000000003</v>
      </c>
      <c r="G43" s="7">
        <v>74.998180000000005</v>
      </c>
      <c r="H43" s="7">
        <v>73.703900000000004</v>
      </c>
      <c r="I43" s="7">
        <v>71.991900000000001</v>
      </c>
      <c r="J43" s="7">
        <v>71</v>
      </c>
      <c r="K43" s="7">
        <v>67</v>
      </c>
    </row>
    <row r="44" spans="1:11" x14ac:dyDescent="0.3">
      <c r="A44" t="s">
        <v>152</v>
      </c>
      <c r="B44" t="s">
        <v>153</v>
      </c>
      <c r="D44" s="7">
        <v>67.23</v>
      </c>
      <c r="E44" s="7">
        <v>64.508939999999996</v>
      </c>
      <c r="F44" s="7">
        <v>67.278829999999999</v>
      </c>
      <c r="G44" s="7">
        <v>70.451920000000001</v>
      </c>
      <c r="H44" s="7">
        <v>66.704300000000003</v>
      </c>
      <c r="I44" s="7">
        <v>59.914999999999999</v>
      </c>
      <c r="J44" s="7">
        <v>62</v>
      </c>
      <c r="K44" s="7">
        <v>66</v>
      </c>
    </row>
    <row r="45" spans="1:11" x14ac:dyDescent="0.3">
      <c r="A45" t="s">
        <v>154</v>
      </c>
      <c r="B45" t="s">
        <v>155</v>
      </c>
      <c r="D45" s="7">
        <v>96.85</v>
      </c>
      <c r="E45" s="7">
        <v>89.144289999999998</v>
      </c>
      <c r="F45" s="7">
        <v>95.922629999999998</v>
      </c>
      <c r="G45" s="7">
        <v>87.077709999999996</v>
      </c>
      <c r="H45" s="7">
        <v>81.682429999999997</v>
      </c>
      <c r="I45" s="7">
        <v>70.467889999999997</v>
      </c>
      <c r="J45" s="7">
        <v>84</v>
      </c>
      <c r="K45" s="7">
        <v>79</v>
      </c>
    </row>
    <row r="46" spans="1:11" x14ac:dyDescent="0.3">
      <c r="A46" t="s">
        <v>156</v>
      </c>
      <c r="B46" t="s">
        <v>157</v>
      </c>
      <c r="D46" s="7">
        <v>61.94</v>
      </c>
      <c r="E46" s="7">
        <v>29.222259999999999</v>
      </c>
      <c r="F46" s="7">
        <v>36.28942</v>
      </c>
      <c r="G46" s="7">
        <v>33.888710000000003</v>
      </c>
      <c r="H46" s="7">
        <v>37.421959999999999</v>
      </c>
      <c r="I46" s="7">
        <v>38.061610000000002</v>
      </c>
      <c r="J46" s="7">
        <v>58</v>
      </c>
      <c r="K46" s="7">
        <v>40</v>
      </c>
    </row>
    <row r="47" spans="1:11" x14ac:dyDescent="0.3">
      <c r="A47" t="s">
        <v>158</v>
      </c>
      <c r="B47" t="s">
        <v>159</v>
      </c>
      <c r="D47" s="7">
        <v>0</v>
      </c>
      <c r="E47" s="7">
        <v>13.46</v>
      </c>
      <c r="F47" s="7">
        <v>6.67</v>
      </c>
      <c r="G47" s="7">
        <v>-9.32</v>
      </c>
      <c r="H47" s="7">
        <v>-12.93</v>
      </c>
      <c r="I47" s="7">
        <v>-15</v>
      </c>
      <c r="J47" s="7">
        <v>-15.66</v>
      </c>
      <c r="K47" s="7">
        <v>-21.47</v>
      </c>
    </row>
    <row r="48" spans="1:11" x14ac:dyDescent="0.3">
      <c r="A48" t="s">
        <v>160</v>
      </c>
      <c r="D48" s="7"/>
      <c r="E48" s="7"/>
      <c r="F48" s="7"/>
      <c r="G48" s="7"/>
      <c r="H48" s="7"/>
      <c r="I48" s="7"/>
      <c r="J48" s="7"/>
      <c r="K48" s="7"/>
    </row>
    <row r="49" spans="1:11" x14ac:dyDescent="0.3">
      <c r="A49" t="s">
        <v>161</v>
      </c>
      <c r="B49" t="s">
        <v>162</v>
      </c>
      <c r="D49" s="7">
        <v>0</v>
      </c>
      <c r="E49" s="7">
        <v>0</v>
      </c>
      <c r="F49" s="7">
        <v>3.5319999999999997E-2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</row>
    <row r="50" spans="1:11" x14ac:dyDescent="0.3">
      <c r="A50" t="s">
        <v>163</v>
      </c>
      <c r="B50" t="s">
        <v>164</v>
      </c>
      <c r="D50" s="7">
        <v>0</v>
      </c>
      <c r="E50" s="7">
        <v>0</v>
      </c>
      <c r="F50" s="7">
        <v>5.32958</v>
      </c>
      <c r="G50" s="7">
        <v>5.0171900000000003</v>
      </c>
      <c r="H50" s="7">
        <v>2.45492</v>
      </c>
      <c r="I50" s="7">
        <v>3.9271199999999999</v>
      </c>
      <c r="J50" s="7">
        <v>4</v>
      </c>
      <c r="K50" s="7">
        <v>5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3.32</v>
      </c>
      <c r="E51" s="7">
        <v>3.5465300000000002</v>
      </c>
      <c r="F51" s="7">
        <v>2.87392</v>
      </c>
      <c r="G51" s="7">
        <v>2.5749599999999999</v>
      </c>
      <c r="H51" s="7">
        <v>1.6671</v>
      </c>
      <c r="I51" s="7">
        <v>1.9524900000000001</v>
      </c>
      <c r="J51" s="7">
        <v>2</v>
      </c>
      <c r="K51" s="7">
        <v>2</v>
      </c>
    </row>
    <row r="52" spans="1:11" x14ac:dyDescent="0.3">
      <c r="A52" t="s">
        <v>167</v>
      </c>
      <c r="B52" t="s">
        <v>168</v>
      </c>
      <c r="D52" s="7">
        <v>449.5</v>
      </c>
      <c r="E52" s="7">
        <v>420.93339776675293</v>
      </c>
      <c r="F52" s="7">
        <v>418.77197000000001</v>
      </c>
      <c r="G52" s="7">
        <v>395.77652999999998</v>
      </c>
      <c r="H52" s="7">
        <v>407.61734000000001</v>
      </c>
      <c r="I52" s="7">
        <v>420.43572999999998</v>
      </c>
      <c r="J52" s="7">
        <v>403.83</v>
      </c>
      <c r="K52" s="7">
        <v>403.71</v>
      </c>
    </row>
    <row r="53" spans="1:11" x14ac:dyDescent="0.3">
      <c r="A53" t="s">
        <v>169</v>
      </c>
      <c r="D53" s="7">
        <v>26.862607612102231</v>
      </c>
      <c r="E53" s="7">
        <v>25.699562648650488</v>
      </c>
      <c r="F53" s="7">
        <v>12.271420330555699</v>
      </c>
      <c r="G53" s="7">
        <v>9.3064375905339602</v>
      </c>
      <c r="H53" s="7">
        <v>17.809496864052303</v>
      </c>
      <c r="I53" s="7">
        <v>13.184880054165895</v>
      </c>
      <c r="J53" s="7">
        <v>10.772287585419928</v>
      </c>
      <c r="K53" s="7">
        <v>9.3942051190934563</v>
      </c>
    </row>
    <row r="54" spans="1:11" x14ac:dyDescent="0.3">
      <c r="A54" t="s">
        <v>170</v>
      </c>
      <c r="B54" t="s">
        <v>171</v>
      </c>
      <c r="D54" s="7">
        <v>6.2263373625653715</v>
      </c>
      <c r="E54" s="7">
        <v>7.6432705539043369</v>
      </c>
      <c r="F54" s="7">
        <v>8.7281319373801072</v>
      </c>
      <c r="G54" s="7">
        <v>7.7178552690779183</v>
      </c>
      <c r="H54" s="7">
        <v>16.721735917806928</v>
      </c>
      <c r="I54" s="7">
        <v>10.962959033571517</v>
      </c>
      <c r="J54" s="7">
        <v>7.9037076246928848</v>
      </c>
      <c r="K54" s="7">
        <v>6.6283573699378291</v>
      </c>
    </row>
    <row r="55" spans="1:11" x14ac:dyDescent="0.3">
      <c r="A55" t="s">
        <v>172</v>
      </c>
      <c r="B55" t="s">
        <v>173</v>
      </c>
      <c r="D55" s="7">
        <v>20.63627024953686</v>
      </c>
      <c r="E55" s="7">
        <v>18.056292094746151</v>
      </c>
      <c r="F55" s="7">
        <v>3.5432883931755912</v>
      </c>
      <c r="G55" s="7">
        <v>1.5885823214560415</v>
      </c>
      <c r="H55" s="7">
        <v>1.0877609462453759</v>
      </c>
      <c r="I55" s="7">
        <v>2.2219210205943787</v>
      </c>
      <c r="J55" s="7">
        <v>2.8685799607270428</v>
      </c>
      <c r="K55" s="7">
        <v>2.7658477491556277</v>
      </c>
    </row>
    <row r="56" spans="1:11" x14ac:dyDescent="0.3">
      <c r="A56" t="s">
        <v>174</v>
      </c>
      <c r="B56" t="s">
        <v>175</v>
      </c>
      <c r="D56" s="7">
        <v>41.578098961326418</v>
      </c>
      <c r="E56" s="7">
        <v>44.974231470678639</v>
      </c>
      <c r="F56" s="7">
        <v>59.49950932785115</v>
      </c>
      <c r="G56" s="7">
        <v>63.124497542981629</v>
      </c>
      <c r="H56" s="7">
        <v>52.388457948750542</v>
      </c>
      <c r="I56" s="7">
        <v>56.687882018706205</v>
      </c>
      <c r="J56" s="7">
        <v>62.050470227202005</v>
      </c>
      <c r="K56" s="7">
        <v>65.330858770495169</v>
      </c>
    </row>
    <row r="57" spans="1:11" x14ac:dyDescent="0.3">
      <c r="A57" t="s">
        <v>176</v>
      </c>
      <c r="B57" t="s">
        <v>177</v>
      </c>
      <c r="D57" s="7">
        <v>31.559293426571351</v>
      </c>
      <c r="E57" s="7">
        <v>29.326205880670877</v>
      </c>
      <c r="F57" s="7">
        <v>28.22907034159315</v>
      </c>
      <c r="G57" s="7">
        <v>27.569064866484418</v>
      </c>
      <c r="H57" s="7">
        <v>29.802045187197152</v>
      </c>
      <c r="I57" s="7">
        <v>30.127237927127904</v>
      </c>
      <c r="J57" s="7">
        <v>27.17724218737807</v>
      </c>
      <c r="K57" s="7">
        <v>25.274936110411371</v>
      </c>
    </row>
    <row r="58" spans="1:11" x14ac:dyDescent="0.3">
      <c r="A58" t="s">
        <v>178</v>
      </c>
      <c r="D58" s="7"/>
      <c r="E58" s="7"/>
      <c r="F58" s="7"/>
      <c r="G58" s="7"/>
      <c r="H58" s="7"/>
      <c r="I58" s="7"/>
      <c r="J58" s="7"/>
      <c r="K58" s="7"/>
    </row>
    <row r="59" spans="1:11" x14ac:dyDescent="0.3">
      <c r="A59" t="s">
        <v>179</v>
      </c>
      <c r="B59" t="s">
        <v>180</v>
      </c>
      <c r="D59" s="7" t="s">
        <v>355</v>
      </c>
      <c r="E59" s="7" t="s">
        <v>355</v>
      </c>
      <c r="F59" s="7" t="s">
        <v>355</v>
      </c>
      <c r="G59" s="7" t="s">
        <v>355</v>
      </c>
      <c r="H59" s="7" t="s">
        <v>355</v>
      </c>
      <c r="I59" s="7" t="s">
        <v>355</v>
      </c>
      <c r="J59" s="7" t="s">
        <v>355</v>
      </c>
      <c r="K59" s="7" t="s">
        <v>355</v>
      </c>
    </row>
    <row r="60" spans="1:11" x14ac:dyDescent="0.3">
      <c r="A60" t="s">
        <v>181</v>
      </c>
      <c r="B60" t="s">
        <v>182</v>
      </c>
      <c r="D60" s="7" t="s">
        <v>355</v>
      </c>
      <c r="E60" s="7" t="s">
        <v>355</v>
      </c>
      <c r="F60" s="7" t="s">
        <v>355</v>
      </c>
      <c r="G60" s="7" t="s">
        <v>355</v>
      </c>
      <c r="H60" s="7" t="s">
        <v>355</v>
      </c>
      <c r="I60" s="7" t="s">
        <v>355</v>
      </c>
      <c r="J60" s="7" t="s">
        <v>355</v>
      </c>
      <c r="K60" s="7" t="s">
        <v>355</v>
      </c>
    </row>
    <row r="61" spans="1:11" x14ac:dyDescent="0.3">
      <c r="A61" t="s">
        <v>183</v>
      </c>
      <c r="B61" t="s">
        <v>184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</row>
    <row r="63" spans="1:11" x14ac:dyDescent="0.3">
      <c r="A63" t="s">
        <v>187</v>
      </c>
      <c r="D63" s="7"/>
      <c r="E63" s="7"/>
      <c r="F63" s="7"/>
      <c r="G63" s="7"/>
      <c r="H63" s="7"/>
      <c r="I63" s="7"/>
      <c r="J63" s="7"/>
      <c r="K63" s="7"/>
    </row>
    <row r="64" spans="1:11" x14ac:dyDescent="0.3">
      <c r="A64" s="8" t="s">
        <v>188</v>
      </c>
      <c r="B64" s="8" t="s">
        <v>189</v>
      </c>
      <c r="C64" s="9">
        <v>1</v>
      </c>
      <c r="D64" s="7">
        <v>0</v>
      </c>
      <c r="E64" s="7">
        <v>2.6540000000000001E-2</v>
      </c>
      <c r="F64" s="7">
        <v>9.2710000000000001E-2</v>
      </c>
      <c r="G64" s="7">
        <v>5.781E-2</v>
      </c>
      <c r="H64" s="7">
        <v>4.4330000000000001E-2</v>
      </c>
      <c r="I64" s="7">
        <v>8.5389999999999994E-2</v>
      </c>
      <c r="J64" s="7">
        <v>0</v>
      </c>
      <c r="K64" s="7">
        <v>0</v>
      </c>
    </row>
    <row r="65" spans="1:11" x14ac:dyDescent="0.3">
      <c r="A65" s="8" t="s">
        <v>190</v>
      </c>
      <c r="B65" s="8" t="s">
        <v>191</v>
      </c>
      <c r="C65" s="9"/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</row>
    <row r="67" spans="1:11" x14ac:dyDescent="0.3">
      <c r="A67" t="s">
        <v>194</v>
      </c>
      <c r="D67" s="7"/>
      <c r="E67" s="7"/>
      <c r="F67" s="7"/>
      <c r="G67" s="7"/>
      <c r="H67" s="7"/>
      <c r="I67" s="7"/>
      <c r="J67" s="7"/>
      <c r="K67" s="7"/>
    </row>
    <row r="68" spans="1:11" x14ac:dyDescent="0.3">
      <c r="A68" t="s">
        <v>195</v>
      </c>
      <c r="B68" t="s">
        <v>196</v>
      </c>
      <c r="D68" s="7">
        <v>59.53</v>
      </c>
      <c r="E68" s="7">
        <v>50.024799999999999</v>
      </c>
      <c r="F68" s="30">
        <v>45.531390000000002</v>
      </c>
      <c r="G68" s="30">
        <v>53.728740000000002</v>
      </c>
      <c r="H68" s="30">
        <v>46.270139999999998</v>
      </c>
      <c r="I68" s="30">
        <v>52.156619999999997</v>
      </c>
      <c r="J68" s="30">
        <v>44</v>
      </c>
      <c r="K68" s="30">
        <v>43</v>
      </c>
    </row>
    <row r="69" spans="1:11" x14ac:dyDescent="0.3">
      <c r="A69" t="s">
        <v>197</v>
      </c>
      <c r="D69" s="7"/>
      <c r="E69" s="7"/>
      <c r="F69" s="7"/>
      <c r="G69" s="7"/>
      <c r="H69" s="7"/>
      <c r="I69" s="7"/>
      <c r="J69" s="7"/>
      <c r="K69" s="7"/>
    </row>
    <row r="70" spans="1:11" x14ac:dyDescent="0.3">
      <c r="A70" t="s">
        <v>198</v>
      </c>
      <c r="B70" t="s">
        <v>199</v>
      </c>
      <c r="D70" s="7">
        <v>13.41</v>
      </c>
      <c r="E70" s="30">
        <v>14.08741</v>
      </c>
      <c r="F70" s="7">
        <v>15.74545</v>
      </c>
      <c r="G70" s="7">
        <v>17.595410000000001</v>
      </c>
      <c r="H70" s="7">
        <v>15.622260000000001</v>
      </c>
      <c r="I70" s="7">
        <v>13.39934</v>
      </c>
      <c r="J70" s="7">
        <v>12</v>
      </c>
      <c r="K70" s="7">
        <v>12</v>
      </c>
    </row>
    <row r="71" spans="1:11" x14ac:dyDescent="0.3">
      <c r="A71" t="s">
        <v>200</v>
      </c>
      <c r="B71" t="s">
        <v>201</v>
      </c>
      <c r="D71" s="7">
        <v>15.7</v>
      </c>
      <c r="E71" s="30">
        <v>15.917669999999999</v>
      </c>
      <c r="F71" s="7">
        <v>17.49568</v>
      </c>
      <c r="G71" s="7">
        <v>19.630510000000001</v>
      </c>
      <c r="H71" s="7">
        <v>18.737069999999999</v>
      </c>
      <c r="I71" s="7">
        <v>15.89733</v>
      </c>
      <c r="J71" s="7">
        <v>15</v>
      </c>
      <c r="K71" s="7">
        <v>15</v>
      </c>
    </row>
    <row r="72" spans="1:11" x14ac:dyDescent="0.3">
      <c r="A72" t="s">
        <v>305</v>
      </c>
      <c r="D72" s="7"/>
      <c r="E72" s="7"/>
      <c r="F72" s="7"/>
      <c r="G72" s="7"/>
      <c r="H72" s="7"/>
      <c r="I72" s="7"/>
      <c r="J72" s="7"/>
      <c r="K72" s="7"/>
    </row>
    <row r="73" spans="1:11" x14ac:dyDescent="0.3">
      <c r="B73" t="s">
        <v>202</v>
      </c>
      <c r="D73" s="7">
        <v>76.98</v>
      </c>
      <c r="E73" s="7">
        <v>69.715729999999994</v>
      </c>
      <c r="F73" s="7">
        <v>78.156989999999993</v>
      </c>
      <c r="G73" s="7">
        <v>74.956320000000005</v>
      </c>
      <c r="H73" s="7">
        <v>70.870289999999997</v>
      </c>
      <c r="I73" s="7">
        <v>76.435820000000007</v>
      </c>
      <c r="J73" s="7">
        <v>71.365715047328422</v>
      </c>
      <c r="K73" s="7">
        <v>65.454893473569271</v>
      </c>
    </row>
    <row r="74" spans="1:11" x14ac:dyDescent="0.3">
      <c r="B74" t="s">
        <v>203</v>
      </c>
      <c r="D74" s="7">
        <v>84.54</v>
      </c>
      <c r="E74" s="7">
        <v>74.723050000000001</v>
      </c>
      <c r="F74" s="7">
        <v>83.694320000000005</v>
      </c>
      <c r="G74" s="7">
        <v>82.633189999999999</v>
      </c>
      <c r="H74" s="7">
        <v>80.992109999999997</v>
      </c>
      <c r="I74" s="7">
        <v>86.908959999999993</v>
      </c>
      <c r="J74" s="7">
        <v>83.750447097089207</v>
      </c>
      <c r="K74" s="7">
        <v>78.169607850430182</v>
      </c>
    </row>
    <row r="75" spans="1:11" x14ac:dyDescent="0.3">
      <c r="B75" t="s">
        <v>204</v>
      </c>
      <c r="D75" s="7">
        <v>48.09</v>
      </c>
      <c r="E75" s="7">
        <v>52.600790000000003</v>
      </c>
      <c r="F75" s="7">
        <v>63.490859999999998</v>
      </c>
      <c r="G75" s="7">
        <v>48.540819999999997</v>
      </c>
      <c r="H75" s="7">
        <v>40.429409999999997</v>
      </c>
      <c r="I75" s="7">
        <v>43.002540000000003</v>
      </c>
      <c r="J75" s="7">
        <v>35.537908237584837</v>
      </c>
      <c r="K75" s="7">
        <v>32.384479641251168</v>
      </c>
    </row>
    <row r="76" spans="1:11" x14ac:dyDescent="0.3">
      <c r="A76" s="8" t="s">
        <v>37</v>
      </c>
      <c r="B76" s="8"/>
      <c r="C76" s="9">
        <v>47</v>
      </c>
      <c r="D76" s="7">
        <v>65.866632792264738</v>
      </c>
      <c r="E76" s="7">
        <v>64.283656421898911</v>
      </c>
      <c r="F76" s="30">
        <v>68.306346260276854</v>
      </c>
      <c r="G76" s="30">
        <v>63.219258189360374</v>
      </c>
      <c r="H76" s="30">
        <v>61.804354367973247</v>
      </c>
      <c r="I76" s="30">
        <v>65.636054925191885</v>
      </c>
      <c r="J76" s="30">
        <v>63.814593826553811</v>
      </c>
      <c r="K76" s="30">
        <v>50.911755867704912</v>
      </c>
    </row>
    <row r="77" spans="1:11" x14ac:dyDescent="0.3">
      <c r="A77" s="31" t="s">
        <v>338</v>
      </c>
      <c r="B77" s="31"/>
      <c r="C77" s="63"/>
      <c r="D77" s="30">
        <v>63.319288588024627</v>
      </c>
      <c r="E77" s="30">
        <v>61.60298893351812</v>
      </c>
      <c r="F77" s="30">
        <v>65.79859931812166</v>
      </c>
      <c r="G77" s="30">
        <v>59.623909208214286</v>
      </c>
      <c r="H77" s="30">
        <v>58.51860292486937</v>
      </c>
      <c r="I77" s="30">
        <v>63.212576568621159</v>
      </c>
      <c r="J77" s="30">
        <v>59.231550664121755</v>
      </c>
      <c r="K77" s="30">
        <v>48.622046562958261</v>
      </c>
    </row>
    <row r="78" spans="1:11" x14ac:dyDescent="0.3">
      <c r="A78" t="s">
        <v>268</v>
      </c>
      <c r="D78" s="7"/>
      <c r="E78" s="7"/>
      <c r="F78" s="7"/>
      <c r="G78" s="7"/>
      <c r="H78" s="7"/>
      <c r="I78" s="7"/>
      <c r="J78" s="7"/>
      <c r="K78" s="7"/>
    </row>
    <row r="79" spans="1:11" x14ac:dyDescent="0.3">
      <c r="A79">
        <v>4</v>
      </c>
      <c r="B79" t="s">
        <v>205</v>
      </c>
      <c r="D79" s="7">
        <v>7.4761035260879707</v>
      </c>
      <c r="E79" s="7">
        <v>8.5547640352685566</v>
      </c>
      <c r="F79" s="30">
        <v>7.7836092242560104</v>
      </c>
      <c r="G79" s="30">
        <v>8.2010825034118113</v>
      </c>
      <c r="H79" s="30">
        <v>7.7121475762550391</v>
      </c>
      <c r="I79" s="30">
        <v>6.4507413120584793</v>
      </c>
      <c r="J79" s="30">
        <v>6.024096385542169</v>
      </c>
      <c r="K79" s="30">
        <v>6.8181818181818175</v>
      </c>
    </row>
    <row r="80" spans="1:11" x14ac:dyDescent="0.3">
      <c r="A80">
        <v>9</v>
      </c>
      <c r="B80" t="s">
        <v>350</v>
      </c>
      <c r="D80" s="7">
        <v>13.671042284113021</v>
      </c>
      <c r="E80" s="7">
        <v>15.567432351544808</v>
      </c>
      <c r="F80" s="30">
        <v>14.027326517405584</v>
      </c>
      <c r="G80" s="30">
        <v>15.281112786799886</v>
      </c>
      <c r="H80" s="30">
        <v>16.144675454801643</v>
      </c>
      <c r="I80" s="30">
        <v>14.464706209859923</v>
      </c>
      <c r="J80" s="30">
        <v>12.048192771084338</v>
      </c>
      <c r="K80" s="30">
        <v>13.636363636363635</v>
      </c>
    </row>
    <row r="81" spans="1:11" x14ac:dyDescent="0.3">
      <c r="A81">
        <v>10</v>
      </c>
      <c r="B81" t="s">
        <v>206</v>
      </c>
      <c r="D81" s="7">
        <v>21.145674338822552</v>
      </c>
      <c r="E81" s="7">
        <v>21.919917847452933</v>
      </c>
      <c r="F81" s="30">
        <v>19.592404038694475</v>
      </c>
      <c r="G81" s="30">
        <v>20.280997398039467</v>
      </c>
      <c r="H81" s="30">
        <v>18.435122271972947</v>
      </c>
      <c r="I81" s="30">
        <v>19.746586012613388</v>
      </c>
      <c r="J81" s="30">
        <v>26.506024096385545</v>
      </c>
      <c r="K81" s="30">
        <v>26.136363636363637</v>
      </c>
    </row>
    <row r="82" spans="1:11" x14ac:dyDescent="0.3">
      <c r="A82">
        <v>12</v>
      </c>
      <c r="B82" t="s">
        <v>207</v>
      </c>
      <c r="D82" s="7">
        <v>12.857174783804345</v>
      </c>
      <c r="E82" s="7">
        <v>14.051777549207795</v>
      </c>
      <c r="F82" s="30">
        <v>12.28927485814291</v>
      </c>
      <c r="G82" s="30">
        <v>13.752951095554666</v>
      </c>
      <c r="H82" s="30">
        <v>15.240965472201969</v>
      </c>
      <c r="I82" s="30">
        <v>13.631113600164191</v>
      </c>
      <c r="J82" s="30">
        <v>13.253012048192772</v>
      </c>
      <c r="K82" s="30">
        <v>14.772727272727273</v>
      </c>
    </row>
    <row r="83" spans="1:11" x14ac:dyDescent="0.3">
      <c r="A83" t="s">
        <v>208</v>
      </c>
      <c r="D83" s="7"/>
      <c r="E83" s="7"/>
      <c r="F83" s="7"/>
      <c r="G83" s="7"/>
      <c r="H83" s="7"/>
      <c r="I83" s="7"/>
      <c r="J83" s="7"/>
      <c r="K83" s="7"/>
    </row>
    <row r="84" spans="1:11" x14ac:dyDescent="0.3">
      <c r="A84">
        <v>4</v>
      </c>
      <c r="B84" t="s">
        <v>205</v>
      </c>
      <c r="D84" s="7">
        <v>81.998540000000006</v>
      </c>
      <c r="E84" s="7">
        <v>81.299610000000001</v>
      </c>
      <c r="F84" s="7">
        <v>84.070650000000001</v>
      </c>
      <c r="G84" s="7">
        <v>85.29795</v>
      </c>
      <c r="H84" s="7">
        <v>74.216499999999996</v>
      </c>
      <c r="I84" s="7">
        <v>81.525134501494321</v>
      </c>
      <c r="J84" s="7">
        <v>73.250593635242353</v>
      </c>
      <c r="K84" s="7">
        <v>78.205842425025835</v>
      </c>
    </row>
    <row r="85" spans="1:11" x14ac:dyDescent="0.3">
      <c r="A85">
        <v>9</v>
      </c>
      <c r="B85" t="s">
        <v>350</v>
      </c>
      <c r="D85" s="7">
        <v>71.493970000000004</v>
      </c>
      <c r="E85" s="7">
        <v>74.224230000000006</v>
      </c>
      <c r="F85" s="7">
        <v>57.661850000000001</v>
      </c>
      <c r="G85" s="7">
        <v>67.548820000000006</v>
      </c>
      <c r="H85" s="7">
        <v>73.710509999999999</v>
      </c>
      <c r="I85" s="7">
        <v>59.688382508345207</v>
      </c>
      <c r="J85" s="7">
        <v>58.290834978735376</v>
      </c>
      <c r="K85" s="7">
        <v>59.932935443454291</v>
      </c>
    </row>
    <row r="86" spans="1:11" x14ac:dyDescent="0.3">
      <c r="A86">
        <v>10</v>
      </c>
      <c r="B86" t="s">
        <v>206</v>
      </c>
      <c r="D86" s="7">
        <v>71.650189999999995</v>
      </c>
      <c r="E86" s="7">
        <v>70.350769999999997</v>
      </c>
      <c r="F86" s="7">
        <v>74.279129999999995</v>
      </c>
      <c r="G86" s="7">
        <v>69.378270000000001</v>
      </c>
      <c r="H86" s="7">
        <v>63.268090000000001</v>
      </c>
      <c r="I86" s="7">
        <v>65.243711481746033</v>
      </c>
      <c r="J86" s="7">
        <v>65.024900940031088</v>
      </c>
      <c r="K86" s="7">
        <v>60.793729494160729</v>
      </c>
    </row>
    <row r="87" spans="1:11" x14ac:dyDescent="0.3">
      <c r="A87">
        <v>12</v>
      </c>
      <c r="B87" t="s">
        <v>207</v>
      </c>
      <c r="D87" s="7">
        <v>73.639380000000003</v>
      </c>
      <c r="E87" s="7">
        <v>76.780240000000006</v>
      </c>
      <c r="F87" s="7">
        <v>80.867270000000005</v>
      </c>
      <c r="G87" s="7">
        <v>78.80292</v>
      </c>
      <c r="H87" s="7">
        <v>78.399370000000005</v>
      </c>
      <c r="I87" s="7">
        <v>77.245927150659071</v>
      </c>
      <c r="J87" s="7">
        <v>78.519027072568193</v>
      </c>
      <c r="K87" s="7">
        <v>78.566599830533903</v>
      </c>
    </row>
    <row r="88" spans="1:11" x14ac:dyDescent="0.3">
      <c r="B88" s="68" t="s">
        <v>306</v>
      </c>
      <c r="D88" s="7"/>
      <c r="E88" s="7"/>
      <c r="F88" s="7"/>
      <c r="G88" s="7"/>
      <c r="H88" s="7"/>
      <c r="I88" s="7"/>
      <c r="J88" s="7"/>
      <c r="K88" s="7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7">
        <v>355.01394750014094</v>
      </c>
      <c r="H89" s="7">
        <v>354.72657825926274</v>
      </c>
      <c r="I89" s="7">
        <v>352.25227220007974</v>
      </c>
      <c r="J89" s="7">
        <v>369.77947768871218</v>
      </c>
      <c r="K89" s="7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7">
        <v>180.492157874811</v>
      </c>
      <c r="H90" s="7">
        <v>204.57029658165237</v>
      </c>
      <c r="I90" s="7">
        <v>209.21258224469867</v>
      </c>
      <c r="J90" s="7">
        <v>229.38618194069946</v>
      </c>
      <c r="K90" s="7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7">
        <v>24.474374999999998</v>
      </c>
      <c r="H91" s="7">
        <v>18.420312500000001</v>
      </c>
      <c r="I91" s="7">
        <v>10.619375</v>
      </c>
      <c r="J91" s="7">
        <v>3.849687499999999</v>
      </c>
      <c r="K91" s="7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7">
        <v>1688.3834954123995</v>
      </c>
      <c r="H92" s="7">
        <v>1744.0187221199872</v>
      </c>
      <c r="I92" s="7">
        <v>1744.7789254873785</v>
      </c>
      <c r="J92" s="7">
        <v>1726.9557160967668</v>
      </c>
      <c r="K92" s="7">
        <v>1697.0701833805592</v>
      </c>
    </row>
    <row r="93" spans="1:11" x14ac:dyDescent="0.3">
      <c r="D93" s="7"/>
      <c r="E93" s="7"/>
      <c r="F93" s="7"/>
      <c r="G93" s="7"/>
      <c r="H93" s="7"/>
      <c r="I93" s="7"/>
      <c r="J93" s="7"/>
      <c r="K93" s="7"/>
    </row>
    <row r="94" spans="1:11" x14ac:dyDescent="0.3">
      <c r="B94" s="39" t="s">
        <v>303</v>
      </c>
      <c r="D94" s="7"/>
      <c r="E94" s="7"/>
      <c r="F94" s="7"/>
      <c r="G94" s="7"/>
      <c r="H94" s="7"/>
      <c r="I94" s="7"/>
      <c r="J94" s="7"/>
      <c r="K94" s="7"/>
    </row>
    <row r="95" spans="1:11" x14ac:dyDescent="0.3">
      <c r="D95" s="7"/>
      <c r="E95" s="7"/>
      <c r="F95" s="7"/>
      <c r="G95" s="7"/>
      <c r="H95" s="7"/>
      <c r="I95" s="7"/>
      <c r="J95" s="7"/>
      <c r="K95" s="7"/>
    </row>
    <row r="96" spans="1:11" x14ac:dyDescent="0.3">
      <c r="D96" s="7"/>
      <c r="E96" s="7"/>
      <c r="F96" s="7"/>
      <c r="G96" s="7"/>
      <c r="H96" s="7"/>
      <c r="I96" s="7"/>
      <c r="J96" s="7"/>
      <c r="K96" s="7"/>
    </row>
    <row r="97" spans="4:11" x14ac:dyDescent="0.3">
      <c r="D97" s="7"/>
      <c r="E97" s="7"/>
      <c r="F97" s="7"/>
      <c r="G97" s="7"/>
      <c r="H97" s="7"/>
      <c r="I97" s="7"/>
      <c r="J97" s="7"/>
      <c r="K97" s="7"/>
    </row>
    <row r="98" spans="4:11" x14ac:dyDescent="0.3">
      <c r="D98" s="7"/>
      <c r="E98" s="7"/>
      <c r="F98" s="7"/>
      <c r="G98" s="7"/>
      <c r="H98" s="7"/>
      <c r="I98" s="7"/>
      <c r="J98" s="7"/>
      <c r="K98" s="7"/>
    </row>
    <row r="99" spans="4:11" x14ac:dyDescent="0.3">
      <c r="D99" s="7"/>
      <c r="E99" s="7"/>
      <c r="F99" s="7"/>
      <c r="G99" s="7"/>
      <c r="H99" s="7"/>
      <c r="I99" s="7"/>
      <c r="J99" s="7"/>
      <c r="K99" s="7"/>
    </row>
    <row r="100" spans="4:11" x14ac:dyDescent="0.3">
      <c r="D100" s="7"/>
      <c r="E100" s="7"/>
      <c r="F100" s="7"/>
      <c r="G100" s="7"/>
      <c r="H100" s="7"/>
      <c r="I100" s="7"/>
      <c r="J100" s="7"/>
      <c r="K100" s="7"/>
    </row>
    <row r="101" spans="4:11" x14ac:dyDescent="0.3">
      <c r="D101" s="7"/>
      <c r="E101" s="7"/>
      <c r="F101" s="7"/>
      <c r="G101" s="7"/>
      <c r="H101" s="7"/>
      <c r="I101" s="7"/>
      <c r="J101" s="7"/>
      <c r="K101" s="7"/>
    </row>
    <row r="102" spans="4:11" x14ac:dyDescent="0.3">
      <c r="D102" s="7"/>
      <c r="E102" s="7"/>
      <c r="F102" s="7"/>
      <c r="G102" s="7"/>
      <c r="H102" s="7"/>
      <c r="I102" s="7"/>
      <c r="J102" s="7"/>
      <c r="K102" s="7"/>
    </row>
    <row r="103" spans="4:11" x14ac:dyDescent="0.3">
      <c r="D103" s="7"/>
      <c r="E103" s="7"/>
      <c r="F103" s="7"/>
      <c r="G103" s="7"/>
      <c r="H103" s="7"/>
      <c r="I103" s="7"/>
      <c r="J103" s="7"/>
      <c r="K103" s="7"/>
    </row>
    <row r="104" spans="4:11" x14ac:dyDescent="0.3">
      <c r="D104" s="7"/>
      <c r="E104" s="7"/>
      <c r="F104" s="7"/>
      <c r="G104" s="7"/>
      <c r="H104" s="7"/>
      <c r="I104" s="7"/>
      <c r="J104" s="7"/>
      <c r="K104" s="7"/>
    </row>
    <row r="105" spans="4:11" x14ac:dyDescent="0.3">
      <c r="D105" s="7"/>
      <c r="E105" s="7"/>
      <c r="F105" s="7"/>
      <c r="G105" s="7"/>
      <c r="H105" s="7"/>
      <c r="I105" s="7"/>
      <c r="J105" s="7"/>
      <c r="K105" s="7"/>
    </row>
    <row r="106" spans="4:11" x14ac:dyDescent="0.3">
      <c r="D106" s="7"/>
      <c r="E106" s="7"/>
      <c r="F106" s="7"/>
      <c r="G106" s="7"/>
      <c r="H106" s="7"/>
      <c r="I106" s="7"/>
      <c r="J106" s="7"/>
      <c r="K106" s="7"/>
    </row>
    <row r="107" spans="4:11" x14ac:dyDescent="0.3">
      <c r="D107" s="7"/>
      <c r="E107" s="7"/>
      <c r="F107" s="7"/>
      <c r="G107" s="7"/>
      <c r="H107" s="7"/>
      <c r="I107" s="7"/>
      <c r="J107" s="7"/>
      <c r="K107" s="7"/>
    </row>
    <row r="108" spans="4:11" x14ac:dyDescent="0.3">
      <c r="D108" s="7"/>
      <c r="E108" s="7"/>
      <c r="F108" s="7"/>
      <c r="G108" s="7"/>
      <c r="H108" s="7"/>
      <c r="I108" s="7"/>
      <c r="J108" s="7"/>
      <c r="K108" s="7"/>
    </row>
    <row r="109" spans="4:11" x14ac:dyDescent="0.3">
      <c r="D109" s="7"/>
      <c r="E109" s="7"/>
      <c r="F109" s="7"/>
      <c r="G109" s="7"/>
      <c r="H109" s="7"/>
      <c r="I109" s="7"/>
      <c r="J109" s="7"/>
      <c r="K109" s="7"/>
    </row>
    <row r="110" spans="4:11" x14ac:dyDescent="0.3">
      <c r="D110" s="7"/>
      <c r="E110" s="7"/>
      <c r="F110" s="7"/>
      <c r="G110" s="7"/>
      <c r="H110" s="7"/>
      <c r="I110" s="7"/>
      <c r="J110" s="7"/>
      <c r="K110" s="7"/>
    </row>
    <row r="111" spans="4:11" x14ac:dyDescent="0.3">
      <c r="D111" s="7"/>
      <c r="E111" s="7"/>
      <c r="F111" s="7"/>
      <c r="G111" s="7"/>
      <c r="H111" s="7"/>
      <c r="I111" s="7"/>
      <c r="J111" s="7"/>
      <c r="K111" s="7"/>
    </row>
    <row r="112" spans="4:11" x14ac:dyDescent="0.3">
      <c r="D112" s="7"/>
      <c r="E112" s="7"/>
      <c r="F112" s="7"/>
      <c r="G112" s="7"/>
      <c r="H112" s="7"/>
      <c r="I112" s="7"/>
      <c r="J112" s="7"/>
      <c r="K112" s="7"/>
    </row>
    <row r="113" spans="2:11" x14ac:dyDescent="0.3">
      <c r="D113" s="7"/>
      <c r="E113" s="7"/>
      <c r="F113" s="7"/>
      <c r="G113" s="7"/>
      <c r="H113" s="7"/>
      <c r="I113" s="7"/>
      <c r="J113" s="7"/>
      <c r="K113" s="7"/>
    </row>
    <row r="114" spans="2:11" x14ac:dyDescent="0.3">
      <c r="D114" s="7"/>
      <c r="E114" s="7"/>
      <c r="F114" s="7"/>
      <c r="G114" s="7"/>
      <c r="H114" s="7"/>
      <c r="I114" s="7"/>
      <c r="J114" s="7"/>
      <c r="K114" s="7"/>
    </row>
    <row r="115" spans="2:11" x14ac:dyDescent="0.3">
      <c r="B115" s="39" t="s">
        <v>304</v>
      </c>
      <c r="D115" s="7"/>
      <c r="E115" s="7"/>
      <c r="F115" s="7"/>
      <c r="G115" s="7"/>
      <c r="H115" s="7"/>
      <c r="I115" s="7"/>
      <c r="J115" s="7"/>
      <c r="K115" s="7"/>
    </row>
    <row r="116" spans="2:11" x14ac:dyDescent="0.3">
      <c r="D116" s="7"/>
      <c r="E116" s="7"/>
      <c r="F116" s="7"/>
      <c r="G116" s="7"/>
      <c r="H116" s="7"/>
      <c r="I116" s="7"/>
      <c r="J116" s="7"/>
      <c r="K116" s="7"/>
    </row>
    <row r="117" spans="2:11" x14ac:dyDescent="0.3">
      <c r="D117" s="7"/>
      <c r="E117" s="7"/>
      <c r="F117" s="7"/>
      <c r="G117" s="7"/>
      <c r="H117" s="7"/>
      <c r="I117" s="7"/>
      <c r="J117" s="7"/>
      <c r="K117" s="7"/>
    </row>
    <row r="118" spans="2:11" x14ac:dyDescent="0.3">
      <c r="D118" s="7"/>
      <c r="E118" s="7"/>
      <c r="F118" s="7"/>
      <c r="G118" s="7"/>
      <c r="H118" s="7"/>
      <c r="I118" s="7"/>
      <c r="J118" s="7"/>
      <c r="K118" s="7"/>
    </row>
    <row r="119" spans="2:11" x14ac:dyDescent="0.3">
      <c r="D119" s="7"/>
      <c r="E119" s="7"/>
      <c r="F119" s="7"/>
      <c r="G119" s="7"/>
      <c r="H119" s="7"/>
      <c r="I119" s="7"/>
      <c r="J119" s="7"/>
      <c r="K119" s="7"/>
    </row>
    <row r="120" spans="2:11" x14ac:dyDescent="0.3">
      <c r="D120" s="7"/>
      <c r="E120" s="7"/>
      <c r="F120" s="7"/>
      <c r="G120" s="7"/>
      <c r="H120" s="7"/>
      <c r="I120" s="7"/>
      <c r="J120" s="7"/>
      <c r="K120" s="7"/>
    </row>
    <row r="121" spans="2:11" x14ac:dyDescent="0.3">
      <c r="D121" s="7"/>
      <c r="E121" s="7"/>
      <c r="F121" s="7"/>
      <c r="G121" s="7"/>
      <c r="H121" s="7"/>
      <c r="I121" s="7"/>
      <c r="J121" s="7"/>
      <c r="K121" s="7"/>
    </row>
    <row r="122" spans="2:11" x14ac:dyDescent="0.3">
      <c r="D122" s="7"/>
      <c r="E122" s="7"/>
      <c r="F122" s="7"/>
      <c r="G122" s="7"/>
      <c r="H122" s="7"/>
      <c r="I122" s="7"/>
      <c r="J122" s="7"/>
      <c r="K122" s="7"/>
    </row>
    <row r="123" spans="2:11" x14ac:dyDescent="0.3">
      <c r="D123" s="7"/>
      <c r="E123" s="7"/>
      <c r="F123" s="7"/>
      <c r="G123" s="7"/>
      <c r="H123" s="7"/>
      <c r="I123" s="7"/>
      <c r="J123" s="7"/>
      <c r="K123" s="7"/>
    </row>
    <row r="124" spans="2:11" x14ac:dyDescent="0.3">
      <c r="D124" s="7"/>
      <c r="E124" s="7"/>
      <c r="F124" s="7"/>
      <c r="G124" s="7"/>
      <c r="H124" s="7"/>
      <c r="I124" s="7"/>
      <c r="J124" s="7"/>
      <c r="K124" s="7"/>
    </row>
    <row r="125" spans="2:11" x14ac:dyDescent="0.3">
      <c r="D125" s="7"/>
      <c r="E125" s="7"/>
      <c r="F125" s="7"/>
      <c r="G125" s="7"/>
      <c r="H125" s="7"/>
      <c r="I125" s="7"/>
      <c r="J125" s="7"/>
      <c r="K125" s="7"/>
    </row>
    <row r="126" spans="2:11" x14ac:dyDescent="0.3">
      <c r="D126" s="7"/>
      <c r="E126" s="7"/>
      <c r="F126" s="7"/>
      <c r="G126" s="7"/>
      <c r="H126" s="7"/>
      <c r="I126" s="7"/>
      <c r="J126" s="7"/>
      <c r="K126" s="7"/>
    </row>
    <row r="127" spans="2:11" x14ac:dyDescent="0.3">
      <c r="D127" s="7"/>
      <c r="E127" s="7"/>
      <c r="F127" s="7"/>
      <c r="G127" s="7"/>
      <c r="H127" s="7"/>
      <c r="I127" s="7"/>
      <c r="J127" s="7"/>
      <c r="K127" s="7"/>
    </row>
    <row r="128" spans="2:11" x14ac:dyDescent="0.3">
      <c r="D128" s="7"/>
      <c r="E128" s="7"/>
      <c r="F128" s="7"/>
      <c r="G128" s="7"/>
      <c r="H128" s="7"/>
      <c r="I128" s="7"/>
      <c r="J128" s="7"/>
      <c r="K128" s="7"/>
    </row>
    <row r="129" spans="2:11" x14ac:dyDescent="0.3">
      <c r="D129" s="7"/>
      <c r="E129" s="7"/>
      <c r="F129" s="7"/>
      <c r="G129" s="7"/>
      <c r="H129" s="7"/>
      <c r="I129" s="7"/>
      <c r="J129" s="7"/>
      <c r="K129" s="7"/>
    </row>
    <row r="130" spans="2:11" x14ac:dyDescent="0.3">
      <c r="D130" s="7"/>
      <c r="E130" s="7"/>
      <c r="F130" s="7"/>
      <c r="G130" s="7"/>
      <c r="H130" s="7"/>
      <c r="I130" s="7"/>
      <c r="J130" s="7"/>
      <c r="K130" s="7"/>
    </row>
    <row r="131" spans="2:11" x14ac:dyDescent="0.3">
      <c r="D131" s="7"/>
      <c r="E131" s="7"/>
      <c r="F131" s="7"/>
      <c r="G131" s="7"/>
      <c r="H131" s="7"/>
      <c r="I131" s="7"/>
      <c r="J131" s="7"/>
      <c r="K131" s="7"/>
    </row>
    <row r="132" spans="2:11" x14ac:dyDescent="0.3">
      <c r="D132" s="7"/>
      <c r="E132" s="7"/>
      <c r="F132" s="7"/>
      <c r="G132" s="7"/>
      <c r="H132" s="7"/>
      <c r="I132" s="7"/>
      <c r="J132" s="7"/>
      <c r="K132" s="7"/>
    </row>
    <row r="133" spans="2:11" x14ac:dyDescent="0.3">
      <c r="D133" s="7"/>
      <c r="E133" s="7"/>
      <c r="F133" s="7"/>
      <c r="G133" s="7"/>
      <c r="H133" s="7"/>
      <c r="I133" s="7"/>
      <c r="J133" s="7"/>
      <c r="K133" s="7"/>
    </row>
    <row r="134" spans="2:11" x14ac:dyDescent="0.3">
      <c r="D134" s="7"/>
      <c r="E134" s="7"/>
      <c r="F134" s="7"/>
      <c r="G134" s="7"/>
      <c r="H134" s="7"/>
      <c r="I134" s="7"/>
      <c r="J134" s="7"/>
      <c r="K134" s="7"/>
    </row>
    <row r="135" spans="2:11" x14ac:dyDescent="0.3">
      <c r="D135" s="7"/>
      <c r="E135" s="7"/>
      <c r="F135" s="7"/>
      <c r="G135" s="7"/>
      <c r="H135" s="7"/>
      <c r="I135" s="7"/>
      <c r="J135" s="7"/>
      <c r="K135" s="7"/>
    </row>
    <row r="136" spans="2:11" x14ac:dyDescent="0.3">
      <c r="B136" s="39" t="s">
        <v>159</v>
      </c>
      <c r="D136" s="7"/>
      <c r="E136" s="7"/>
      <c r="F136" s="7"/>
      <c r="G136" s="7"/>
      <c r="H136" s="7"/>
      <c r="I136" s="7"/>
      <c r="J136" s="7"/>
      <c r="K136" s="7"/>
    </row>
    <row r="137" spans="2:11" x14ac:dyDescent="0.3">
      <c r="D137" s="7"/>
      <c r="E137" s="7"/>
      <c r="F137" s="7"/>
      <c r="G137" s="7"/>
      <c r="H137" s="7"/>
      <c r="I137" s="7"/>
      <c r="J137" s="7"/>
      <c r="K137" s="7"/>
    </row>
    <row r="138" spans="2:11" x14ac:dyDescent="0.3">
      <c r="D138" s="7"/>
      <c r="E138" s="7"/>
      <c r="F138" s="7"/>
      <c r="G138" s="7"/>
      <c r="H138" s="7"/>
      <c r="I138" s="7"/>
      <c r="J138" s="7"/>
      <c r="K138" s="7"/>
    </row>
    <row r="139" spans="2:11" x14ac:dyDescent="0.3">
      <c r="D139" s="7"/>
      <c r="E139" s="7"/>
      <c r="F139" s="7"/>
      <c r="G139" s="7"/>
      <c r="H139" s="7"/>
      <c r="I139" s="7"/>
      <c r="J139" s="7"/>
      <c r="K139" s="7"/>
    </row>
    <row r="140" spans="2:11" x14ac:dyDescent="0.3">
      <c r="D140" s="7"/>
      <c r="E140" s="7"/>
      <c r="F140" s="7"/>
      <c r="G140" s="7"/>
      <c r="H140" s="7"/>
      <c r="I140" s="7"/>
      <c r="J140" s="7"/>
      <c r="K140" s="7"/>
    </row>
    <row r="141" spans="2:11" x14ac:dyDescent="0.3">
      <c r="D141" s="7"/>
      <c r="E141" s="7"/>
      <c r="F141" s="7"/>
      <c r="G141" s="7"/>
      <c r="H141" s="7"/>
      <c r="I141" s="7"/>
      <c r="J141" s="7"/>
      <c r="K141" s="7"/>
    </row>
    <row r="142" spans="2:11" x14ac:dyDescent="0.3">
      <c r="D142" s="7"/>
      <c r="E142" s="7"/>
      <c r="F142" s="7"/>
      <c r="G142" s="7"/>
      <c r="H142" s="7"/>
      <c r="I142" s="7"/>
      <c r="J142" s="7"/>
      <c r="K142" s="7"/>
    </row>
    <row r="143" spans="2:11" x14ac:dyDescent="0.3">
      <c r="D143" s="7"/>
      <c r="E143" s="7"/>
      <c r="F143" s="7"/>
      <c r="G143" s="7"/>
      <c r="H143" s="7"/>
      <c r="I143" s="7"/>
      <c r="J143" s="7"/>
      <c r="K143" s="7"/>
    </row>
    <row r="144" spans="2:11" x14ac:dyDescent="0.3">
      <c r="D144" s="7"/>
      <c r="E144" s="7"/>
      <c r="F144" s="7"/>
      <c r="G144" s="7"/>
      <c r="H144" s="7"/>
      <c r="I144" s="7"/>
      <c r="J144" s="7"/>
      <c r="K144" s="7"/>
    </row>
    <row r="145" spans="2:11" x14ac:dyDescent="0.3">
      <c r="D145" s="7"/>
      <c r="E145" s="7"/>
      <c r="F145" s="7"/>
      <c r="G145" s="7"/>
      <c r="H145" s="7"/>
      <c r="I145" s="7"/>
      <c r="J145" s="7"/>
      <c r="K145" s="7"/>
    </row>
    <row r="146" spans="2:11" x14ac:dyDescent="0.3">
      <c r="D146" s="7"/>
      <c r="E146" s="7"/>
      <c r="F146" s="7"/>
      <c r="G146" s="7"/>
      <c r="H146" s="7"/>
      <c r="I146" s="7"/>
      <c r="J146" s="7"/>
      <c r="K146" s="7"/>
    </row>
    <row r="147" spans="2:11" x14ac:dyDescent="0.3">
      <c r="D147" s="7"/>
      <c r="E147" s="7"/>
      <c r="F147" s="7"/>
      <c r="G147" s="7"/>
      <c r="H147" s="7"/>
      <c r="I147" s="7"/>
      <c r="J147" s="7"/>
      <c r="K147" s="7"/>
    </row>
    <row r="148" spans="2:11" x14ac:dyDescent="0.3">
      <c r="D148" s="7"/>
      <c r="E148" s="7"/>
      <c r="F148" s="7"/>
      <c r="G148" s="7"/>
      <c r="H148" s="7"/>
      <c r="I148" s="7"/>
      <c r="J148" s="7"/>
      <c r="K148" s="7"/>
    </row>
    <row r="149" spans="2:11" x14ac:dyDescent="0.3">
      <c r="D149" s="7"/>
      <c r="E149" s="7"/>
      <c r="F149" s="7"/>
      <c r="G149" s="7"/>
      <c r="H149" s="7"/>
      <c r="I149" s="7"/>
      <c r="J149" s="7"/>
      <c r="K149" s="7"/>
    </row>
    <row r="150" spans="2:11" x14ac:dyDescent="0.3">
      <c r="D150" s="7"/>
      <c r="E150" s="7"/>
      <c r="F150" s="7"/>
      <c r="G150" s="7"/>
      <c r="H150" s="7"/>
      <c r="I150" s="7"/>
      <c r="J150" s="7"/>
      <c r="K150" s="7"/>
    </row>
    <row r="151" spans="2:11" x14ac:dyDescent="0.3">
      <c r="D151" s="7"/>
      <c r="E151" s="7"/>
      <c r="F151" s="7"/>
      <c r="G151" s="7"/>
      <c r="H151" s="7"/>
      <c r="I151" s="7"/>
      <c r="J151" s="7"/>
      <c r="K151" s="7"/>
    </row>
    <row r="152" spans="2:11" x14ac:dyDescent="0.3">
      <c r="D152" s="7"/>
      <c r="E152" s="7"/>
      <c r="F152" s="7"/>
      <c r="G152" s="7"/>
      <c r="H152" s="7"/>
      <c r="I152" s="7"/>
      <c r="J152" s="7"/>
      <c r="K152" s="7"/>
    </row>
    <row r="153" spans="2:11" x14ac:dyDescent="0.3">
      <c r="D153" s="7"/>
      <c r="E153" s="7"/>
      <c r="F153" s="7"/>
      <c r="G153" s="7"/>
      <c r="H153" s="7"/>
      <c r="I153" s="7"/>
      <c r="J153" s="7"/>
      <c r="K153" s="7"/>
    </row>
    <row r="154" spans="2:11" x14ac:dyDescent="0.3">
      <c r="D154" s="7"/>
      <c r="E154" s="7"/>
      <c r="F154" s="7"/>
      <c r="G154" s="7"/>
      <c r="H154" s="7"/>
      <c r="I154" s="7"/>
      <c r="J154" s="7"/>
      <c r="K154" s="7"/>
    </row>
    <row r="155" spans="2:11" x14ac:dyDescent="0.3">
      <c r="D155" s="7"/>
      <c r="E155" s="7"/>
      <c r="F155" s="7"/>
      <c r="G155" s="7"/>
      <c r="H155" s="7"/>
      <c r="I155" s="7"/>
      <c r="J155" s="7"/>
      <c r="K155" s="7"/>
    </row>
    <row r="156" spans="2:11" x14ac:dyDescent="0.3">
      <c r="D156" s="7"/>
      <c r="E156" s="7"/>
      <c r="F156" s="7"/>
      <c r="G156" s="7"/>
      <c r="H156" s="7"/>
      <c r="I156" s="7"/>
      <c r="J156" s="7"/>
      <c r="K156" s="7"/>
    </row>
    <row r="157" spans="2:11" x14ac:dyDescent="0.3">
      <c r="B157" s="39" t="s">
        <v>168</v>
      </c>
      <c r="D157" s="7"/>
      <c r="E157" s="7"/>
      <c r="F157" s="7"/>
      <c r="G157" s="7"/>
      <c r="H157" s="7"/>
      <c r="I157" s="7"/>
      <c r="J157" s="7"/>
      <c r="K157" s="7"/>
    </row>
    <row r="158" spans="2:11" x14ac:dyDescent="0.3">
      <c r="D158" s="7"/>
      <c r="E158" s="7"/>
      <c r="F158" s="7"/>
      <c r="G158" s="7"/>
      <c r="H158" s="7"/>
      <c r="I158" s="7"/>
      <c r="J158" s="7"/>
      <c r="K158" s="7"/>
    </row>
    <row r="159" spans="2:11" x14ac:dyDescent="0.3">
      <c r="D159" s="7"/>
      <c r="E159" s="7"/>
      <c r="F159" s="7"/>
      <c r="G159" s="7"/>
      <c r="H159" s="7"/>
      <c r="I159" s="7"/>
      <c r="J159" s="7"/>
      <c r="K159" s="7"/>
    </row>
    <row r="160" spans="2:11" x14ac:dyDescent="0.3">
      <c r="D160" s="7"/>
      <c r="E160" s="7"/>
      <c r="F160" s="7"/>
      <c r="G160" s="7"/>
      <c r="H160" s="7"/>
      <c r="I160" s="7"/>
      <c r="J160" s="7"/>
      <c r="K160" s="7"/>
    </row>
    <row r="161" spans="4:11" x14ac:dyDescent="0.3">
      <c r="D161" s="7"/>
      <c r="E161" s="7"/>
      <c r="F161" s="7"/>
      <c r="G161" s="7"/>
      <c r="H161" s="7"/>
      <c r="I161" s="7"/>
      <c r="J161" s="7"/>
      <c r="K161" s="7"/>
    </row>
    <row r="162" spans="4:11" x14ac:dyDescent="0.3">
      <c r="D162" s="7"/>
      <c r="E162" s="7"/>
      <c r="F162" s="7"/>
      <c r="G162" s="7"/>
      <c r="H162" s="7"/>
      <c r="I162" s="7"/>
      <c r="J162" s="7"/>
      <c r="K162" s="7"/>
    </row>
    <row r="163" spans="4:11" x14ac:dyDescent="0.3">
      <c r="D163" s="7"/>
      <c r="E163" s="7"/>
      <c r="F163" s="7"/>
      <c r="G163" s="7"/>
      <c r="H163" s="7"/>
      <c r="I163" s="7"/>
      <c r="J163" s="7"/>
      <c r="K163" s="7"/>
    </row>
    <row r="164" spans="4:11" x14ac:dyDescent="0.3">
      <c r="D164" s="7"/>
      <c r="E164" s="7"/>
      <c r="F164" s="7"/>
      <c r="G164" s="7"/>
      <c r="H164" s="7"/>
      <c r="I164" s="7"/>
      <c r="J164" s="7"/>
      <c r="K164" s="7"/>
    </row>
    <row r="165" spans="4:11" x14ac:dyDescent="0.3">
      <c r="D165" s="7"/>
      <c r="E165" s="7"/>
      <c r="F165" s="7"/>
      <c r="G165" s="7"/>
      <c r="H165" s="7"/>
      <c r="I165" s="7"/>
      <c r="J165" s="7"/>
      <c r="K165" s="7"/>
    </row>
    <row r="166" spans="4:11" x14ac:dyDescent="0.3">
      <c r="D166" s="7"/>
      <c r="E166" s="7"/>
      <c r="F166" s="7"/>
      <c r="G166" s="7"/>
      <c r="H166" s="7"/>
      <c r="I166" s="7"/>
      <c r="J166" s="7"/>
      <c r="K166" s="7"/>
    </row>
    <row r="167" spans="4:11" x14ac:dyDescent="0.3">
      <c r="D167" s="7"/>
      <c r="E167" s="7"/>
      <c r="F167" s="7"/>
      <c r="G167" s="7"/>
      <c r="H167" s="7"/>
      <c r="I167" s="7"/>
      <c r="J167" s="7"/>
      <c r="K167" s="7"/>
    </row>
    <row r="168" spans="4:11" x14ac:dyDescent="0.3">
      <c r="D168" s="7"/>
      <c r="E168" s="7"/>
      <c r="F168" s="7"/>
      <c r="G168" s="7"/>
      <c r="H168" s="7"/>
      <c r="I168" s="7"/>
      <c r="J168" s="7"/>
      <c r="K168" s="7"/>
    </row>
    <row r="169" spans="4:11" x14ac:dyDescent="0.3">
      <c r="D169" s="7"/>
      <c r="E169" s="7"/>
      <c r="F169" s="7"/>
      <c r="G169" s="7"/>
      <c r="H169" s="7"/>
      <c r="I169" s="7"/>
      <c r="J169" s="7"/>
      <c r="K169" s="7"/>
    </row>
    <row r="170" spans="4:11" x14ac:dyDescent="0.3">
      <c r="D170" s="7"/>
      <c r="E170" s="7"/>
      <c r="F170" s="7"/>
      <c r="G170" s="7"/>
      <c r="H170" s="7"/>
      <c r="I170" s="7"/>
      <c r="J170" s="7"/>
      <c r="K170" s="7"/>
    </row>
    <row r="171" spans="4:11" x14ac:dyDescent="0.3">
      <c r="D171" s="7"/>
      <c r="E171" s="7"/>
      <c r="F171" s="7"/>
      <c r="G171" s="7"/>
      <c r="H171" s="7"/>
      <c r="I171" s="7"/>
      <c r="J171" s="7"/>
      <c r="K171" s="7"/>
    </row>
    <row r="172" spans="4:11" x14ac:dyDescent="0.3">
      <c r="D172" s="7"/>
      <c r="E172" s="7"/>
      <c r="F172" s="7"/>
      <c r="G172" s="7"/>
      <c r="H172" s="7"/>
      <c r="I172" s="7"/>
      <c r="J172" s="7"/>
      <c r="K172" s="7"/>
    </row>
    <row r="173" spans="4:11" x14ac:dyDescent="0.3">
      <c r="D173" s="7"/>
      <c r="E173" s="7"/>
      <c r="F173" s="7"/>
      <c r="G173" s="7"/>
      <c r="H173" s="7"/>
      <c r="I173" s="7"/>
      <c r="J173" s="7"/>
      <c r="K173" s="7"/>
    </row>
    <row r="174" spans="4:11" x14ac:dyDescent="0.3">
      <c r="D174" s="7"/>
      <c r="E174" s="7"/>
      <c r="F174" s="7"/>
      <c r="G174" s="7"/>
      <c r="H174" s="7"/>
      <c r="I174" s="7"/>
      <c r="J174" s="7"/>
      <c r="K174" s="7"/>
    </row>
    <row r="175" spans="4:11" x14ac:dyDescent="0.3">
      <c r="D175" s="7"/>
      <c r="E175" s="7"/>
      <c r="F175" s="7"/>
      <c r="G175" s="7"/>
      <c r="H175" s="7"/>
      <c r="I175" s="7"/>
      <c r="J175" s="7"/>
      <c r="K175" s="7"/>
    </row>
    <row r="176" spans="4:11" x14ac:dyDescent="0.3">
      <c r="D176" s="7"/>
      <c r="E176" s="7"/>
      <c r="F176" s="7"/>
      <c r="G176" s="7"/>
      <c r="H176" s="7"/>
      <c r="I176" s="7"/>
      <c r="J176" s="7"/>
      <c r="K176" s="7"/>
    </row>
    <row r="177" spans="2:11" x14ac:dyDescent="0.3">
      <c r="D177" s="7"/>
      <c r="E177" s="7"/>
      <c r="F177" s="7"/>
      <c r="G177" s="7"/>
      <c r="H177" s="7"/>
      <c r="I177" s="7"/>
      <c r="J177" s="7"/>
      <c r="K177" s="7"/>
    </row>
    <row r="178" spans="2:11" x14ac:dyDescent="0.3">
      <c r="B178" s="39" t="s">
        <v>302</v>
      </c>
    </row>
    <row r="179" spans="2:11" x14ac:dyDescent="0.3">
      <c r="E179" s="31"/>
    </row>
    <row r="199" spans="2:2" x14ac:dyDescent="0.3">
      <c r="B199" s="39" t="s">
        <v>268</v>
      </c>
    </row>
    <row r="218" spans="2:2" x14ac:dyDescent="0.3">
      <c r="B218" s="39" t="s">
        <v>208</v>
      </c>
    </row>
  </sheetData>
  <mergeCells count="1">
    <mergeCell ref="A1:B1"/>
  </mergeCells>
  <conditionalFormatting sqref="D3">
    <cfRule type="cellIs" dxfId="72" priority="54" operator="greaterThan">
      <formula>$C3</formula>
    </cfRule>
  </conditionalFormatting>
  <conditionalFormatting sqref="D12">
    <cfRule type="cellIs" dxfId="71" priority="52" operator="lessThan">
      <formula>$C12</formula>
    </cfRule>
  </conditionalFormatting>
  <conditionalFormatting sqref="D15:G15 K15">
    <cfRule type="cellIs" dxfId="70" priority="50" operator="greaterThan">
      <formula>$C$15</formula>
    </cfRule>
  </conditionalFormatting>
  <conditionalFormatting sqref="E3:G3 K3">
    <cfRule type="cellIs" dxfId="69" priority="46" operator="greaterThan">
      <formula>$C3</formula>
    </cfRule>
  </conditionalFormatting>
  <conditionalFormatting sqref="D51:G51 K51">
    <cfRule type="cellIs" dxfId="68" priority="45" operator="greaterThan">
      <formula>$C51</formula>
    </cfRule>
  </conditionalFormatting>
  <conditionalFormatting sqref="D62:G62 K62">
    <cfRule type="cellIs" dxfId="67" priority="44" operator="greaterThan">
      <formula>$C62</formula>
    </cfRule>
  </conditionalFormatting>
  <conditionalFormatting sqref="D64:G64 K64">
    <cfRule type="cellIs" dxfId="66" priority="43" operator="greaterThan">
      <formula>$C64</formula>
    </cfRule>
  </conditionalFormatting>
  <conditionalFormatting sqref="E12:G12 K12">
    <cfRule type="cellIs" dxfId="65" priority="42" operator="lessThan">
      <formula>$C12</formula>
    </cfRule>
  </conditionalFormatting>
  <conditionalFormatting sqref="D76:E77">
    <cfRule type="cellIs" dxfId="64" priority="41" operator="lessThan">
      <formula>$C76</formula>
    </cfRule>
  </conditionalFormatting>
  <conditionalFormatting sqref="E76:G77 K76:K77">
    <cfRule type="cellIs" dxfId="63" priority="40" operator="lessThan">
      <formula>$C76</formula>
    </cfRule>
  </conditionalFormatting>
  <conditionalFormatting sqref="D65">
    <cfRule type="expression" dxfId="62" priority="31">
      <formula>D$65+D$66&gt;=$C$66</formula>
    </cfRule>
  </conditionalFormatting>
  <conditionalFormatting sqref="E65:G65 K65">
    <cfRule type="expression" dxfId="61" priority="30">
      <formula>E$65+E$66&gt;=$C$66</formula>
    </cfRule>
  </conditionalFormatting>
  <conditionalFormatting sqref="D66">
    <cfRule type="expression" dxfId="60" priority="29">
      <formula>D$65+D$66&gt;=$C$66</formula>
    </cfRule>
  </conditionalFormatting>
  <conditionalFormatting sqref="E66:G66 K66">
    <cfRule type="expression" dxfId="59" priority="28">
      <formula>E$65+E$66&gt;=$C$66</formula>
    </cfRule>
  </conditionalFormatting>
  <conditionalFormatting sqref="H15">
    <cfRule type="cellIs" dxfId="58" priority="27" operator="greaterThan">
      <formula>$C$15</formula>
    </cfRule>
  </conditionalFormatting>
  <conditionalFormatting sqref="H3">
    <cfRule type="cellIs" dxfId="57" priority="26" operator="greaterThan">
      <formula>$C3</formula>
    </cfRule>
  </conditionalFormatting>
  <conditionalFormatting sqref="H51">
    <cfRule type="cellIs" dxfId="56" priority="25" operator="greaterThan">
      <formula>$C51</formula>
    </cfRule>
  </conditionalFormatting>
  <conditionalFormatting sqref="H62">
    <cfRule type="cellIs" dxfId="55" priority="24" operator="greaterThan">
      <formula>$C62</formula>
    </cfRule>
  </conditionalFormatting>
  <conditionalFormatting sqref="H64">
    <cfRule type="cellIs" dxfId="54" priority="23" operator="greaterThan">
      <formula>$C64</formula>
    </cfRule>
  </conditionalFormatting>
  <conditionalFormatting sqref="H12">
    <cfRule type="cellIs" dxfId="53" priority="22" operator="lessThan">
      <formula>$C12</formula>
    </cfRule>
  </conditionalFormatting>
  <conditionalFormatting sqref="H76:H77">
    <cfRule type="cellIs" dxfId="52" priority="21" operator="lessThan">
      <formula>$C76</formula>
    </cfRule>
  </conditionalFormatting>
  <conditionalFormatting sqref="H65">
    <cfRule type="expression" dxfId="51" priority="20">
      <formula>H$65+H$66&gt;=$C$66</formula>
    </cfRule>
  </conditionalFormatting>
  <conditionalFormatting sqref="H66">
    <cfRule type="expression" dxfId="50" priority="19">
      <formula>H$65+H$66&gt;=$C$66</formula>
    </cfRule>
  </conditionalFormatting>
  <conditionalFormatting sqref="I15">
    <cfRule type="cellIs" dxfId="49" priority="18" operator="greaterThan">
      <formula>$C$15</formula>
    </cfRule>
  </conditionalFormatting>
  <conditionalFormatting sqref="I3">
    <cfRule type="cellIs" dxfId="48" priority="17" operator="greaterThan">
      <formula>$C3</formula>
    </cfRule>
  </conditionalFormatting>
  <conditionalFormatting sqref="I51">
    <cfRule type="cellIs" dxfId="47" priority="16" operator="greaterThan">
      <formula>$C51</formula>
    </cfRule>
  </conditionalFormatting>
  <conditionalFormatting sqref="I62">
    <cfRule type="cellIs" dxfId="46" priority="15" operator="greaterThan">
      <formula>$C62</formula>
    </cfRule>
  </conditionalFormatting>
  <conditionalFormatting sqref="I64">
    <cfRule type="cellIs" dxfId="45" priority="14" operator="greaterThan">
      <formula>$C64</formula>
    </cfRule>
  </conditionalFormatting>
  <conditionalFormatting sqref="I12">
    <cfRule type="cellIs" dxfId="44" priority="13" operator="lessThan">
      <formula>$C12</formula>
    </cfRule>
  </conditionalFormatting>
  <conditionalFormatting sqref="I76:I77">
    <cfRule type="cellIs" dxfId="43" priority="12" operator="lessThan">
      <formula>$C76</formula>
    </cfRule>
  </conditionalFormatting>
  <conditionalFormatting sqref="I65">
    <cfRule type="expression" dxfId="42" priority="11">
      <formula>I$65+I$66&gt;=$C$66</formula>
    </cfRule>
  </conditionalFormatting>
  <conditionalFormatting sqref="I66">
    <cfRule type="expression" dxfId="41" priority="10">
      <formula>I$65+I$66&gt;=$C$66</formula>
    </cfRule>
  </conditionalFormatting>
  <conditionalFormatting sqref="J15">
    <cfRule type="cellIs" dxfId="40" priority="9" operator="greaterThan">
      <formula>$C$15</formula>
    </cfRule>
  </conditionalFormatting>
  <conditionalFormatting sqref="J3">
    <cfRule type="cellIs" dxfId="39" priority="8" operator="greaterThan">
      <formula>$C3</formula>
    </cfRule>
  </conditionalFormatting>
  <conditionalFormatting sqref="J51">
    <cfRule type="cellIs" dxfId="38" priority="7" operator="greaterThan">
      <formula>$C51</formula>
    </cfRule>
  </conditionalFormatting>
  <conditionalFormatting sqref="J62">
    <cfRule type="cellIs" dxfId="37" priority="6" operator="greaterThan">
      <formula>$C62</formula>
    </cfRule>
  </conditionalFormatting>
  <conditionalFormatting sqref="J64">
    <cfRule type="cellIs" dxfId="36" priority="5" operator="greaterThan">
      <formula>$C64</formula>
    </cfRule>
  </conditionalFormatting>
  <conditionalFormatting sqref="J12">
    <cfRule type="cellIs" dxfId="35" priority="4" operator="lessThan">
      <formula>$C12</formula>
    </cfRule>
  </conditionalFormatting>
  <conditionalFormatting sqref="J76:J77">
    <cfRule type="cellIs" dxfId="34" priority="3" operator="lessThan">
      <formula>$C76</formula>
    </cfRule>
  </conditionalFormatting>
  <conditionalFormatting sqref="J65">
    <cfRule type="expression" dxfId="33" priority="2">
      <formula>J$65+J$66&gt;=$C$66</formula>
    </cfRule>
  </conditionalFormatting>
  <conditionalFormatting sqref="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2024-12-27T11:54:19Z</dcterms:modified>
</cp:coreProperties>
</file>