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8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4" r:id="rId5"/>
    <sheet name="Missione12_Macroaggregati" sheetId="15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H6" i="9"/>
  <c r="H5" i="9"/>
  <c r="H4" i="9"/>
  <c r="H3" i="9"/>
  <c r="H2" i="9"/>
  <c r="H29" i="8"/>
  <c r="H28" i="8"/>
  <c r="K28" i="8" s="1"/>
  <c r="H26" i="8"/>
  <c r="K26" i="8" s="1"/>
  <c r="H25" i="8"/>
  <c r="K25" i="8" s="1"/>
  <c r="H24" i="8"/>
  <c r="H23" i="8"/>
  <c r="H22" i="8"/>
  <c r="H19" i="8"/>
  <c r="K19" i="8" s="1"/>
  <c r="H18" i="8"/>
  <c r="K18" i="8" s="1"/>
  <c r="H17" i="8"/>
  <c r="K17" i="8" s="1"/>
  <c r="H16" i="8"/>
  <c r="K16" i="8" s="1"/>
  <c r="H14" i="8"/>
  <c r="K14" i="8" s="1"/>
  <c r="H13" i="8"/>
  <c r="H12" i="8"/>
  <c r="H11" i="8"/>
  <c r="H9" i="8"/>
  <c r="H8" i="8"/>
  <c r="H7" i="8"/>
  <c r="K7" i="8" s="1"/>
  <c r="H6" i="8"/>
  <c r="H5" i="8"/>
  <c r="H4" i="8"/>
  <c r="H3" i="8"/>
  <c r="H2" i="8"/>
  <c r="H19" i="7"/>
  <c r="H18" i="7"/>
  <c r="K18" i="7" s="1"/>
  <c r="H17" i="7"/>
  <c r="H14" i="7"/>
  <c r="H13" i="7"/>
  <c r="K13" i="7" s="1"/>
  <c r="H12" i="7"/>
  <c r="H10" i="7"/>
  <c r="H9" i="7"/>
  <c r="H8" i="7"/>
  <c r="H7" i="7"/>
  <c r="H6" i="7"/>
  <c r="H4" i="7"/>
  <c r="H3" i="7"/>
  <c r="H2" i="7"/>
  <c r="W53" i="2"/>
  <c r="X52" i="2"/>
  <c r="W52" i="2"/>
  <c r="W51" i="2"/>
  <c r="Z51" i="2" s="1"/>
  <c r="X50" i="2"/>
  <c r="W50" i="2"/>
  <c r="X49" i="2"/>
  <c r="W49" i="2"/>
  <c r="X48" i="2"/>
  <c r="X54" i="2" s="1"/>
  <c r="W48" i="2"/>
  <c r="W54" i="2" s="1"/>
  <c r="X16" i="2"/>
  <c r="W16" i="2"/>
  <c r="X15" i="2"/>
  <c r="W15" i="2"/>
  <c r="X14" i="2"/>
  <c r="X20" i="2" s="1"/>
  <c r="W14" i="2"/>
  <c r="W20" i="2" s="1"/>
  <c r="AA53" i="2"/>
  <c r="Z53" i="2"/>
  <c r="AA52" i="2"/>
  <c r="Z52" i="2"/>
  <c r="AA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5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10" i="8"/>
  <c r="H27" i="8"/>
  <c r="H15" i="7"/>
  <c r="H11" i="7"/>
  <c r="K14" i="7"/>
  <c r="H5" i="7"/>
  <c r="H20" i="7" s="1"/>
  <c r="H20" i="8"/>
  <c r="K20" i="8" s="1"/>
  <c r="X21" i="2"/>
  <c r="AA21" i="2" s="1"/>
  <c r="AA20" i="2"/>
  <c r="Z20" i="2"/>
  <c r="W21" i="2"/>
  <c r="Z21" i="2" s="1"/>
  <c r="W55" i="2"/>
  <c r="Z55" i="2" s="1"/>
  <c r="Z54" i="2"/>
  <c r="X55" i="2"/>
  <c r="AA55" i="2" s="1"/>
  <c r="AA54" i="2"/>
  <c r="Z14" i="2"/>
  <c r="AA14" i="2"/>
  <c r="H30" i="8" l="1"/>
  <c r="H21" i="8"/>
  <c r="H31" i="8"/>
  <c r="H21" i="7"/>
  <c r="H16" i="7"/>
  <c r="T53" i="2"/>
  <c r="V53" i="2" s="1"/>
  <c r="V52" i="2"/>
  <c r="U52" i="2"/>
  <c r="T52" i="2"/>
  <c r="T51" i="2"/>
  <c r="V51" i="2" s="1"/>
  <c r="U50" i="2"/>
  <c r="T50" i="2"/>
  <c r="V50" i="2" s="1"/>
  <c r="U49" i="2"/>
  <c r="V49" i="2" s="1"/>
  <c r="T49" i="2"/>
  <c r="U48" i="2"/>
  <c r="U54" i="2" s="1"/>
  <c r="U55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U62" i="2" s="1"/>
  <c r="T16" i="2"/>
  <c r="T62" i="2" s="1"/>
  <c r="U15" i="2"/>
  <c r="U57" i="2" s="1"/>
  <c r="T15" i="2"/>
  <c r="V15" i="2" s="1"/>
  <c r="U14" i="2"/>
  <c r="U63" i="2" s="1"/>
  <c r="T14" i="2"/>
  <c r="T63" i="2" s="1"/>
  <c r="V13" i="2"/>
  <c r="V12" i="2"/>
  <c r="V11" i="2"/>
  <c r="V10" i="2"/>
  <c r="V9" i="2"/>
  <c r="V8" i="2"/>
  <c r="V7" i="2"/>
  <c r="V6" i="2"/>
  <c r="V5" i="2"/>
  <c r="V4" i="2"/>
  <c r="V3" i="2"/>
  <c r="E3" i="13"/>
  <c r="G3" i="13" s="1"/>
  <c r="G4" i="13"/>
  <c r="E4" i="13"/>
  <c r="T56" i="2" l="1"/>
  <c r="U60" i="2"/>
  <c r="U56" i="2"/>
  <c r="U61" i="2"/>
  <c r="V16" i="2"/>
  <c r="T54" i="2"/>
  <c r="T57" i="2"/>
  <c r="V14" i="2"/>
  <c r="T20" i="2"/>
  <c r="U20" i="2"/>
  <c r="U21" i="2" s="1"/>
  <c r="U59" i="2" s="1"/>
  <c r="T58" i="2"/>
  <c r="U58" i="2"/>
  <c r="J20" i="5"/>
  <c r="I27" i="5"/>
  <c r="I20" i="5"/>
  <c r="I26" i="5" s="1"/>
  <c r="I13" i="5"/>
  <c r="E15" i="10"/>
  <c r="E13" i="10"/>
  <c r="E12" i="10"/>
  <c r="E11" i="10"/>
  <c r="E9" i="10"/>
  <c r="E8" i="10"/>
  <c r="E7" i="10"/>
  <c r="E6" i="10"/>
  <c r="E5" i="10"/>
  <c r="E4" i="10"/>
  <c r="E3" i="10"/>
  <c r="E2" i="10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8" i="6"/>
  <c r="K21" i="6"/>
  <c r="K10" i="6"/>
  <c r="K29" i="6" s="1"/>
  <c r="J23" i="1"/>
  <c r="J19" i="1"/>
  <c r="J13" i="1"/>
  <c r="J7" i="1"/>
  <c r="H17" i="15"/>
  <c r="H16" i="15"/>
  <c r="H18" i="15" s="1"/>
  <c r="H15" i="15"/>
  <c r="H114" i="14"/>
  <c r="H113" i="14"/>
  <c r="H111" i="14"/>
  <c r="H112" i="14"/>
  <c r="H110" i="14"/>
  <c r="H107" i="14"/>
  <c r="H109" i="14"/>
  <c r="H108" i="14"/>
  <c r="H106" i="14"/>
  <c r="C24" i="14"/>
  <c r="B24" i="14"/>
  <c r="F25" i="14" s="1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0" i="10" l="1"/>
  <c r="E14" i="10" s="1"/>
  <c r="E16" i="10" s="1"/>
  <c r="J21" i="1"/>
  <c r="T55" i="2"/>
  <c r="V55" i="2" s="1"/>
  <c r="V54" i="2"/>
  <c r="V20" i="2"/>
  <c r="T21" i="2"/>
  <c r="I28" i="5"/>
  <c r="H115" i="14"/>
  <c r="D24" i="14"/>
  <c r="E24" i="14"/>
  <c r="I9" i="10"/>
  <c r="J9" i="10"/>
  <c r="K9" i="10"/>
  <c r="B9" i="10"/>
  <c r="C9" i="10"/>
  <c r="D9" i="10"/>
  <c r="H9" i="10"/>
  <c r="J29" i="6"/>
  <c r="I29" i="6"/>
  <c r="H29" i="6"/>
  <c r="G29" i="6"/>
  <c r="F29" i="6"/>
  <c r="E29" i="6"/>
  <c r="D29" i="6"/>
  <c r="C29" i="6"/>
  <c r="V21" i="2" l="1"/>
  <c r="T59" i="2"/>
  <c r="J9" i="12"/>
  <c r="J8" i="12"/>
  <c r="J7" i="12"/>
  <c r="J6" i="12"/>
  <c r="J5" i="12"/>
  <c r="J4" i="12"/>
  <c r="J3" i="12"/>
  <c r="J2" i="12"/>
  <c r="G5" i="9"/>
  <c r="G4" i="9"/>
  <c r="G3" i="9"/>
  <c r="G2" i="9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7" l="1"/>
  <c r="G11" i="7"/>
  <c r="G10" i="8"/>
  <c r="G15" i="8"/>
  <c r="G27" i="8"/>
  <c r="G20" i="8"/>
  <c r="G5" i="7"/>
  <c r="G16" i="7" l="1"/>
  <c r="G30" i="8"/>
  <c r="G31" i="8" s="1"/>
  <c r="G21" i="8"/>
  <c r="G20" i="7"/>
  <c r="Q53" i="2"/>
  <c r="S53" i="2" s="1"/>
  <c r="S52" i="2"/>
  <c r="R52" i="2"/>
  <c r="Q52" i="2"/>
  <c r="Q51" i="2"/>
  <c r="S51" i="2" s="1"/>
  <c r="R50" i="2"/>
  <c r="Q50" i="2"/>
  <c r="S50" i="2" s="1"/>
  <c r="S49" i="2"/>
  <c r="R49" i="2"/>
  <c r="Q49" i="2"/>
  <c r="R48" i="2"/>
  <c r="R54" i="2" s="1"/>
  <c r="R55" i="2" s="1"/>
  <c r="Q48" i="2"/>
  <c r="S48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S16" i="2"/>
  <c r="R16" i="2"/>
  <c r="R62" i="2" s="1"/>
  <c r="Q16" i="2"/>
  <c r="Q62" i="2" s="1"/>
  <c r="R15" i="2"/>
  <c r="R57" i="2" s="1"/>
  <c r="Q15" i="2"/>
  <c r="S15" i="2" s="1"/>
  <c r="R14" i="2"/>
  <c r="R63" i="2" s="1"/>
  <c r="Q14" i="2"/>
  <c r="Q63" i="2" s="1"/>
  <c r="S13" i="2"/>
  <c r="S12" i="2"/>
  <c r="S11" i="2"/>
  <c r="S10" i="2"/>
  <c r="S9" i="2"/>
  <c r="S8" i="2"/>
  <c r="S7" i="2"/>
  <c r="S6" i="2"/>
  <c r="S5" i="2"/>
  <c r="S4" i="2"/>
  <c r="S3" i="2"/>
  <c r="H27" i="5"/>
  <c r="H20" i="5"/>
  <c r="H26" i="5" s="1"/>
  <c r="H13" i="5"/>
  <c r="D15" i="10"/>
  <c r="D13" i="10"/>
  <c r="D12" i="10"/>
  <c r="D11" i="10"/>
  <c r="D8" i="10"/>
  <c r="D7" i="10"/>
  <c r="D6" i="10"/>
  <c r="D5" i="10"/>
  <c r="D4" i="10"/>
  <c r="D3" i="10"/>
  <c r="D2" i="10"/>
  <c r="J28" i="6"/>
  <c r="J21" i="6"/>
  <c r="J10" i="6"/>
  <c r="I23" i="1"/>
  <c r="I19" i="1"/>
  <c r="I13" i="1"/>
  <c r="I7" i="1"/>
  <c r="G17" i="15"/>
  <c r="G16" i="15"/>
  <c r="G15" i="15"/>
  <c r="G114" i="14"/>
  <c r="G112" i="14"/>
  <c r="G111" i="14"/>
  <c r="G110" i="14"/>
  <c r="G109" i="14"/>
  <c r="G108" i="14"/>
  <c r="G107" i="14"/>
  <c r="G106" i="14"/>
  <c r="G113" i="14"/>
  <c r="C37" i="14"/>
  <c r="B37" i="14"/>
  <c r="F38" i="14" s="1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I17" i="15"/>
  <c r="F17" i="15"/>
  <c r="E17" i="15"/>
  <c r="D17" i="15"/>
  <c r="C17" i="15"/>
  <c r="B17" i="15"/>
  <c r="I16" i="15"/>
  <c r="F16" i="15"/>
  <c r="E16" i="15"/>
  <c r="D16" i="15"/>
  <c r="C16" i="15"/>
  <c r="B16" i="15"/>
  <c r="B18" i="15" s="1"/>
  <c r="I15" i="15"/>
  <c r="F15" i="15"/>
  <c r="E15" i="15"/>
  <c r="D15" i="15"/>
  <c r="C15" i="15"/>
  <c r="B15" i="15"/>
  <c r="I114" i="14"/>
  <c r="F114" i="14"/>
  <c r="E114" i="14"/>
  <c r="D114" i="14"/>
  <c r="C114" i="14"/>
  <c r="B114" i="14"/>
  <c r="I113" i="14"/>
  <c r="F113" i="14"/>
  <c r="E113" i="14"/>
  <c r="D113" i="14"/>
  <c r="C113" i="14"/>
  <c r="B113" i="14"/>
  <c r="I112" i="14"/>
  <c r="F112" i="14"/>
  <c r="E112" i="14"/>
  <c r="D112" i="14"/>
  <c r="C112" i="14"/>
  <c r="B112" i="14"/>
  <c r="I111" i="14"/>
  <c r="F111" i="14"/>
  <c r="E111" i="14"/>
  <c r="D111" i="14"/>
  <c r="C111" i="14"/>
  <c r="B111" i="14"/>
  <c r="I110" i="14"/>
  <c r="F110" i="14"/>
  <c r="E110" i="14"/>
  <c r="D110" i="14"/>
  <c r="C110" i="14"/>
  <c r="B110" i="14"/>
  <c r="I109" i="14"/>
  <c r="F109" i="14"/>
  <c r="E109" i="14"/>
  <c r="D109" i="14"/>
  <c r="C109" i="14"/>
  <c r="B109" i="14"/>
  <c r="I108" i="14"/>
  <c r="F108" i="14"/>
  <c r="E108" i="14"/>
  <c r="D108" i="14"/>
  <c r="C108" i="14"/>
  <c r="B108" i="14"/>
  <c r="I107" i="14"/>
  <c r="F107" i="14"/>
  <c r="E107" i="14"/>
  <c r="D107" i="14"/>
  <c r="C107" i="14"/>
  <c r="B107" i="14"/>
  <c r="I106" i="14"/>
  <c r="F106" i="14"/>
  <c r="F115" i="14" s="1"/>
  <c r="E106" i="14"/>
  <c r="E115" i="14" s="1"/>
  <c r="D106" i="14"/>
  <c r="C106" i="14"/>
  <c r="B106" i="14"/>
  <c r="C102" i="14"/>
  <c r="B102" i="14"/>
  <c r="F99" i="14" s="1"/>
  <c r="E101" i="14"/>
  <c r="D101" i="14"/>
  <c r="E100" i="14"/>
  <c r="D100" i="14"/>
  <c r="E99" i="14"/>
  <c r="D99" i="14"/>
  <c r="F98" i="14"/>
  <c r="E98" i="14"/>
  <c r="D98" i="14"/>
  <c r="F97" i="14"/>
  <c r="E97" i="14"/>
  <c r="D97" i="14"/>
  <c r="F96" i="14"/>
  <c r="E96" i="14"/>
  <c r="D96" i="14"/>
  <c r="E95" i="14"/>
  <c r="D95" i="14"/>
  <c r="F94" i="14"/>
  <c r="E94" i="14"/>
  <c r="D94" i="14"/>
  <c r="F93" i="14"/>
  <c r="E93" i="14"/>
  <c r="D93" i="14"/>
  <c r="C89" i="14"/>
  <c r="B89" i="14"/>
  <c r="D89" i="14" s="1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C76" i="14"/>
  <c r="B76" i="14"/>
  <c r="E76" i="14" s="1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C63" i="14"/>
  <c r="B63" i="14"/>
  <c r="F63" i="14" s="1"/>
  <c r="F62" i="14"/>
  <c r="E62" i="14"/>
  <c r="D62" i="14"/>
  <c r="E61" i="14"/>
  <c r="D61" i="14"/>
  <c r="E60" i="14"/>
  <c r="D60" i="14"/>
  <c r="F59" i="14"/>
  <c r="E59" i="14"/>
  <c r="D59" i="14"/>
  <c r="E58" i="14"/>
  <c r="D58" i="14"/>
  <c r="E57" i="14"/>
  <c r="D57" i="14"/>
  <c r="F56" i="14"/>
  <c r="E56" i="14"/>
  <c r="D56" i="14"/>
  <c r="E55" i="14"/>
  <c r="D55" i="14"/>
  <c r="E54" i="14"/>
  <c r="D54" i="14"/>
  <c r="C50" i="14"/>
  <c r="B50" i="14"/>
  <c r="F51" i="14" s="1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C11" i="14"/>
  <c r="B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E2" i="14"/>
  <c r="D2" i="14"/>
  <c r="I21" i="1" l="1"/>
  <c r="C18" i="15"/>
  <c r="E18" i="15"/>
  <c r="F18" i="15"/>
  <c r="J3" i="15"/>
  <c r="J11" i="15"/>
  <c r="J12" i="15"/>
  <c r="J5" i="15"/>
  <c r="J13" i="15"/>
  <c r="J6" i="15"/>
  <c r="J14" i="15"/>
  <c r="J15" i="15"/>
  <c r="J8" i="15"/>
  <c r="J9" i="15"/>
  <c r="J2" i="15"/>
  <c r="J10" i="15"/>
  <c r="J4" i="15"/>
  <c r="J7" i="15"/>
  <c r="D18" i="15"/>
  <c r="J17" i="15"/>
  <c r="J16" i="15"/>
  <c r="G18" i="15"/>
  <c r="G21" i="7"/>
  <c r="D10" i="10"/>
  <c r="D14" i="10" s="1"/>
  <c r="D16" i="10" s="1"/>
  <c r="F54" i="14"/>
  <c r="F101" i="14"/>
  <c r="F57" i="14"/>
  <c r="F60" i="14"/>
  <c r="F55" i="14"/>
  <c r="D115" i="14"/>
  <c r="F43" i="14"/>
  <c r="F21" i="14"/>
  <c r="F20" i="14"/>
  <c r="F18" i="14"/>
  <c r="F15" i="14"/>
  <c r="F22" i="14"/>
  <c r="F16" i="14"/>
  <c r="F23" i="14"/>
  <c r="F17" i="14"/>
  <c r="F19" i="14"/>
  <c r="F24" i="14"/>
  <c r="F9" i="14"/>
  <c r="Q56" i="2"/>
  <c r="R60" i="2"/>
  <c r="S14" i="2"/>
  <c r="R56" i="2"/>
  <c r="R61" i="2"/>
  <c r="Q54" i="2"/>
  <c r="Q57" i="2"/>
  <c r="Q20" i="2"/>
  <c r="R20" i="2"/>
  <c r="Q58" i="2"/>
  <c r="R58" i="2"/>
  <c r="H28" i="5"/>
  <c r="G115" i="14"/>
  <c r="F11" i="14"/>
  <c r="E50" i="14"/>
  <c r="F88" i="14"/>
  <c r="F32" i="14"/>
  <c r="F35" i="14"/>
  <c r="F2" i="14"/>
  <c r="F45" i="14"/>
  <c r="E89" i="14"/>
  <c r="F36" i="14"/>
  <c r="F10" i="14"/>
  <c r="E63" i="14"/>
  <c r="F83" i="14"/>
  <c r="F64" i="14"/>
  <c r="F80" i="14"/>
  <c r="F31" i="14"/>
  <c r="F34" i="14"/>
  <c r="F46" i="14"/>
  <c r="F70" i="14"/>
  <c r="B115" i="14"/>
  <c r="F28" i="14"/>
  <c r="E11" i="14"/>
  <c r="D50" i="14"/>
  <c r="F58" i="14"/>
  <c r="F84" i="14"/>
  <c r="C115" i="14"/>
  <c r="F6" i="14"/>
  <c r="F29" i="14"/>
  <c r="I115" i="14"/>
  <c r="F42" i="14"/>
  <c r="F30" i="14"/>
  <c r="F33" i="14"/>
  <c r="D37" i="14"/>
  <c r="E37" i="14"/>
  <c r="F37" i="14"/>
  <c r="I18" i="15"/>
  <c r="D102" i="14"/>
  <c r="F77" i="14"/>
  <c r="E102" i="14"/>
  <c r="F76" i="14"/>
  <c r="F87" i="14"/>
  <c r="F82" i="14"/>
  <c r="F102" i="14"/>
  <c r="F74" i="14"/>
  <c r="F5" i="14"/>
  <c r="F41" i="14"/>
  <c r="F49" i="14"/>
  <c r="F69" i="14"/>
  <c r="F89" i="14"/>
  <c r="F8" i="14"/>
  <c r="F44" i="14"/>
  <c r="F72" i="14"/>
  <c r="F90" i="14"/>
  <c r="F100" i="14"/>
  <c r="F3" i="14"/>
  <c r="D11" i="14"/>
  <c r="F47" i="14"/>
  <c r="F67" i="14"/>
  <c r="F75" i="14"/>
  <c r="F85" i="14"/>
  <c r="F95" i="14"/>
  <c r="F103" i="14"/>
  <c r="D63" i="14"/>
  <c r="F73" i="14"/>
  <c r="F4" i="14"/>
  <c r="F12" i="14"/>
  <c r="F48" i="14"/>
  <c r="F50" i="14"/>
  <c r="F68" i="14"/>
  <c r="D76" i="14"/>
  <c r="F86" i="14"/>
  <c r="F7" i="14"/>
  <c r="F61" i="14"/>
  <c r="F71" i="14"/>
  <c r="F81" i="14"/>
  <c r="R21" i="2" l="1"/>
  <c r="S20" i="2"/>
  <c r="Q21" i="2"/>
  <c r="Q55" i="2"/>
  <c r="S55" i="2" s="1"/>
  <c r="S54" i="2"/>
  <c r="R59" i="2" l="1"/>
  <c r="S21" i="2"/>
  <c r="Q59" i="2"/>
  <c r="G6" i="9" s="1"/>
  <c r="G11" i="13" l="1"/>
  <c r="G10" i="13"/>
  <c r="G9" i="13"/>
  <c r="G8" i="13"/>
  <c r="G7" i="13"/>
  <c r="G6" i="13"/>
  <c r="G5" i="13"/>
  <c r="B27" i="5" l="1"/>
  <c r="C27" i="5"/>
  <c r="D27" i="5"/>
  <c r="E27" i="5"/>
  <c r="F27" i="5"/>
  <c r="G27" i="5"/>
  <c r="J27" i="5"/>
  <c r="I9" i="12" l="1"/>
  <c r="I8" i="12"/>
  <c r="I7" i="12"/>
  <c r="I6" i="12"/>
  <c r="I5" i="12"/>
  <c r="I4" i="12"/>
  <c r="I3" i="12"/>
  <c r="I2" i="12"/>
  <c r="F5" i="9"/>
  <c r="F4" i="9"/>
  <c r="F3" i="9"/>
  <c r="F2" i="9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W56" i="2"/>
  <c r="Z56" i="2" s="1"/>
  <c r="W62" i="2"/>
  <c r="X62" i="2"/>
  <c r="F15" i="7" l="1"/>
  <c r="F20" i="8"/>
  <c r="F15" i="8"/>
  <c r="F11" i="7"/>
  <c r="F27" i="8"/>
  <c r="F10" i="8"/>
  <c r="F5" i="7"/>
  <c r="F16" i="7" s="1"/>
  <c r="W63" i="2"/>
  <c r="W57" i="2"/>
  <c r="Z57" i="2" s="1"/>
  <c r="X60" i="2"/>
  <c r="X56" i="2"/>
  <c r="AA56" i="2" s="1"/>
  <c r="X59" i="2"/>
  <c r="AA59" i="2" s="1"/>
  <c r="X58" i="2"/>
  <c r="AA58" i="2" s="1"/>
  <c r="W58" i="2"/>
  <c r="Z58" i="2" s="1"/>
  <c r="X57" i="2"/>
  <c r="AA57" i="2" s="1"/>
  <c r="X61" i="2"/>
  <c r="X63" i="2"/>
  <c r="F30" i="8" l="1"/>
  <c r="F31" i="8" s="1"/>
  <c r="F21" i="8"/>
  <c r="F20" i="7"/>
  <c r="F21" i="7" l="1"/>
  <c r="W59" i="2"/>
  <c r="Z59" i="2" s="1"/>
  <c r="P53" i="2" l="1"/>
  <c r="N53" i="2"/>
  <c r="O52" i="2"/>
  <c r="P52" i="2" s="1"/>
  <c r="N52" i="2"/>
  <c r="N51" i="2"/>
  <c r="P51" i="2" s="1"/>
  <c r="O50" i="2"/>
  <c r="N50" i="2"/>
  <c r="P50" i="2" s="1"/>
  <c r="O49" i="2"/>
  <c r="P49" i="2" s="1"/>
  <c r="N49" i="2"/>
  <c r="O48" i="2"/>
  <c r="P48" i="2" s="1"/>
  <c r="N48" i="2"/>
  <c r="N54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N20" i="2"/>
  <c r="P19" i="2"/>
  <c r="P18" i="2"/>
  <c r="P17" i="2"/>
  <c r="O16" i="2"/>
  <c r="P16" i="2" s="1"/>
  <c r="N16" i="2"/>
  <c r="N62" i="2" s="1"/>
  <c r="O15" i="2"/>
  <c r="O20" i="2" s="1"/>
  <c r="N15" i="2"/>
  <c r="N57" i="2" s="1"/>
  <c r="O14" i="2"/>
  <c r="O63" i="2" s="1"/>
  <c r="N14" i="2"/>
  <c r="N63" i="2" s="1"/>
  <c r="P13" i="2"/>
  <c r="P12" i="2"/>
  <c r="P11" i="2"/>
  <c r="P10" i="2"/>
  <c r="P9" i="2"/>
  <c r="P8" i="2"/>
  <c r="P7" i="2"/>
  <c r="P6" i="2"/>
  <c r="P5" i="2"/>
  <c r="P4" i="2"/>
  <c r="P3" i="2"/>
  <c r="G26" i="5"/>
  <c r="G28" i="5" s="1"/>
  <c r="G13" i="5"/>
  <c r="C15" i="10"/>
  <c r="C13" i="10"/>
  <c r="C12" i="10"/>
  <c r="C11" i="10"/>
  <c r="C8" i="10"/>
  <c r="C7" i="10"/>
  <c r="C6" i="10"/>
  <c r="C5" i="10"/>
  <c r="C4" i="10"/>
  <c r="C3" i="10"/>
  <c r="C2" i="10"/>
  <c r="C10" i="10" s="1"/>
  <c r="I28" i="6"/>
  <c r="I21" i="6"/>
  <c r="I10" i="6"/>
  <c r="H23" i="1"/>
  <c r="H19" i="1"/>
  <c r="H13" i="1"/>
  <c r="H7" i="1"/>
  <c r="H21" i="1" l="1"/>
  <c r="C14" i="10"/>
  <c r="C16" i="10" s="1"/>
  <c r="P20" i="2"/>
  <c r="O21" i="2"/>
  <c r="N55" i="2"/>
  <c r="O54" i="2"/>
  <c r="O55" i="2" s="1"/>
  <c r="O59" i="2" s="1"/>
  <c r="N56" i="2"/>
  <c r="O60" i="2"/>
  <c r="O62" i="2"/>
  <c r="N21" i="2"/>
  <c r="P14" i="2"/>
  <c r="O56" i="2"/>
  <c r="O61" i="2"/>
  <c r="O57" i="2"/>
  <c r="P15" i="2"/>
  <c r="N58" i="2"/>
  <c r="O58" i="2"/>
  <c r="N59" i="2" l="1"/>
  <c r="F6" i="9" s="1"/>
  <c r="P21" i="2"/>
  <c r="P54" i="2"/>
  <c r="P55" i="2"/>
  <c r="F63" i="2" l="1"/>
  <c r="E63" i="2"/>
  <c r="C63" i="2"/>
  <c r="B63" i="2"/>
  <c r="F62" i="2"/>
  <c r="E62" i="2"/>
  <c r="C62" i="2"/>
  <c r="B62" i="2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10" i="8" l="1"/>
  <c r="E15" i="8"/>
  <c r="E20" i="8"/>
  <c r="E27" i="8"/>
  <c r="E5" i="7"/>
  <c r="E15" i="7"/>
  <c r="E11" i="7"/>
  <c r="E16" i="7" l="1"/>
  <c r="E21" i="8"/>
  <c r="E20" i="7"/>
  <c r="E21" i="7" l="1"/>
  <c r="K53" i="2"/>
  <c r="L52" i="2"/>
  <c r="K52" i="2"/>
  <c r="L51" i="2"/>
  <c r="K51" i="2"/>
  <c r="L50" i="2"/>
  <c r="K50" i="2"/>
  <c r="L49" i="2"/>
  <c r="K49" i="2"/>
  <c r="M48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L57" i="2" s="1"/>
  <c r="K15" i="2"/>
  <c r="L14" i="2"/>
  <c r="K14" i="2"/>
  <c r="K56" i="2" s="1"/>
  <c r="M13" i="2"/>
  <c r="M12" i="2"/>
  <c r="M11" i="2"/>
  <c r="M10" i="2"/>
  <c r="M9" i="2"/>
  <c r="M8" i="2"/>
  <c r="M7" i="2"/>
  <c r="M6" i="2"/>
  <c r="M5" i="2"/>
  <c r="M4" i="2"/>
  <c r="M3" i="2"/>
  <c r="J26" i="5"/>
  <c r="J28" i="5" s="1"/>
  <c r="J13" i="5"/>
  <c r="F15" i="10"/>
  <c r="G15" i="10" s="1"/>
  <c r="F13" i="10"/>
  <c r="G13" i="10" s="1"/>
  <c r="F12" i="10"/>
  <c r="G12" i="10" s="1"/>
  <c r="F11" i="10"/>
  <c r="G11" i="10" s="1"/>
  <c r="F8" i="10"/>
  <c r="G8" i="10" s="1"/>
  <c r="F7" i="10"/>
  <c r="G7" i="10" s="1"/>
  <c r="F6" i="10"/>
  <c r="G6" i="10" s="1"/>
  <c r="F4" i="10"/>
  <c r="G4" i="10" s="1"/>
  <c r="F3" i="10"/>
  <c r="G3" i="10" s="1"/>
  <c r="L28" i="6"/>
  <c r="M28" i="6" s="1"/>
  <c r="L21" i="6"/>
  <c r="M21" i="6" s="1"/>
  <c r="L10" i="6"/>
  <c r="K23" i="1"/>
  <c r="K19" i="1"/>
  <c r="K13" i="1"/>
  <c r="K7" i="1"/>
  <c r="M10" i="6" l="1"/>
  <c r="L29" i="6"/>
  <c r="M14" i="2"/>
  <c r="F5" i="10"/>
  <c r="G5" i="10" s="1"/>
  <c r="F2" i="10"/>
  <c r="G2" i="10" s="1"/>
  <c r="M16" i="2"/>
  <c r="K62" i="2"/>
  <c r="E4" i="9"/>
  <c r="E28" i="8"/>
  <c r="E2" i="9"/>
  <c r="L62" i="2"/>
  <c r="M49" i="2"/>
  <c r="K20" i="2"/>
  <c r="K63" i="2"/>
  <c r="K54" i="2"/>
  <c r="M52" i="2"/>
  <c r="L54" i="2"/>
  <c r="M54" i="2" s="1"/>
  <c r="K57" i="2"/>
  <c r="L20" i="2"/>
  <c r="L63" i="2"/>
  <c r="M15" i="2"/>
  <c r="L61" i="2"/>
  <c r="M50" i="2"/>
  <c r="M51" i="2"/>
  <c r="M53" i="2"/>
  <c r="E29" i="8"/>
  <c r="K55" i="2"/>
  <c r="L60" i="2"/>
  <c r="L56" i="2"/>
  <c r="L58" i="2"/>
  <c r="K58" i="2"/>
  <c r="K21" i="1"/>
  <c r="M20" i="2" l="1"/>
  <c r="M29" i="6"/>
  <c r="F9" i="10"/>
  <c r="G9" i="10" s="1"/>
  <c r="K21" i="2"/>
  <c r="F10" i="10"/>
  <c r="G10" i="10" s="1"/>
  <c r="L21" i="2"/>
  <c r="M55" i="2"/>
  <c r="E3" i="9"/>
  <c r="L55" i="2"/>
  <c r="E5" i="9"/>
  <c r="E30" i="8"/>
  <c r="I5" i="9"/>
  <c r="J5" i="9" s="1"/>
  <c r="F61" i="2"/>
  <c r="C61" i="2"/>
  <c r="F60" i="2"/>
  <c r="C60" i="2"/>
  <c r="K5" i="9"/>
  <c r="F58" i="2"/>
  <c r="E58" i="2"/>
  <c r="C5" i="9" s="1"/>
  <c r="C58" i="2"/>
  <c r="B58" i="2"/>
  <c r="B5" i="9" s="1"/>
  <c r="K3" i="9"/>
  <c r="I3" i="9"/>
  <c r="J3" i="9" s="1"/>
  <c r="F57" i="2"/>
  <c r="E57" i="2"/>
  <c r="C57" i="2"/>
  <c r="B57" i="2"/>
  <c r="B3" i="9" s="1"/>
  <c r="K2" i="9"/>
  <c r="F56" i="2"/>
  <c r="E56" i="2"/>
  <c r="C2" i="9" s="1"/>
  <c r="C56" i="2"/>
  <c r="B56" i="2"/>
  <c r="B2" i="9" s="1"/>
  <c r="C3" i="9"/>
  <c r="M21" i="2" l="1"/>
  <c r="K59" i="2"/>
  <c r="E6" i="9" s="1"/>
  <c r="F14" i="10"/>
  <c r="G14" i="10" s="1"/>
  <c r="I2" i="9"/>
  <c r="J2" i="9" s="1"/>
  <c r="E31" i="8"/>
  <c r="L59" i="2"/>
  <c r="K4" i="9"/>
  <c r="I4" i="9"/>
  <c r="J4" i="9" s="1"/>
  <c r="L29" i="8"/>
  <c r="L28" i="8"/>
  <c r="L26" i="8"/>
  <c r="L25" i="8"/>
  <c r="L24" i="8"/>
  <c r="L23" i="8"/>
  <c r="L22" i="8"/>
  <c r="L19" i="8"/>
  <c r="L18" i="8"/>
  <c r="L17" i="8"/>
  <c r="L16" i="8"/>
  <c r="L14" i="8"/>
  <c r="L13" i="8"/>
  <c r="L12" i="8"/>
  <c r="L11" i="8"/>
  <c r="L9" i="8"/>
  <c r="L8" i="8"/>
  <c r="L7" i="8"/>
  <c r="L6" i="8"/>
  <c r="L5" i="8"/>
  <c r="L4" i="8"/>
  <c r="L3" i="8"/>
  <c r="L2" i="8"/>
  <c r="I29" i="8"/>
  <c r="K29" i="8" s="1"/>
  <c r="I28" i="8"/>
  <c r="I26" i="8"/>
  <c r="I25" i="8"/>
  <c r="I24" i="8"/>
  <c r="K24" i="8" s="1"/>
  <c r="I23" i="8"/>
  <c r="K23" i="8" s="1"/>
  <c r="I22" i="8"/>
  <c r="K22" i="8" s="1"/>
  <c r="I19" i="8"/>
  <c r="I18" i="8"/>
  <c r="I17" i="8"/>
  <c r="M17" i="8" s="1"/>
  <c r="I16" i="8"/>
  <c r="I14" i="8"/>
  <c r="I13" i="8"/>
  <c r="K13" i="8" s="1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I19" i="7"/>
  <c r="K19" i="7" s="1"/>
  <c r="I18" i="7"/>
  <c r="I17" i="7"/>
  <c r="K17" i="7" s="1"/>
  <c r="I14" i="7"/>
  <c r="I13" i="7"/>
  <c r="I12" i="7"/>
  <c r="K12" i="7" s="1"/>
  <c r="I10" i="7"/>
  <c r="K10" i="7" s="1"/>
  <c r="I9" i="7"/>
  <c r="K9" i="7" s="1"/>
  <c r="I8" i="7"/>
  <c r="K8" i="7" s="1"/>
  <c r="I7" i="7"/>
  <c r="K7" i="7" s="1"/>
  <c r="I6" i="7"/>
  <c r="K6" i="7" s="1"/>
  <c r="I4" i="7"/>
  <c r="K4" i="7" s="1"/>
  <c r="I3" i="7"/>
  <c r="K3" i="7" s="1"/>
  <c r="I2" i="7"/>
  <c r="K2" i="7" s="1"/>
  <c r="L19" i="7"/>
  <c r="L18" i="7"/>
  <c r="L17" i="7"/>
  <c r="L14" i="7"/>
  <c r="L13" i="7"/>
  <c r="L12" i="7"/>
  <c r="L10" i="7"/>
  <c r="L9" i="7"/>
  <c r="L8" i="7"/>
  <c r="L7" i="7"/>
  <c r="L6" i="7"/>
  <c r="L4" i="7"/>
  <c r="L3" i="7"/>
  <c r="L2" i="7"/>
  <c r="Y53" i="2"/>
  <c r="Y51" i="2"/>
  <c r="Y49" i="2"/>
  <c r="Y16" i="2"/>
  <c r="Y14" i="2"/>
  <c r="Y52" i="2"/>
  <c r="Y50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L9" i="12"/>
  <c r="L8" i="12"/>
  <c r="L7" i="12"/>
  <c r="L6" i="12"/>
  <c r="L5" i="12"/>
  <c r="L4" i="12"/>
  <c r="L3" i="12"/>
  <c r="L2" i="12"/>
  <c r="C23" i="1"/>
  <c r="D23" i="1"/>
  <c r="E23" i="1"/>
  <c r="F23" i="1"/>
  <c r="G23" i="1"/>
  <c r="B23" i="1"/>
  <c r="G19" i="1"/>
  <c r="G13" i="1"/>
  <c r="G7" i="1"/>
  <c r="F26" i="5"/>
  <c r="F28" i="5" s="1"/>
  <c r="F13" i="5"/>
  <c r="B15" i="10"/>
  <c r="B13" i="10"/>
  <c r="B12" i="10"/>
  <c r="B11" i="10"/>
  <c r="B8" i="10"/>
  <c r="B7" i="10"/>
  <c r="B6" i="10"/>
  <c r="B4" i="10"/>
  <c r="B3" i="10"/>
  <c r="F16" i="10" l="1"/>
  <c r="G16" i="10" s="1"/>
  <c r="M18" i="8"/>
  <c r="M14" i="8"/>
  <c r="M25" i="8"/>
  <c r="M19" i="8"/>
  <c r="M2" i="7"/>
  <c r="M14" i="7"/>
  <c r="M26" i="8"/>
  <c r="M2" i="8"/>
  <c r="M6" i="8"/>
  <c r="M11" i="8"/>
  <c r="M28" i="8"/>
  <c r="M4" i="7"/>
  <c r="M6" i="7"/>
  <c r="M17" i="7"/>
  <c r="M10" i="7"/>
  <c r="I15" i="7"/>
  <c r="K15" i="7" s="1"/>
  <c r="M19" i="7"/>
  <c r="L5" i="7"/>
  <c r="M4" i="8"/>
  <c r="M8" i="8"/>
  <c r="M13" i="8"/>
  <c r="M24" i="8"/>
  <c r="M29" i="8"/>
  <c r="I10" i="8"/>
  <c r="K10" i="8" s="1"/>
  <c r="M3" i="8"/>
  <c r="M9" i="7"/>
  <c r="M12" i="8"/>
  <c r="M23" i="8"/>
  <c r="I20" i="8"/>
  <c r="M16" i="8"/>
  <c r="I27" i="8"/>
  <c r="K27" i="8" s="1"/>
  <c r="M22" i="8"/>
  <c r="L11" i="7"/>
  <c r="I15" i="8"/>
  <c r="K15" i="8" s="1"/>
  <c r="M5" i="8"/>
  <c r="M9" i="8"/>
  <c r="M8" i="7"/>
  <c r="M13" i="7"/>
  <c r="I5" i="7"/>
  <c r="K5" i="7" s="1"/>
  <c r="M3" i="7"/>
  <c r="I11" i="7"/>
  <c r="K11" i="7" s="1"/>
  <c r="M12" i="7"/>
  <c r="M18" i="7"/>
  <c r="M7" i="7"/>
  <c r="L15" i="7"/>
  <c r="Y15" i="2"/>
  <c r="G21" i="1"/>
  <c r="K6" i="9" l="1"/>
  <c r="I20" i="7"/>
  <c r="K20" i="7" s="1"/>
  <c r="M5" i="7"/>
  <c r="M15" i="7"/>
  <c r="M20" i="8"/>
  <c r="I30" i="8"/>
  <c r="K30" i="8" s="1"/>
  <c r="I21" i="8"/>
  <c r="K21" i="8" s="1"/>
  <c r="L20" i="7"/>
  <c r="I16" i="7"/>
  <c r="K16" i="7" s="1"/>
  <c r="M11" i="7"/>
  <c r="L16" i="7"/>
  <c r="Y20" i="2"/>
  <c r="Y21" i="2"/>
  <c r="Y54" i="2"/>
  <c r="I21" i="7" l="1"/>
  <c r="K21" i="7" s="1"/>
  <c r="M20" i="7"/>
  <c r="Y55" i="2"/>
  <c r="I6" i="9"/>
  <c r="J6" i="9" s="1"/>
  <c r="I31" i="8"/>
  <c r="K31" i="8" s="1"/>
  <c r="L21" i="7"/>
  <c r="M16" i="7"/>
  <c r="J6" i="7" l="1"/>
  <c r="J3" i="7"/>
  <c r="J16" i="7"/>
  <c r="J7" i="7"/>
  <c r="J12" i="7"/>
  <c r="J14" i="7"/>
  <c r="J17" i="7"/>
  <c r="J5" i="7"/>
  <c r="J4" i="7"/>
  <c r="M21" i="7"/>
  <c r="J18" i="7"/>
  <c r="J8" i="7"/>
  <c r="J21" i="7"/>
  <c r="J13" i="7"/>
  <c r="J10" i="7"/>
  <c r="J15" i="7"/>
  <c r="J9" i="7"/>
  <c r="J2" i="7"/>
  <c r="J21" i="8"/>
  <c r="J11" i="7"/>
  <c r="J23" i="8"/>
  <c r="J17" i="8"/>
  <c r="J7" i="8"/>
  <c r="J3" i="8"/>
  <c r="J31" i="8"/>
  <c r="J28" i="8"/>
  <c r="J26" i="8"/>
  <c r="J22" i="8"/>
  <c r="J16" i="8"/>
  <c r="J14" i="8"/>
  <c r="J12" i="8"/>
  <c r="J6" i="8"/>
  <c r="J2" i="8"/>
  <c r="J18" i="8"/>
  <c r="J25" i="8"/>
  <c r="J24" i="8"/>
  <c r="J8" i="8"/>
  <c r="J19" i="8"/>
  <c r="J9" i="8"/>
  <c r="J11" i="8"/>
  <c r="J5" i="8"/>
  <c r="J4" i="8"/>
  <c r="J13" i="8"/>
  <c r="J20" i="8"/>
  <c r="J10" i="8"/>
  <c r="J15" i="8"/>
  <c r="J27" i="8"/>
  <c r="H28" i="6"/>
  <c r="H21" i="6"/>
  <c r="H10" i="6"/>
  <c r="B5" i="10" l="1"/>
  <c r="B2" i="10"/>
  <c r="I6" i="10"/>
  <c r="J6" i="10"/>
  <c r="K6" i="10"/>
  <c r="I7" i="10"/>
  <c r="J7" i="10"/>
  <c r="K7" i="10"/>
  <c r="I8" i="10"/>
  <c r="J8" i="10"/>
  <c r="K8" i="10"/>
  <c r="H8" i="10"/>
  <c r="H7" i="10"/>
  <c r="H6" i="10"/>
  <c r="I4" i="10"/>
  <c r="J4" i="10"/>
  <c r="K4" i="10"/>
  <c r="H4" i="10"/>
  <c r="I3" i="10"/>
  <c r="J3" i="10"/>
  <c r="K3" i="10"/>
  <c r="H3" i="10"/>
  <c r="B10" i="10" l="1"/>
  <c r="G6" i="12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I11" i="10"/>
  <c r="J11" i="10"/>
  <c r="K11" i="10"/>
  <c r="I12" i="10"/>
  <c r="J12" i="10"/>
  <c r="K12" i="10"/>
  <c r="I13" i="10"/>
  <c r="J13" i="10"/>
  <c r="K13" i="10"/>
  <c r="I15" i="10"/>
  <c r="J15" i="10"/>
  <c r="K15" i="10"/>
  <c r="H15" i="10"/>
  <c r="H13" i="10"/>
  <c r="H12" i="10"/>
  <c r="H11" i="10"/>
  <c r="B14" i="10" l="1"/>
  <c r="C4" i="9"/>
  <c r="B4" i="9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B16" i="10" l="1"/>
  <c r="L20" i="8"/>
  <c r="D15" i="8"/>
  <c r="B5" i="7"/>
  <c r="B11" i="7"/>
  <c r="B27" i="8"/>
  <c r="B15" i="7"/>
  <c r="D27" i="8"/>
  <c r="L27" i="8"/>
  <c r="M27" i="8" s="1"/>
  <c r="L15" i="8"/>
  <c r="M15" i="8" s="1"/>
  <c r="C27" i="8"/>
  <c r="L10" i="8"/>
  <c r="M10" i="8" s="1"/>
  <c r="D10" i="8"/>
  <c r="D20" i="8"/>
  <c r="C10" i="8"/>
  <c r="C15" i="8"/>
  <c r="C20" i="8"/>
  <c r="B20" i="8"/>
  <c r="B15" i="8"/>
  <c r="B10" i="8"/>
  <c r="C15" i="7"/>
  <c r="C11" i="7"/>
  <c r="D11" i="7"/>
  <c r="D5" i="7"/>
  <c r="D15" i="7"/>
  <c r="C5" i="7"/>
  <c r="D9" i="6"/>
  <c r="D16" i="7" l="1"/>
  <c r="B21" i="8"/>
  <c r="D21" i="8"/>
  <c r="C16" i="7"/>
  <c r="B16" i="7"/>
  <c r="C21" i="8"/>
  <c r="L21" i="8"/>
  <c r="M21" i="8" s="1"/>
  <c r="B20" i="7"/>
  <c r="B21" i="7" s="1"/>
  <c r="C30" i="8"/>
  <c r="C31" i="8" s="1"/>
  <c r="B30" i="8"/>
  <c r="B31" i="8" s="1"/>
  <c r="C20" i="7"/>
  <c r="C21" i="7" s="1"/>
  <c r="D20" i="7"/>
  <c r="D21" i="7" l="1"/>
  <c r="I52" i="2"/>
  <c r="L30" i="8" s="1"/>
  <c r="L31" i="8" l="1"/>
  <c r="M31" i="8" s="1"/>
  <c r="M30" i="8"/>
  <c r="C21" i="6"/>
  <c r="D28" i="6"/>
  <c r="D21" i="6"/>
  <c r="H5" i="10" s="1"/>
  <c r="D10" i="6"/>
  <c r="H2" i="10" s="1"/>
  <c r="H10" i="10" l="1"/>
  <c r="H14" i="10" s="1"/>
  <c r="H16" i="10" s="1"/>
  <c r="C10" i="6"/>
  <c r="F21" i="6" l="1"/>
  <c r="J5" i="10" s="1"/>
  <c r="G21" i="6"/>
  <c r="K5" i="10" s="1"/>
  <c r="E21" i="6"/>
  <c r="I5" i="10" s="1"/>
  <c r="F10" i="6"/>
  <c r="J2" i="10" s="1"/>
  <c r="G10" i="6"/>
  <c r="K2" i="10" s="1"/>
  <c r="E10" i="6"/>
  <c r="I2" i="10" s="1"/>
  <c r="J10" i="10" l="1"/>
  <c r="J14" i="10" s="1"/>
  <c r="J16" i="10" s="1"/>
  <c r="I10" i="10"/>
  <c r="I14" i="10" s="1"/>
  <c r="I16" i="10" s="1"/>
  <c r="K10" i="10"/>
  <c r="B26" i="5"/>
  <c r="B28" i="5" s="1"/>
  <c r="B13" i="5"/>
  <c r="B7" i="1"/>
  <c r="D19" i="1"/>
  <c r="F19" i="1"/>
  <c r="E54" i="2"/>
  <c r="E55" i="2" s="1"/>
  <c r="E59" i="2" s="1"/>
  <c r="C6" i="9" s="1"/>
  <c r="F54" i="2"/>
  <c r="F55" i="2" s="1"/>
  <c r="F59" i="2" s="1"/>
  <c r="K14" i="10" l="1"/>
  <c r="K16" i="10" l="1"/>
  <c r="E28" i="6"/>
  <c r="G28" i="6"/>
  <c r="F28" i="6"/>
  <c r="D26" i="5" l="1"/>
  <c r="D28" i="5" s="1"/>
  <c r="E26" i="5"/>
  <c r="E28" i="5" s="1"/>
  <c r="C26" i="5"/>
  <c r="C28" i="5" s="1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J13" i="2"/>
  <c r="J12" i="2"/>
  <c r="J11" i="2"/>
  <c r="J10" i="2"/>
  <c r="J9" i="2"/>
  <c r="J8" i="2"/>
  <c r="J7" i="2"/>
  <c r="J6" i="2"/>
  <c r="J5" i="2"/>
  <c r="J4" i="2"/>
  <c r="J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E13" i="5" l="1"/>
  <c r="H53" i="2"/>
  <c r="H52" i="2"/>
  <c r="D28" i="8" s="1"/>
  <c r="H51" i="2"/>
  <c r="I50" i="2"/>
  <c r="H50" i="2"/>
  <c r="I49" i="2"/>
  <c r="H49" i="2"/>
  <c r="I48" i="2"/>
  <c r="H48" i="2"/>
  <c r="I16" i="2"/>
  <c r="I15" i="2"/>
  <c r="I57" i="2" s="1"/>
  <c r="H15" i="2"/>
  <c r="I14" i="2"/>
  <c r="H14" i="2"/>
  <c r="H16" i="2"/>
  <c r="H62" i="2" s="1"/>
  <c r="H63" i="2" l="1"/>
  <c r="H58" i="2"/>
  <c r="D5" i="9" s="1"/>
  <c r="H56" i="2"/>
  <c r="D2" i="9" s="1"/>
  <c r="I62" i="2"/>
  <c r="I63" i="2"/>
  <c r="I58" i="2"/>
  <c r="I56" i="2"/>
  <c r="I60" i="2"/>
  <c r="H57" i="2"/>
  <c r="D3" i="9" s="1"/>
  <c r="I61" i="2"/>
  <c r="D4" i="9"/>
  <c r="J53" i="2"/>
  <c r="D29" i="8"/>
  <c r="J49" i="2"/>
  <c r="J52" i="2"/>
  <c r="J51" i="2"/>
  <c r="J50" i="2"/>
  <c r="J48" i="2"/>
  <c r="J16" i="2"/>
  <c r="J14" i="2"/>
  <c r="J15" i="2"/>
  <c r="I54" i="2"/>
  <c r="I55" i="2" s="1"/>
  <c r="H54" i="2"/>
  <c r="I20" i="2"/>
  <c r="I21" i="2" s="1"/>
  <c r="I59" i="2" s="1"/>
  <c r="H20" i="2"/>
  <c r="D13" i="5"/>
  <c r="C13" i="5"/>
  <c r="D30" i="8" l="1"/>
  <c r="H21" i="2"/>
  <c r="J20" i="2"/>
  <c r="H55" i="2"/>
  <c r="J55" i="2" s="1"/>
  <c r="J54" i="2"/>
  <c r="G12" i="2"/>
  <c r="D53" i="2"/>
  <c r="D52" i="2"/>
  <c r="J21" i="2" l="1"/>
  <c r="H59" i="2"/>
  <c r="D6" i="9" s="1"/>
  <c r="D31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G20" i="2" l="1"/>
  <c r="G54" i="2"/>
  <c r="G16" i="2"/>
  <c r="D21" i="2"/>
  <c r="D20" i="2"/>
  <c r="B55" i="2"/>
  <c r="D54" i="2"/>
  <c r="D55" i="2" l="1"/>
  <c r="B59" i="2"/>
  <c r="B6" i="9" s="1"/>
  <c r="G21" i="2"/>
  <c r="G55" i="2"/>
  <c r="B13" i="1"/>
  <c r="C7" i="1"/>
  <c r="D7" i="1"/>
  <c r="D13" i="1"/>
  <c r="C21" i="1" l="1"/>
  <c r="B21" i="1"/>
  <c r="E13" i="1"/>
  <c r="E19" i="1"/>
  <c r="F13" i="1"/>
  <c r="F7" i="1"/>
  <c r="E7" i="1"/>
  <c r="F21" i="1" l="1"/>
  <c r="E21" i="1"/>
  <c r="D21" i="1"/>
</calcChain>
</file>

<file path=xl/sharedStrings.xml><?xml version="1.0" encoding="utf-8"?>
<sst xmlns="http://schemas.openxmlformats.org/spreadsheetml/2006/main" count="638" uniqueCount="389">
  <si>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</si>
  <si>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</si>
  <si>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</si>
  <si>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</si>
  <si>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</si>
  <si>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</si>
  <si>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</si>
  <si>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</si>
  <si>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</si>
  <si>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</si>
  <si>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</si>
  <si>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</si>
  <si>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</si>
  <si>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</si>
  <si>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</si>
  <si>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</si>
  <si>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</si>
  <si>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</si>
  <si>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</si>
  <si>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</si>
  <si>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</si>
  <si>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</si>
  <si>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</si>
  <si>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</si>
  <si>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</si>
  <si>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</si>
  <si>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</si>
  <si>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</si>
  <si>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</si>
  <si>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</si>
  <si>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</si>
  <si>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</si>
  <si>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</si>
  <si>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</si>
  <si>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</si>
  <si>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</si>
  <si>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</si>
  <si>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</si>
  <si>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</si>
  <si>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</si>
  <si>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</si>
  <si>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</si>
  <si>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</si>
  <si>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</si>
  <si>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</si>
  <si>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</si>
  <si>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</si>
  <si>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</si>
  <si>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</si>
  <si>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</si>
  <si>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</si>
  <si>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</si>
  <si>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</si>
  <si>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</si>
  <si>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</si>
  <si>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</si>
  <si>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</si>
  <si>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</si>
  <si>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</si>
  <si>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</si>
  <si>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</si>
  <si>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</si>
  <si>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</si>
  <si>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</si>
  <si>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</si>
  <si>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</si>
  <si>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</si>
  <si>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</si>
  <si>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</si>
  <si>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</si>
  <si>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</si>
  <si>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</si>
  <si>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</si>
  <si>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</si>
  <si>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</si>
  <si>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</si>
  <si>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</si>
  <si>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</si>
  <si>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</si>
  <si>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</si>
  <si>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</si>
  <si>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</si>
  <si>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</si>
  <si>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</si>
  <si>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</si>
  <si>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</si>
  <si>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</si>
  <si>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</si>
  <si>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</si>
  <si>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</si>
  <si>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</si>
  <si>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</si>
  <si>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</si>
  <si>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</si>
  <si>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</si>
  <si>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</si>
  <si>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</si>
  <si>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</si>
  <si>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</si>
  <si>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</si>
  <si>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</si>
  <si>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</si>
  <si>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</si>
  <si>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</si>
  <si>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</si>
  <si>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</si>
  <si>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</si>
  <si>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</si>
  <si>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</si>
  <si>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</si>
  <si>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</si>
  <si>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</si>
  <si>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</si>
  <si>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</si>
  <si>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</si>
  <si>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</si>
  <si>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</si>
  <si>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</si>
  <si>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</si>
  <si>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</si>
  <si>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</si>
  <si>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</si>
  <si>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</si>
  <si>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</si>
  <si>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</si>
  <si>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</si>
  <si>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</si>
  <si>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</si>
  <si>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</si>
  <si>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</si>
  <si>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</si>
  <si>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</si>
  <si>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</si>
  <si>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</si>
  <si>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</si>
  <si>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</si>
  <si>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</si>
  <si>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</si>
  <si>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</si>
  <si>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</si>
  <si>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</si>
  <si>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</si>
  <si>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</si>
  <si>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</si>
  <si>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</si>
  <si>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</si>
  <si>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</si>
  <si>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</si>
  <si>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</si>
  <si>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</si>
  <si>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</si>
  <si>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</si>
  <si>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</si>
  <si>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</si>
  <si>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</si>
  <si>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</si>
  <si>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</si>
  <si>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</si>
  <si>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</si>
  <si>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</si>
  <si>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</si>
  <si>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</si>
  <si>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</si>
  <si>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</si>
  <si>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</si>
  <si>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</si>
  <si>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</si>
  <si>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</si>
  <si>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</si>
  <si>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</si>
  <si>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</si>
  <si>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</si>
  <si>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</si>
  <si>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</si>
  <si>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</si>
  <si>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</si>
  <si>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</si>
  <si>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</si>
  <si>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</si>
  <si>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</si>
  <si>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</si>
  <si>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</si>
  <si>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</si>
  <si>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</si>
  <si>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</si>
  <si>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</si>
  <si>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</si>
  <si>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</si>
  <si>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</si>
  <si>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</si>
  <si>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</si>
  <si>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</si>
  <si>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</si>
  <si>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</si>
  <si>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</si>
  <si>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</si>
  <si>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</si>
  <si>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</si>
  <si>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</si>
  <si>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</si>
  <si>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</si>
  <si>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</si>
  <si>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</si>
  <si>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</si>
  <si>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</si>
  <si>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</si>
  <si>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</si>
  <si>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</si>
  <si>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</si>
  <si>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</si>
  <si>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</si>
  <si>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</si>
  <si>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</si>
  <si>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</si>
  <si>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</si>
  <si>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</si>
  <si>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</si>
  <si>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</si>
  <si>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</si>
  <si>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</si>
  <si>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</si>
  <si>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</si>
  <si>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</si>
  <si>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</si>
  <si>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</si>
  <si>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</si>
  <si>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</si>
  <si>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</si>
  <si>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</si>
  <si>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</si>
  <si>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</si>
  <si>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</si>
  <si>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</si>
  <si>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</si>
  <si>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</si>
  <si>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</si>
  <si>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</si>
  <si>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</si>
  <si>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</si>
  <si>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</si>
  <si>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</si>
  <si>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</si>
  <si>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</si>
  <si>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</si>
  <si>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</si>
  <si>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</si>
  <si>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</si>
  <si>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</si>
  <si>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</si>
  <si>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</si>
  <si>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</si>
  <si>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</si>
  <si>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</si>
  <si>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</si>
  <si>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</si>
  <si>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</si>
  <si>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</si>
  <si>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</si>
  <si>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</si>
  <si>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</si>
  <si>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</si>
  <si>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</si>
  <si>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</si>
  <si>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</si>
  <si>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</si>
  <si>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</si>
  <si>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</si>
  <si>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</si>
  <si>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</si>
  <si>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</si>
  <si>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</si>
  <si>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</si>
  <si>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</si>
  <si>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</si>
  <si>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</si>
  <si>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</si>
  <si>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</si>
  <si>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</si>
  <si>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</si>
  <si>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</si>
  <si>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</si>
  <si>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</si>
  <si>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</si>
  <si>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</si>
  <si>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</si>
  <si>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</si>
  <si>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</si>
  <si>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</si>
  <si>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</si>
  <si>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</si>
  <si>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</si>
  <si>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</si>
  <si>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</si>
  <si>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</si>
  <si>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</si>
  <si>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</si>
  <si>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</si>
  <si>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</si>
  <si>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</si>
  <si>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</si>
  <si>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</si>
  <si>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</si>
  <si>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</si>
  <si>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</si>
  <si>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</si>
  <si>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</si>
  <si>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</si>
  <si>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</si>
  <si>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</si>
  <si>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</si>
  <si>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</si>
  <si>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</si>
  <si>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</si>
  <si>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</si>
  <si>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</si>
  <si>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</si>
  <si>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</si>
  <si>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</si>
  <si>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</si>
  <si>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</si>
  <si>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</si>
  <si>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</si>
  <si>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</si>
  <si>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</si>
  <si>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</si>
  <si>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</si>
  <si>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</si>
  <si>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</si>
  <si>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</si>
  <si>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</si>
  <si>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</si>
  <si>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</si>
  <si>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</si>
  <si>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</si>
  <si>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</si>
  <si>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</si>
  <si>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</si>
  <si>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</si>
  <si>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</si>
  <si>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</si>
  <si>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</si>
  <si>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>Ricavi e proventi</t>
  </si>
  <si>
    <t>Costi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</si>
  <si>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</si>
  <si>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</si>
  <si>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</si>
  <si>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</si>
  <si>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</si>
  <si>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Entrate finali</t>
  </si>
  <si>
    <t>Uscite finali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</si>
  <si>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</si>
  <si>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</si>
  <si>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</si>
  <si>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</si>
  <si>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</si>
  <si>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</si>
  <si>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Sviluppo sostenibile, tutela territ. e ambiente</t>
  </si>
  <si>
    <t>Saldo entrate/uscite finali</t>
  </si>
  <si>
    <t>Saldo entrate/uscite nette</t>
  </si>
  <si>
    <t>Capacità riscossione entrate finali</t>
  </si>
  <si>
    <t>Capacità pagamento uscite finali</t>
  </si>
  <si>
    <t>Entrate proprie su Entrate finali %</t>
  </si>
  <si>
    <t>Entrate da trasferimenti su Entrate finali %</t>
  </si>
  <si>
    <t>%Pag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</si>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</sst>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_-* #,##0.0_-;\-* #,##0.0_-;_-* &quot;-&quot;??_-;_-@_-"/>
    <numFmt numFmtId="168" formatCode="#,##0.0_ ;\-#,##0.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4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4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4" xfId="1" applyNumberFormat="1" applyFon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164" fontId="0" fillId="0" borderId="0" xfId="1" applyNumberFormat="1" applyFont="1" applyFill="1"/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166" fontId="6" fillId="0" borderId="1" xfId="0" applyNumberFormat="1" applyFont="1" applyBorder="1"/>
    <xf numFmtId="0" fontId="6" fillId="0" borderId="1" xfId="0" applyFont="1" applyBorder="1"/>
    <xf numFmtId="0" fontId="0" fillId="0" borderId="0" xfId="0" applyAlignment="1">
      <alignment wrapText="1"/>
    </xf>
    <xf numFmtId="3" fontId="1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167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8" fontId="9" fillId="4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Fill="1"/>
    <xf numFmtId="165" fontId="0" fillId="0" borderId="0" xfId="0" applyNumberFormat="1" applyAlignment="1">
      <alignment horizontal="right"/>
    </xf>
    <xf numFmtId="165" fontId="1" fillId="0" borderId="0" xfId="0" applyNumberFormat="1" applyFont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0" fontId="0" fillId="0" borderId="0" xfId="0" applyAlignment="1">
      <alignment vertical="center"/>
    </xf>
    <xf numFmtId="0" fontId="11" fillId="0" borderId="0" xfId="2" applyFont="1" applyFill="1" applyBorder="1" applyAlignment="1" applyProtection="1">
      <alignment vertical="center" readingOrder="1"/>
    </xf>
    <xf numFmtId="0" fontId="12" fillId="0" borderId="0" xfId="2" applyFont="1" applyFill="1" applyBorder="1" applyAlignment="1" applyProtection="1">
      <alignment vertical="center" readingOrder="1"/>
    </xf>
    <xf numFmtId="165" fontId="13" fillId="0" borderId="0" xfId="0" applyNumberFormat="1" applyFon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2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353642994144962E-2"/>
          <c:y val="0"/>
          <c:w val="0.54696317257217841"/>
          <c:h val="0.9480694991251091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1482766126589952"/>
                  <c:y val="0.10868629702537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37977614577024"/>
                  <c:y val="-0.10017306430446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244649707248134E-2"/>
                  <c:y val="-5.3174212598425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673871895820711E-2"/>
                  <c:y val="-0.14583333333333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9933044750003262E-2"/>
                  <c:y val="5.4409722222222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671480254157415E-2"/>
                  <c:y val="0.10163003062117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Missione12_Programmi!$A$2:$A$10</c:f>
              <c:strCache>
                <c:ptCount val="9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Famiglie</c:v>
                </c:pt>
                <c:pt idx="5">
                  <c:v>Diritto alla casa</c:v>
                </c:pt>
                <c:pt idx="6">
                  <c:v>Rete dei servizi sociosanitari e sociali</c:v>
                </c:pt>
                <c:pt idx="7">
                  <c:v>Cooperazione e associazionismo</c:v>
                </c:pt>
                <c:pt idx="8">
                  <c:v>Servizio necroscopico e cimiteriale</c:v>
                </c:pt>
              </c:strCache>
            </c:strRef>
          </c:cat>
          <c:val>
            <c:numRef>
              <c:f>Missione12_Programmi!$B$2:$B$10</c:f>
              <c:numCache>
                <c:formatCode>#,##0</c:formatCode>
                <c:ptCount val="9"/>
                <c:pt idx="0">
                  <c:v>31265057.899999999</c:v>
                </c:pt>
                <c:pt idx="1">
                  <c:v>12385688.57</c:v>
                </c:pt>
                <c:pt idx="2">
                  <c:v>1707611.57</c:v>
                </c:pt>
                <c:pt idx="3">
                  <c:v>41222856.299999997</c:v>
                </c:pt>
                <c:pt idx="4">
                  <c:v>6000</c:v>
                </c:pt>
                <c:pt idx="5">
                  <c:v>25714.03</c:v>
                </c:pt>
                <c:pt idx="6">
                  <c:v>17291163.460000001</c:v>
                </c:pt>
                <c:pt idx="7">
                  <c:v>2153.73</c:v>
                </c:pt>
                <c:pt idx="8">
                  <c:v>13638045.42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09857031092265"/>
          <c:y val="4.1632217847769028E-2"/>
          <c:w val="0.33926140091863516"/>
          <c:h val="0.92108789244360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123E-2"/>
          <c:w val="0.91226653369359989"/>
          <c:h val="0.7262500698051042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37.343453448776692</c:v>
                </c:pt>
                <c:pt idx="1">
                  <c:v>48.841647683664526</c:v>
                </c:pt>
                <c:pt idx="2">
                  <c:v>47.109061477952977</c:v>
                </c:pt>
                <c:pt idx="3">
                  <c:v>42.192808892849371</c:v>
                </c:pt>
                <c:pt idx="4">
                  <c:v>60.0655185418983</c:v>
                </c:pt>
                <c:pt idx="5">
                  <c:v>56.621300160898294</c:v>
                </c:pt>
                <c:pt idx="6">
                  <c:v>52.447705163204674</c:v>
                </c:pt>
                <c:pt idx="7">
                  <c:v>52.779474279611172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39.804972590530816</c:v>
                </c:pt>
                <c:pt idx="1">
                  <c:v>38.791869992387227</c:v>
                </c:pt>
                <c:pt idx="2">
                  <c:v>44.379569531631184</c:v>
                </c:pt>
                <c:pt idx="3">
                  <c:v>41.338624456835376</c:v>
                </c:pt>
                <c:pt idx="4">
                  <c:v>56.611370950666306</c:v>
                </c:pt>
                <c:pt idx="5">
                  <c:v>52.247231668636431</c:v>
                </c:pt>
                <c:pt idx="6">
                  <c:v>52.289100371140528</c:v>
                </c:pt>
                <c:pt idx="7">
                  <c:v>78.266063641992773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52.124818262014692</c:v>
                </c:pt>
                <c:pt idx="1">
                  <c:v>43.067910376067289</c:v>
                </c:pt>
                <c:pt idx="2">
                  <c:v>53.626008241883369</c:v>
                </c:pt>
                <c:pt idx="3">
                  <c:v>42.577201943122219</c:v>
                </c:pt>
                <c:pt idx="4">
                  <c:v>59.060306556594021</c:v>
                </c:pt>
                <c:pt idx="5">
                  <c:v>55.817534936791816</c:v>
                </c:pt>
                <c:pt idx="6">
                  <c:v>62.743824007533156</c:v>
                </c:pt>
                <c:pt idx="7">
                  <c:v>77.204948061656296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30.377937738239986</c:v>
                </c:pt>
                <c:pt idx="1">
                  <c:v>33.642119966708989</c:v>
                </c:pt>
                <c:pt idx="2">
                  <c:v>28.399838638790165</c:v>
                </c:pt>
                <c:pt idx="3">
                  <c:v>41.088756696740397</c:v>
                </c:pt>
                <c:pt idx="4">
                  <c:v>38.110175107479769</c:v>
                </c:pt>
                <c:pt idx="5">
                  <c:v>33.362311316519069</c:v>
                </c:pt>
                <c:pt idx="6">
                  <c:v>27.014718197882914</c:v>
                </c:pt>
                <c:pt idx="7">
                  <c:v>37.256600605694672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397888"/>
        <c:axId val="1736398432"/>
      </c:lineChart>
      <c:catAx>
        <c:axId val="173639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36398432"/>
        <c:crosses val="autoZero"/>
        <c:auto val="1"/>
        <c:lblAlgn val="ctr"/>
        <c:lblOffset val="100"/>
        <c:noMultiLvlLbl val="0"/>
      </c:catAx>
      <c:valAx>
        <c:axId val="1736398432"/>
        <c:scaling>
          <c:orientation val="minMax"/>
          <c:max val="8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73639788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0624741494941986E-3"/>
          <c:y val="0.86653124476461718"/>
          <c:w val="0.98831615120274818"/>
          <c:h val="0.1060713687384821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02E-2"/>
          <c:y val="8.4949215143120954E-2"/>
          <c:w val="0.956799214531179"/>
          <c:h val="0.71753789779047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5.7257371886630755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2573718866307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451474377326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343162515507901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6343162515507207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451474377326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6343162515507207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344.81</c:v>
                </c:pt>
                <c:pt idx="1">
                  <c:v>314.91000000000003</c:v>
                </c:pt>
                <c:pt idx="2">
                  <c:v>318.66000000000003</c:v>
                </c:pt>
                <c:pt idx="3" formatCode="General">
                  <c:v>278.76</c:v>
                </c:pt>
                <c:pt idx="4" formatCode="General">
                  <c:v>258.02999999999997</c:v>
                </c:pt>
                <c:pt idx="5" formatCode="General">
                  <c:v>228.31</c:v>
                </c:pt>
                <c:pt idx="6" formatCode="General">
                  <c:v>257.29000000000002</c:v>
                </c:pt>
                <c:pt idx="7" formatCode="General">
                  <c:v>256.43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398976"/>
        <c:axId val="1736392992"/>
      </c:barChart>
      <c:catAx>
        <c:axId val="173639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6392992"/>
        <c:crosses val="autoZero"/>
        <c:auto val="1"/>
        <c:lblAlgn val="ctr"/>
        <c:lblOffset val="100"/>
        <c:noMultiLvlLbl val="0"/>
      </c:catAx>
      <c:valAx>
        <c:axId val="1736392992"/>
        <c:scaling>
          <c:orientation val="minMax"/>
          <c:max val="375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3639897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7.3868882733148677E-2"/>
          <c:w val="0.95679921453117966"/>
          <c:h val="0.73969856261042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1.5387574533564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085790628876802E-3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857906288775E-3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257371886630408E-3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343162515507207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6343162515507207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186.74</c:v>
                </c:pt>
                <c:pt idx="1">
                  <c:v>242.48</c:v>
                </c:pt>
                <c:pt idx="2">
                  <c:v>290.3</c:v>
                </c:pt>
                <c:pt idx="3" formatCode="General">
                  <c:v>296.45999999999998</c:v>
                </c:pt>
                <c:pt idx="4" formatCode="General">
                  <c:v>269.76</c:v>
                </c:pt>
                <c:pt idx="5" formatCode="General">
                  <c:v>148.04</c:v>
                </c:pt>
                <c:pt idx="6">
                  <c:v>233.4652952530663</c:v>
                </c:pt>
                <c:pt idx="7">
                  <c:v>302.82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451474377326082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343162515506852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725737188663040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393536"/>
        <c:axId val="1736394080"/>
      </c:barChart>
      <c:catAx>
        <c:axId val="17363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6394080"/>
        <c:crosses val="autoZero"/>
        <c:auto val="1"/>
        <c:lblAlgn val="ctr"/>
        <c:lblOffset val="100"/>
        <c:noMultiLvlLbl val="0"/>
      </c:catAx>
      <c:valAx>
        <c:axId val="1736394080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73639353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19E-2"/>
          <c:y val="4.0627885503231764E-2"/>
          <c:w val="0.95679921453117966"/>
          <c:h val="0.76185922743036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157.53</c:v>
                </c:pt>
                <c:pt idx="1">
                  <c:v>310.45</c:v>
                </c:pt>
                <c:pt idx="2">
                  <c:v>320.55</c:v>
                </c:pt>
                <c:pt idx="3" formatCode="General">
                  <c:v>395.94</c:v>
                </c:pt>
                <c:pt idx="4" formatCode="General">
                  <c:v>314.5</c:v>
                </c:pt>
                <c:pt idx="5" formatCode="General">
                  <c:v>228</c:v>
                </c:pt>
                <c:pt idx="6" formatCode="General">
                  <c:v>206.16</c:v>
                </c:pt>
                <c:pt idx="7" formatCode="General">
                  <c:v>143.06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397344"/>
        <c:axId val="1736394624"/>
      </c:barChart>
      <c:catAx>
        <c:axId val="173639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6394624"/>
        <c:crosses val="autoZero"/>
        <c:auto val="1"/>
        <c:lblAlgn val="ctr"/>
        <c:lblOffset val="100"/>
        <c:noMultiLvlLbl val="0"/>
      </c:catAx>
      <c:valAx>
        <c:axId val="1736394624"/>
        <c:scaling>
          <c:orientation val="minMax"/>
          <c:max val="42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3639734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19E-2"/>
          <c:y val="8.4949215143120954E-2"/>
          <c:w val="0.95679921453117966"/>
          <c:h val="0.71753789779047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2731.9131098150656</c:v>
                </c:pt>
                <c:pt idx="1">
                  <c:v>2692.5412483083119</c:v>
                </c:pt>
                <c:pt idx="2">
                  <c:v>2644.5613427190979</c:v>
                </c:pt>
                <c:pt idx="3" formatCode="General">
                  <c:v>2794.19</c:v>
                </c:pt>
                <c:pt idx="4" formatCode="General">
                  <c:v>3276.85</c:v>
                </c:pt>
                <c:pt idx="5" formatCode="General">
                  <c:v>3217.01</c:v>
                </c:pt>
                <c:pt idx="6" formatCode="General">
                  <c:v>3223.4160976266417</c:v>
                </c:pt>
                <c:pt idx="7" formatCode="General">
                  <c:v>3123.2233735109153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782032400589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403-4EB2-9535-25DD0BAD88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782032400589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403-4EB2-9535-25DD0BAD88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782032400589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403-4EB2-9535-25DD0BAD88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1836033382425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403-4EB2-9535-25DD0BAD88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51474377326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451474377325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3600534402136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90857906288766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395168"/>
        <c:axId val="1736396256"/>
      </c:barChart>
      <c:catAx>
        <c:axId val="173639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6396256"/>
        <c:crosses val="autoZero"/>
        <c:auto val="1"/>
        <c:lblAlgn val="ctr"/>
        <c:lblOffset val="100"/>
        <c:noMultiLvlLbl val="0"/>
      </c:catAx>
      <c:valAx>
        <c:axId val="1736396256"/>
        <c:scaling>
          <c:orientation val="minMax"/>
          <c:max val="33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3639516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62256476985203"/>
          <c:y val="7.7745360071207401E-3"/>
          <c:w val="0.81717685818482977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911697</c:v>
                </c:pt>
                <c:pt idx="1">
                  <c:v>917510</c:v>
                </c:pt>
                <c:pt idx="2">
                  <c:v>921142</c:v>
                </c:pt>
                <c:pt idx="3">
                  <c:v>922094</c:v>
                </c:pt>
                <c:pt idx="4">
                  <c:v>948850</c:v>
                </c:pt>
                <c:pt idx="5">
                  <c:v>954318</c:v>
                </c:pt>
                <c:pt idx="6">
                  <c:v>957571</c:v>
                </c:pt>
                <c:pt idx="7">
                  <c:v>959433</c:v>
                </c:pt>
                <c:pt idx="8">
                  <c:v>961011</c:v>
                </c:pt>
                <c:pt idx="9">
                  <c:v>963521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395712"/>
        <c:axId val="1821434000"/>
      </c:barChart>
      <c:catAx>
        <c:axId val="173639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821434000"/>
        <c:crosses val="autoZero"/>
        <c:auto val="1"/>
        <c:lblAlgn val="ctr"/>
        <c:lblOffset val="100"/>
        <c:noMultiLvlLbl val="0"/>
      </c:catAx>
      <c:valAx>
        <c:axId val="18214340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one"/>
        <c:spPr>
          <a:ln>
            <a:noFill/>
          </a:ln>
        </c:spPr>
        <c:crossAx val="1736395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53401788726252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Missione12_Programmi!$A$106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21215871.109999999</c:v>
                </c:pt>
                <c:pt idx="1">
                  <c:v>18723833.460000001</c:v>
                </c:pt>
                <c:pt idx="2">
                  <c:v>22391637.949999999</c:v>
                </c:pt>
                <c:pt idx="3">
                  <c:v>28962072.899999999</c:v>
                </c:pt>
                <c:pt idx="4">
                  <c:v>39206087.060000002</c:v>
                </c:pt>
                <c:pt idx="5">
                  <c:v>32943225.5</c:v>
                </c:pt>
                <c:pt idx="6">
                  <c:v>30178011.609999999</c:v>
                </c:pt>
                <c:pt idx="7">
                  <c:v>41222856.299999997</c:v>
                </c:pt>
              </c:numCache>
            </c:numRef>
          </c:val>
        </c:ser>
        <c:ser>
          <c:idx val="0"/>
          <c:order val="1"/>
          <c:tx>
            <c:strRef>
              <c:f>Missione12_Programmi!$A$107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29643266.390000001</c:v>
                </c:pt>
                <c:pt idx="1">
                  <c:v>30106659.59</c:v>
                </c:pt>
                <c:pt idx="2">
                  <c:v>28979898.379999999</c:v>
                </c:pt>
                <c:pt idx="3">
                  <c:v>25382820.5</c:v>
                </c:pt>
                <c:pt idx="4">
                  <c:v>22252495.559999999</c:v>
                </c:pt>
                <c:pt idx="5">
                  <c:v>23363908.699999999</c:v>
                </c:pt>
                <c:pt idx="6">
                  <c:v>25239379.859999999</c:v>
                </c:pt>
                <c:pt idx="7">
                  <c:v>31265057.899999999</c:v>
                </c:pt>
              </c:numCache>
            </c:numRef>
          </c:val>
        </c:ser>
        <c:ser>
          <c:idx val="6"/>
          <c:order val="2"/>
          <c:tx>
            <c:strRef>
              <c:f>Missione12_Programmi!$A$108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8578395.0500000007</c:v>
                </c:pt>
                <c:pt idx="1">
                  <c:v>9401930.3800000008</c:v>
                </c:pt>
                <c:pt idx="2">
                  <c:v>9493963.5099999998</c:v>
                </c:pt>
                <c:pt idx="3">
                  <c:v>14006310.699999999</c:v>
                </c:pt>
                <c:pt idx="4">
                  <c:v>11521526.65</c:v>
                </c:pt>
                <c:pt idx="5">
                  <c:v>14269556.6</c:v>
                </c:pt>
                <c:pt idx="6">
                  <c:v>19523421.82</c:v>
                </c:pt>
                <c:pt idx="7">
                  <c:v>17291163.460000001</c:v>
                </c:pt>
              </c:numCache>
            </c:numRef>
          </c:val>
        </c:ser>
        <c:ser>
          <c:idx val="8"/>
          <c:order val="3"/>
          <c:tx>
            <c:strRef>
              <c:f>Missione12_Programmi!$A$109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11140544.439999999</c:v>
                </c:pt>
                <c:pt idx="1">
                  <c:v>9504425.6699999999</c:v>
                </c:pt>
                <c:pt idx="2">
                  <c:v>9650122.4800000004</c:v>
                </c:pt>
                <c:pt idx="3">
                  <c:v>9661557.8000000007</c:v>
                </c:pt>
                <c:pt idx="4">
                  <c:v>11537428.01</c:v>
                </c:pt>
                <c:pt idx="5">
                  <c:v>11398672.699999999</c:v>
                </c:pt>
                <c:pt idx="6">
                  <c:v>11353782.539999999</c:v>
                </c:pt>
                <c:pt idx="7">
                  <c:v>13638045.42</c:v>
                </c:pt>
              </c:numCache>
            </c:numRef>
          </c:val>
        </c:ser>
        <c:ser>
          <c:idx val="1"/>
          <c:order val="4"/>
          <c:tx>
            <c:strRef>
              <c:f>Missione12_Programmi!$A$110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17924387.620000001</c:v>
                </c:pt>
                <c:pt idx="1">
                  <c:v>5601400.6500000004</c:v>
                </c:pt>
                <c:pt idx="2">
                  <c:v>6921345.9100000001</c:v>
                </c:pt>
                <c:pt idx="3">
                  <c:v>5323078.5</c:v>
                </c:pt>
                <c:pt idx="4">
                  <c:v>8137821.8399999999</c:v>
                </c:pt>
                <c:pt idx="5">
                  <c:v>9623706.5999999996</c:v>
                </c:pt>
                <c:pt idx="6">
                  <c:v>11495558.18</c:v>
                </c:pt>
                <c:pt idx="7">
                  <c:v>12385688.57</c:v>
                </c:pt>
              </c:numCache>
            </c:numRef>
          </c:val>
        </c:ser>
        <c:ser>
          <c:idx val="4"/>
          <c:order val="5"/>
          <c:tx>
            <c:strRef>
              <c:f>Missione12_Programmi!$A$111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122272</c:v>
                </c:pt>
                <c:pt idx="1">
                  <c:v>85700</c:v>
                </c:pt>
                <c:pt idx="2">
                  <c:v>134280</c:v>
                </c:pt>
                <c:pt idx="3">
                  <c:v>74760</c:v>
                </c:pt>
                <c:pt idx="4">
                  <c:v>4990.5600000000004</c:v>
                </c:pt>
                <c:pt idx="5">
                  <c:v>10069.6</c:v>
                </c:pt>
                <c:pt idx="6">
                  <c:v>49120</c:v>
                </c:pt>
                <c:pt idx="7">
                  <c:v>6000</c:v>
                </c:pt>
              </c:numCache>
            </c:numRef>
          </c:val>
        </c:ser>
        <c:ser>
          <c:idx val="2"/>
          <c:order val="6"/>
          <c:tx>
            <c:strRef>
              <c:f>Missione12_Programmi!$A$112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2491093.7599999998</c:v>
                </c:pt>
                <c:pt idx="1">
                  <c:v>1100556.51</c:v>
                </c:pt>
                <c:pt idx="2">
                  <c:v>1922543.99</c:v>
                </c:pt>
                <c:pt idx="3">
                  <c:v>1676387.3</c:v>
                </c:pt>
                <c:pt idx="4">
                  <c:v>1344000</c:v>
                </c:pt>
                <c:pt idx="5">
                  <c:v>5653.8</c:v>
                </c:pt>
                <c:pt idx="6">
                  <c:v>1846884.77</c:v>
                </c:pt>
                <c:pt idx="7">
                  <c:v>1707611.57</c:v>
                </c:pt>
              </c:numCache>
            </c:numRef>
          </c:val>
        </c:ser>
        <c:ser>
          <c:idx val="7"/>
          <c:order val="7"/>
          <c:tx>
            <c:strRef>
              <c:f>Missione12_Programmi!$A$113</c:f>
              <c:strCache>
                <c:ptCount val="1"/>
                <c:pt idx="0">
                  <c:v>Cooperazione e associazionismo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14613.16</c:v>
                </c:pt>
                <c:pt idx="1">
                  <c:v>0</c:v>
                </c:pt>
                <c:pt idx="2">
                  <c:v>0</c:v>
                </c:pt>
                <c:pt idx="3">
                  <c:v>2291</c:v>
                </c:pt>
                <c:pt idx="4">
                  <c:v>4842.49</c:v>
                </c:pt>
                <c:pt idx="5">
                  <c:v>2625.1</c:v>
                </c:pt>
                <c:pt idx="6">
                  <c:v>810.49</c:v>
                </c:pt>
                <c:pt idx="7">
                  <c:v>2153.73</c:v>
                </c:pt>
              </c:numCache>
            </c:numRef>
          </c:val>
        </c:ser>
        <c:ser>
          <c:idx val="5"/>
          <c:order val="8"/>
          <c:tx>
            <c:strRef>
              <c:f>Missione12_Programmi!$A$114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Missione12_Programmi!$B$114:$I$114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147471.01</c:v>
                </c:pt>
                <c:pt idx="7">
                  <c:v>25714.03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0517136"/>
        <c:axId val="1660517680"/>
      </c:barChart>
      <c:catAx>
        <c:axId val="16605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0517680"/>
        <c:crosses val="autoZero"/>
        <c:auto val="1"/>
        <c:lblAlgn val="ctr"/>
        <c:lblOffset val="100"/>
        <c:noMultiLvlLbl val="0"/>
      </c:catAx>
      <c:valAx>
        <c:axId val="1660517680"/>
        <c:scaling>
          <c:orientation val="minMax"/>
          <c:max val="1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0517136"/>
        <c:crosses val="autoZero"/>
        <c:crossBetween val="between"/>
        <c:majorUnit val="2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3214863117.9299998</c:v>
                </c:pt>
                <c:pt idx="1">
                  <c:v>2685817328.8000002</c:v>
                </c:pt>
                <c:pt idx="2">
                  <c:v>3290420203.0500002</c:v>
                </c:pt>
                <c:pt idx="3">
                  <c:v>3395018110.0700002</c:v>
                </c:pt>
                <c:pt idx="4">
                  <c:v>3617047416.0999999</c:v>
                </c:pt>
                <c:pt idx="5">
                  <c:v>3978212280.1599998</c:v>
                </c:pt>
                <c:pt idx="6">
                  <c:v>4456892582.8100004</c:v>
                </c:pt>
                <c:pt idx="7">
                  <c:v>4062986911.3000002</c:v>
                </c:pt>
                <c:pt idx="8">
                  <c:v>4131278907.5999999</c:v>
                </c:pt>
                <c:pt idx="9">
                  <c:v>3456861554.3000002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3894010152.0300002</c:v>
                </c:pt>
                <c:pt idx="1">
                  <c:v>1318239929.9300001</c:v>
                </c:pt>
                <c:pt idx="2">
                  <c:v>1922891827.29</c:v>
                </c:pt>
                <c:pt idx="3">
                  <c:v>1966462346.3</c:v>
                </c:pt>
                <c:pt idx="4">
                  <c:v>1914027216.4000001</c:v>
                </c:pt>
                <c:pt idx="5">
                  <c:v>2056418195.1600001</c:v>
                </c:pt>
                <c:pt idx="6">
                  <c:v>1682256359.8599999</c:v>
                </c:pt>
                <c:pt idx="7">
                  <c:v>1308288004.54</c:v>
                </c:pt>
                <c:pt idx="8">
                  <c:v>1255539600.5</c:v>
                </c:pt>
                <c:pt idx="9">
                  <c:v>918817113.45000005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518224"/>
        <c:axId val="1660518768"/>
      </c:lineChart>
      <c:catAx>
        <c:axId val="166051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0518768"/>
        <c:crosses val="autoZero"/>
        <c:auto val="1"/>
        <c:lblAlgn val="ctr"/>
        <c:lblOffset val="100"/>
        <c:noMultiLvlLbl val="0"/>
      </c:catAx>
      <c:valAx>
        <c:axId val="1660518768"/>
        <c:scaling>
          <c:orientation val="minMax"/>
          <c:max val="4500000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60518224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Risultato_amministrazione!$D$3:$K$3</c:f>
              <c:numCache>
                <c:formatCode>#,##0</c:formatCode>
                <c:ptCount val="8"/>
                <c:pt idx="0">
                  <c:v>3290420203.0500002</c:v>
                </c:pt>
                <c:pt idx="1">
                  <c:v>3395018110.0700002</c:v>
                </c:pt>
                <c:pt idx="2">
                  <c:v>3617047416.0999999</c:v>
                </c:pt>
                <c:pt idx="3">
                  <c:v>3978212280.1599998</c:v>
                </c:pt>
                <c:pt idx="4">
                  <c:v>4456892582.8100004</c:v>
                </c:pt>
                <c:pt idx="5">
                  <c:v>4062986911.3000002</c:v>
                </c:pt>
                <c:pt idx="6">
                  <c:v>4131278907.5999999</c:v>
                </c:pt>
                <c:pt idx="7">
                  <c:v>3456861554.3000002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Risultato_amministrazione!$D$8:$K$8</c:f>
              <c:numCache>
                <c:formatCode>#,##0</c:formatCode>
                <c:ptCount val="8"/>
                <c:pt idx="0">
                  <c:v>1503553145.29</c:v>
                </c:pt>
                <c:pt idx="1">
                  <c:v>1831745187.1099999</c:v>
                </c:pt>
                <c:pt idx="2">
                  <c:v>2041796156.03</c:v>
                </c:pt>
                <c:pt idx="3">
                  <c:v>2125891149.7</c:v>
                </c:pt>
                <c:pt idx="4">
                  <c:v>2286657022.04</c:v>
                </c:pt>
                <c:pt idx="5">
                  <c:v>2213341792.5</c:v>
                </c:pt>
                <c:pt idx="6">
                  <c:v>2265486236.5999999</c:v>
                </c:pt>
                <c:pt idx="7">
                  <c:v>1990175516.5999999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0519312"/>
        <c:axId val="1666492144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Risultato_amministrazione!$D$23:$K$23</c:f>
              <c:numCache>
                <c:formatCode>0.0</c:formatCode>
                <c:ptCount val="8"/>
                <c:pt idx="0">
                  <c:v>45.694867296775847</c:v>
                </c:pt>
                <c:pt idx="1">
                  <c:v>53.953915052082948</c:v>
                </c:pt>
                <c:pt idx="2">
                  <c:v>56.449250483741807</c:v>
                </c:pt>
                <c:pt idx="3">
                  <c:v>53.438353712348871</c:v>
                </c:pt>
                <c:pt idx="4">
                  <c:v>51.306083320462228</c:v>
                </c:pt>
                <c:pt idx="5">
                  <c:v>54.475730314174584</c:v>
                </c:pt>
                <c:pt idx="6">
                  <c:v>54.837407187211618</c:v>
                </c:pt>
                <c:pt idx="7">
                  <c:v>57.571744929281735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1056"/>
        <c:axId val="1666494864"/>
      </c:lineChart>
      <c:catAx>
        <c:axId val="166051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2144"/>
        <c:crosses val="autoZero"/>
        <c:auto val="1"/>
        <c:lblAlgn val="ctr"/>
        <c:lblOffset val="100"/>
        <c:noMultiLvlLbl val="0"/>
      </c:catAx>
      <c:valAx>
        <c:axId val="16664921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0519312"/>
        <c:crosses val="autoZero"/>
        <c:crossBetween val="between"/>
      </c:valAx>
      <c:valAx>
        <c:axId val="1666494864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1056"/>
        <c:crosses val="max"/>
        <c:crossBetween val="between"/>
      </c:valAx>
      <c:catAx>
        <c:axId val="166649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64948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605784189285E-2"/>
          <c:y val="2.3250443121284558E-2"/>
          <c:w val="0.81517554631931499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EA-4B62-99C9-5731F931FD6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52-41DC-B25A-48B8A55670D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452-41DC-B25A-48B8A55670D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EEA-4B62-99C9-5731F931FD6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977545066734061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140803042</c:v>
                </c:pt>
                <c:pt idx="1">
                  <c:v>118757765</c:v>
                </c:pt>
                <c:pt idx="2">
                  <c:v>565395852.19000018</c:v>
                </c:pt>
                <c:pt idx="3">
                  <c:v>-166194775.16000003</c:v>
                </c:pt>
                <c:pt idx="4">
                  <c:v>-207236744.03000027</c:v>
                </c:pt>
                <c:pt idx="5">
                  <c:v>283250176.45000052</c:v>
                </c:pt>
                <c:pt idx="6">
                  <c:v>688282227.37000024</c:v>
                </c:pt>
                <c:pt idx="7">
                  <c:v>-26463896.960000228</c:v>
                </c:pt>
                <c:pt idx="8">
                  <c:v>409968286.52999997</c:v>
                </c:pt>
                <c:pt idx="9">
                  <c:v>223043921.43999979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492688"/>
        <c:axId val="1666493232"/>
      </c:barChart>
      <c:catAx>
        <c:axId val="166649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666493232"/>
        <c:crosses val="autoZero"/>
        <c:auto val="1"/>
        <c:lblAlgn val="ctr"/>
        <c:lblOffset val="100"/>
        <c:noMultiLvlLbl val="0"/>
      </c:catAx>
      <c:valAx>
        <c:axId val="16664932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one"/>
        <c:spPr>
          <a:noFill/>
          <a:ln>
            <a:noFill/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16664926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2753350953.4000001</c:v>
                </c:pt>
                <c:pt idx="1">
                  <c:v>2661085530.5300002</c:v>
                </c:pt>
                <c:pt idx="2">
                  <c:v>2612263130.9899998</c:v>
                </c:pt>
                <c:pt idx="3">
                  <c:v>2555027073.9000001</c:v>
                </c:pt>
                <c:pt idx="4">
                  <c:v>2680789116.8000002</c:v>
                </c:pt>
                <c:pt idx="5">
                  <c:v>3145674319.7600002</c:v>
                </c:pt>
                <c:pt idx="6">
                  <c:v>3067574038.4000001</c:v>
                </c:pt>
                <c:pt idx="7">
                  <c:v>2969223951</c:v>
                </c:pt>
                <c:pt idx="8">
                  <c:v>2865588677.4299998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312513004.41000003</c:v>
                </c:pt>
                <c:pt idx="1">
                  <c:v>21875910.309999999</c:v>
                </c:pt>
                <c:pt idx="2">
                  <c:v>1102358192.9200001</c:v>
                </c:pt>
                <c:pt idx="3">
                  <c:v>1089559851.03</c:v>
                </c:pt>
                <c:pt idx="4">
                  <c:v>719954778.20000005</c:v>
                </c:pt>
                <c:pt idx="5">
                  <c:v>868486737.47000003</c:v>
                </c:pt>
                <c:pt idx="6">
                  <c:v>803207486.01999998</c:v>
                </c:pt>
                <c:pt idx="7">
                  <c:v>783100342.71000004</c:v>
                </c:pt>
                <c:pt idx="8">
                  <c:v>585071931.50999999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359509384.60000002</c:v>
                </c:pt>
                <c:pt idx="1">
                  <c:v>397464726.92000002</c:v>
                </c:pt>
                <c:pt idx="2">
                  <c:v>285072880.98000002</c:v>
                </c:pt>
                <c:pt idx="3">
                  <c:v>389013376.45999998</c:v>
                </c:pt>
                <c:pt idx="4">
                  <c:v>483004388.89999998</c:v>
                </c:pt>
                <c:pt idx="5">
                  <c:v>83422747.189999998</c:v>
                </c:pt>
                <c:pt idx="6">
                  <c:v>101693455.2</c:v>
                </c:pt>
                <c:pt idx="7">
                  <c:v>76498209.5</c:v>
                </c:pt>
                <c:pt idx="8">
                  <c:v>63025777.189999998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90048496</c:v>
                </c:pt>
                <c:pt idx="1">
                  <c:v>5680111.21</c:v>
                </c:pt>
                <c:pt idx="2">
                  <c:v>96419052.379999995</c:v>
                </c:pt>
                <c:pt idx="3">
                  <c:v>434319523.31999999</c:v>
                </c:pt>
                <c:pt idx="4">
                  <c:v>443167563.89999998</c:v>
                </c:pt>
                <c:pt idx="5">
                  <c:v>415233826.41000003</c:v>
                </c:pt>
                <c:pt idx="6">
                  <c:v>402653537.69999999</c:v>
                </c:pt>
                <c:pt idx="7">
                  <c:v>396849355.30000001</c:v>
                </c:pt>
                <c:pt idx="8">
                  <c:v>244663904.37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95408"/>
        <c:axId val="1666490512"/>
      </c:barChart>
      <c:catAx>
        <c:axId val="166649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6490512"/>
        <c:crosses val="autoZero"/>
        <c:auto val="1"/>
        <c:lblAlgn val="ctr"/>
        <c:lblOffset val="100"/>
        <c:noMultiLvlLbl val="0"/>
      </c:catAx>
      <c:valAx>
        <c:axId val="1666490512"/>
        <c:scaling>
          <c:orientation val="minMax"/>
          <c:max val="45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6495408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95485013192313E-2"/>
          <c:y val="1.2121212121212118E-2"/>
          <c:w val="0.90042435640426832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4139259664.6100001</c:v>
                </c:pt>
                <c:pt idx="1">
                  <c:v>4139259664.6100001</c:v>
                </c:pt>
                <c:pt idx="2">
                  <c:v>4139259664.6100001</c:v>
                </c:pt>
                <c:pt idx="3">
                  <c:v>1767997776.7</c:v>
                </c:pt>
                <c:pt idx="4">
                  <c:v>1779761137.8800001</c:v>
                </c:pt>
                <c:pt idx="5">
                  <c:v>310672390.00999999</c:v>
                </c:pt>
                <c:pt idx="6">
                  <c:v>705169768.29999995</c:v>
                </c:pt>
                <c:pt idx="7">
                  <c:v>773062696.39999998</c:v>
                </c:pt>
                <c:pt idx="8">
                  <c:v>839501515.88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3541434156</c:v>
                </c:pt>
                <c:pt idx="1">
                  <c:v>2131283021</c:v>
                </c:pt>
                <c:pt idx="2">
                  <c:v>1644719767.51</c:v>
                </c:pt>
                <c:pt idx="3">
                  <c:v>3852760452.5900002</c:v>
                </c:pt>
                <c:pt idx="4">
                  <c:v>3635888887.98</c:v>
                </c:pt>
                <c:pt idx="5">
                  <c:v>5389995736.7200003</c:v>
                </c:pt>
                <c:pt idx="6">
                  <c:v>4520320898.3999996</c:v>
                </c:pt>
                <c:pt idx="7">
                  <c:v>4485315343.6999998</c:v>
                </c:pt>
                <c:pt idx="8">
                  <c:v>4916644865.3100004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565395852.19000006</c:v>
                </c:pt>
                <c:pt idx="2">
                  <c:v>-166194775.06</c:v>
                </c:pt>
                <c:pt idx="3">
                  <c:v>-207236743.62</c:v>
                </c:pt>
                <c:pt idx="4">
                  <c:v>283250176.38</c:v>
                </c:pt>
                <c:pt idx="5">
                  <c:v>688282227.37</c:v>
                </c:pt>
                <c:pt idx="6">
                  <c:v>-26463896.899999999</c:v>
                </c:pt>
                <c:pt idx="7">
                  <c:v>409968286.60000002</c:v>
                </c:pt>
                <c:pt idx="8">
                  <c:v>223043921.44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0</c:v>
                </c:pt>
                <c:pt idx="6">
                  <c:v>1163768986.7</c:v>
                </c:pt>
                <c:pt idx="7">
                  <c:v>1137305089.8</c:v>
                </c:pt>
                <c:pt idx="8">
                  <c:v>1137305089.8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96496"/>
        <c:axId val="1666494320"/>
      </c:barChart>
      <c:catAx>
        <c:axId val="166649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666494320"/>
        <c:crosses val="autoZero"/>
        <c:auto val="1"/>
        <c:lblAlgn val="ctr"/>
        <c:lblOffset val="100"/>
        <c:noMultiLvlLbl val="0"/>
      </c:catAx>
      <c:valAx>
        <c:axId val="1666494320"/>
        <c:scaling>
          <c:orientation val="minMax"/>
          <c:max val="8000000000"/>
          <c:min val="-1000000000"/>
        </c:scaling>
        <c:delete val="0"/>
        <c:axPos val="b"/>
        <c:numFmt formatCode="0.E+00" sourceLinked="0"/>
        <c:majorTickMark val="none"/>
        <c:minorTickMark val="none"/>
        <c:tickLblPos val="nextTo"/>
        <c:crossAx val="1666496496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2433600024404704E-3"/>
          <c:y val="0.92984849666068969"/>
          <c:w val="0.98802318909957443"/>
          <c:h val="5.3649853174293799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116E-2"/>
          <c:w val="0.91226637907374775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43.967692046674351</c:v>
                </c:pt>
                <c:pt idx="1">
                  <c:v>40.5075337773564</c:v>
                </c:pt>
                <c:pt idx="2">
                  <c:v>40.25</c:v>
                </c:pt>
                <c:pt idx="3">
                  <c:v>39.207035499708198</c:v>
                </c:pt>
                <c:pt idx="4">
                  <c:v>33.549999999999997</c:v>
                </c:pt>
                <c:pt idx="5">
                  <c:v>38.974484415443392</c:v>
                </c:pt>
                <c:pt idx="6">
                  <c:v>36.214571838308096</c:v>
                </c:pt>
                <c:pt idx="7">
                  <c:v>44.640476231394729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53.6</c:v>
                </c:pt>
                <c:pt idx="1">
                  <c:v>41.76</c:v>
                </c:pt>
                <c:pt idx="2">
                  <c:v>51.14</c:v>
                </c:pt>
                <c:pt idx="3">
                  <c:v>49.245914337223354</c:v>
                </c:pt>
                <c:pt idx="4">
                  <c:v>51.629627628792619</c:v>
                </c:pt>
                <c:pt idx="5">
                  <c:v>49.320589298365007</c:v>
                </c:pt>
                <c:pt idx="6">
                  <c:v>30.659163467895816</c:v>
                </c:pt>
                <c:pt idx="7">
                  <c:v>38.62497668246624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33.31</c:v>
                </c:pt>
                <c:pt idx="1">
                  <c:v>35.159999999999997</c:v>
                </c:pt>
                <c:pt idx="2">
                  <c:v>35.97</c:v>
                </c:pt>
                <c:pt idx="3">
                  <c:v>29.729574399654496</c:v>
                </c:pt>
                <c:pt idx="4">
                  <c:v>34.385191501228654</c:v>
                </c:pt>
                <c:pt idx="5">
                  <c:v>30.809120092529042</c:v>
                </c:pt>
                <c:pt idx="6">
                  <c:v>29.169065574523696</c:v>
                </c:pt>
                <c:pt idx="7">
                  <c:v>36.644671027597191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5952"/>
        <c:axId val="1736392448"/>
      </c:lineChart>
      <c:catAx>
        <c:axId val="166649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36392448"/>
        <c:crosses val="autoZero"/>
        <c:auto val="1"/>
        <c:lblAlgn val="ctr"/>
        <c:lblOffset val="100"/>
        <c:noMultiLvlLbl val="0"/>
      </c:catAx>
      <c:valAx>
        <c:axId val="1736392448"/>
        <c:scaling>
          <c:orientation val="minMax"/>
          <c:max val="55"/>
          <c:min val="2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649595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721"/>
          <c:w val="0.96177967444791268"/>
          <c:h val="0.1795680460155252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947E-2"/>
          <c:w val="0.9029842635309353"/>
          <c:h val="0.730614389879974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3.0109245936584061</c:v>
                </c:pt>
                <c:pt idx="1">
                  <c:v>2.985767326732673</c:v>
                </c:pt>
                <c:pt idx="2">
                  <c:v>3.1914893617021276</c:v>
                </c:pt>
                <c:pt idx="3">
                  <c:v>3.5201793721973096</c:v>
                </c:pt>
                <c:pt idx="4">
                  <c:v>2.9386892177589852</c:v>
                </c:pt>
                <c:pt idx="5">
                  <c:v>3.4384498480243164</c:v>
                </c:pt>
                <c:pt idx="6">
                  <c:v>4.4897959183673466</c:v>
                </c:pt>
                <c:pt idx="7">
                  <c:v>4.9811726734803656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15.774047428723687</c:v>
                </c:pt>
                <c:pt idx="1">
                  <c:v>14.186262376237623</c:v>
                </c:pt>
                <c:pt idx="2">
                  <c:v>14.851063829787234</c:v>
                </c:pt>
                <c:pt idx="3">
                  <c:v>14.865470852017937</c:v>
                </c:pt>
                <c:pt idx="4">
                  <c:v>14.101479915433405</c:v>
                </c:pt>
                <c:pt idx="5">
                  <c:v>18.066109422492403</c:v>
                </c:pt>
                <c:pt idx="6">
                  <c:v>15.27389903329753</c:v>
                </c:pt>
                <c:pt idx="7">
                  <c:v>15.857988165680473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18.092192912336795</c:v>
                </c:pt>
                <c:pt idx="1">
                  <c:v>15.16089108910891</c:v>
                </c:pt>
                <c:pt idx="2">
                  <c:v>20.063829787234042</c:v>
                </c:pt>
                <c:pt idx="3">
                  <c:v>23.228699551569505</c:v>
                </c:pt>
                <c:pt idx="4">
                  <c:v>32.917547568710361</c:v>
                </c:pt>
                <c:pt idx="5">
                  <c:v>36.588145896656535</c:v>
                </c:pt>
                <c:pt idx="6">
                  <c:v>35.488721804511279</c:v>
                </c:pt>
                <c:pt idx="7">
                  <c:v>33.501882732651964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5.3823607780442311</c:v>
                </c:pt>
                <c:pt idx="1">
                  <c:v>4.3007425742574252</c:v>
                </c:pt>
                <c:pt idx="2">
                  <c:v>4.8297872340425529</c:v>
                </c:pt>
                <c:pt idx="3">
                  <c:v>5.0448430493273539</c:v>
                </c:pt>
                <c:pt idx="4">
                  <c:v>5.07399577167019</c:v>
                </c:pt>
                <c:pt idx="5">
                  <c:v>6.7249240121580556</c:v>
                </c:pt>
                <c:pt idx="6">
                  <c:v>5.7142857142857144</c:v>
                </c:pt>
                <c:pt idx="7">
                  <c:v>6.7670790747713827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6399520"/>
        <c:axId val="1736396800"/>
      </c:barChart>
      <c:catAx>
        <c:axId val="173639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736396800"/>
        <c:crosses val="autoZero"/>
        <c:auto val="1"/>
        <c:lblAlgn val="ctr"/>
        <c:lblOffset val="100"/>
        <c:noMultiLvlLbl val="0"/>
      </c:catAx>
      <c:valAx>
        <c:axId val="1736396800"/>
        <c:scaling>
          <c:orientation val="minMax"/>
          <c:max val="6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73639952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3931804779909056E-3"/>
          <c:y val="0.87022925835906273"/>
          <c:w val="0.99085334597492358"/>
          <c:h val="0.1019932245380580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106680</xdr:rowOff>
    </xdr:from>
    <xdr:to>
      <xdr:col>16</xdr:col>
      <xdr:colOff>601980</xdr:colOff>
      <xdr:row>18</xdr:row>
      <xdr:rowOff>15240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102</xdr:row>
      <xdr:rowOff>118110</xdr:rowOff>
    </xdr:from>
    <xdr:to>
      <xdr:col>20</xdr:col>
      <xdr:colOff>403860</xdr:colOff>
      <xdr:row>122</xdr:row>
      <xdr:rowOff>106680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24</xdr:row>
      <xdr:rowOff>76199</xdr:rowOff>
    </xdr:from>
    <xdr:to>
      <xdr:col>9</xdr:col>
      <xdr:colOff>868680</xdr:colOff>
      <xdr:row>49</xdr:row>
      <xdr:rowOff>9524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1552575</xdr:colOff>
      <xdr:row>49</xdr:row>
      <xdr:rowOff>180975</xdr:rowOff>
    </xdr:from>
    <xdr:to>
      <xdr:col>9</xdr:col>
      <xdr:colOff>784860</xdr:colOff>
      <xdr:row>72</xdr:row>
      <xdr:rowOff>38100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672464</xdr:colOff>
      <xdr:row>30</xdr:row>
      <xdr:rowOff>140969</xdr:rowOff>
    </xdr:from>
    <xdr:to>
      <xdr:col>13</xdr:col>
      <xdr:colOff>358140</xdr:colOff>
      <xdr:row>48</xdr:row>
      <xdr:rowOff>5714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5</xdr:col>
      <xdr:colOff>419100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51</xdr:row>
      <xdr:rowOff>15240</xdr:rowOff>
    </xdr:from>
    <xdr:to>
      <xdr:col>6</xdr:col>
      <xdr:colOff>617220</xdr:colOff>
      <xdr:row>76</xdr:row>
      <xdr:rowOff>60960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199</xdr:row>
      <xdr:rowOff>17143</xdr:rowOff>
    </xdr:from>
    <xdr:to>
      <xdr:col>3</xdr:col>
      <xdr:colOff>85724</xdr:colOff>
      <xdr:row>216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218</xdr:row>
      <xdr:rowOff>129540</xdr:rowOff>
    </xdr:from>
    <xdr:to>
      <xdr:col>3</xdr:col>
      <xdr:colOff>116205</xdr:colOff>
      <xdr:row>237</xdr:row>
      <xdr:rowOff>99060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19048</xdr:rowOff>
    </xdr:from>
    <xdr:to>
      <xdr:col>10</xdr:col>
      <xdr:colOff>447674</xdr:colOff>
      <xdr:row>29</xdr:row>
      <xdr:rowOff>133349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pane xSplit="1" ySplit="2" topLeftCell="S29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40">
        <v>2016</v>
      </c>
      <c r="C1" s="140"/>
      <c r="D1" s="141"/>
      <c r="E1" s="142">
        <v>2017</v>
      </c>
      <c r="F1" s="143"/>
      <c r="G1" s="144"/>
      <c r="H1" s="142">
        <v>2018</v>
      </c>
      <c r="I1" s="143"/>
      <c r="J1" s="144"/>
      <c r="K1" s="142">
        <v>2019</v>
      </c>
      <c r="L1" s="143"/>
      <c r="M1" s="144"/>
      <c r="N1" s="142">
        <v>2020</v>
      </c>
      <c r="O1" s="143"/>
      <c r="P1" s="144"/>
      <c r="Q1" s="142">
        <v>2021</v>
      </c>
      <c r="R1" s="143"/>
      <c r="S1" s="144"/>
      <c r="T1" s="142">
        <v>2022</v>
      </c>
      <c r="U1" s="143"/>
      <c r="V1" s="144"/>
      <c r="W1" s="142">
        <v>2023</v>
      </c>
      <c r="X1" s="143"/>
      <c r="Y1" s="144"/>
      <c r="Z1" s="139" t="s">
        <v>233</v>
      </c>
      <c r="AA1" s="139"/>
    </row>
    <row r="2" spans="1:27" x14ac:dyDescent="0.3">
      <c r="B2" s="18" t="s">
        <v>73</v>
      </c>
      <c r="C2" s="18" t="s">
        <v>74</v>
      </c>
      <c r="D2" s="19" t="s">
        <v>234</v>
      </c>
      <c r="E2" s="26" t="s">
        <v>73</v>
      </c>
      <c r="F2" s="18" t="s">
        <v>74</v>
      </c>
      <c r="G2" s="19" t="s">
        <v>234</v>
      </c>
      <c r="H2" s="26" t="s">
        <v>73</v>
      </c>
      <c r="I2" s="18" t="s">
        <v>74</v>
      </c>
      <c r="J2" s="19" t="s">
        <v>234</v>
      </c>
      <c r="K2" s="26" t="s">
        <v>73</v>
      </c>
      <c r="L2" s="107" t="s">
        <v>74</v>
      </c>
      <c r="M2" s="108" t="s">
        <v>234</v>
      </c>
      <c r="N2" s="26" t="s">
        <v>73</v>
      </c>
      <c r="O2" s="115" t="s">
        <v>74</v>
      </c>
      <c r="P2" s="116" t="s">
        <v>234</v>
      </c>
      <c r="Q2" s="26" t="s">
        <v>73</v>
      </c>
      <c r="R2" s="119" t="s">
        <v>74</v>
      </c>
      <c r="S2" s="120" t="s">
        <v>234</v>
      </c>
      <c r="T2" s="26" t="s">
        <v>73</v>
      </c>
      <c r="U2" s="136" t="s">
        <v>74</v>
      </c>
      <c r="V2" s="137" t="s">
        <v>234</v>
      </c>
      <c r="W2" s="26" t="s">
        <v>73</v>
      </c>
      <c r="X2" s="103" t="s">
        <v>74</v>
      </c>
      <c r="Y2" s="104" t="s">
        <v>234</v>
      </c>
      <c r="Z2" s="13" t="s">
        <v>73</v>
      </c>
      <c r="AA2" s="13" t="s">
        <v>74</v>
      </c>
    </row>
    <row r="3" spans="1:27" x14ac:dyDescent="0.3">
      <c r="A3" t="s">
        <v>20</v>
      </c>
      <c r="B3" s="32">
        <v>919146781.45000005</v>
      </c>
      <c r="C3" s="32">
        <v>643399991.76999998</v>
      </c>
      <c r="D3" s="21">
        <f>IF(B3&gt;0,C3/B3*100,"-")</f>
        <v>69.99970023884589</v>
      </c>
      <c r="E3" s="32">
        <v>905772422.5</v>
      </c>
      <c r="F3" s="32">
        <v>620606115.30999994</v>
      </c>
      <c r="G3" s="21">
        <f>IF(E3&gt;0,F3/E3*100,"-")</f>
        <v>68.516781908316489</v>
      </c>
      <c r="H3" s="27">
        <v>916582430.64999998</v>
      </c>
      <c r="I3" s="20">
        <v>663006938.88999999</v>
      </c>
      <c r="J3" s="21">
        <f>IF(H3&gt;0,I3/H3*100,"-")</f>
        <v>72.334676808044932</v>
      </c>
      <c r="K3" s="20">
        <v>933804197.13</v>
      </c>
      <c r="L3" s="20">
        <v>666199237.70000005</v>
      </c>
      <c r="M3" s="21">
        <f>IF(K3&gt;0,L3/K3*100,"-")</f>
        <v>71.342497682868611</v>
      </c>
      <c r="N3" s="20">
        <v>878332823.14999998</v>
      </c>
      <c r="O3" s="20">
        <v>601559644.33000004</v>
      </c>
      <c r="P3" s="21">
        <f>IF(N3&gt;0,O3/N3*100,"-")</f>
        <v>68.488803842329688</v>
      </c>
      <c r="Q3" s="20">
        <v>877200776.79999995</v>
      </c>
      <c r="R3" s="20">
        <v>606514395.83000004</v>
      </c>
      <c r="S3" s="21">
        <f>IF(Q3&gt;0,R3/Q3*100,"-")</f>
        <v>69.142026759545843</v>
      </c>
      <c r="T3" s="20">
        <v>878807389.92999995</v>
      </c>
      <c r="U3" s="20">
        <v>542092734.96000004</v>
      </c>
      <c r="V3" s="21">
        <f>IF(T3&gt;0,U3/T3*100,"-")</f>
        <v>61.685045115879099</v>
      </c>
      <c r="W3" s="20">
        <v>920410684.97000003</v>
      </c>
      <c r="X3" s="20">
        <v>614727618.86000001</v>
      </c>
      <c r="Y3" s="21">
        <f>IF(W3&gt;0,X3/W3*100,"-")</f>
        <v>66.788405317136935</v>
      </c>
      <c r="Z3" s="14">
        <f>IF(T3&gt;0,W3/T3*100-100,"-")</f>
        <v>4.7340629490284556</v>
      </c>
      <c r="AA3" s="14">
        <f>IF(U3&gt;0,X3/U3*100-100,"-")</f>
        <v>13.398977557845242</v>
      </c>
    </row>
    <row r="4" spans="1:27" x14ac:dyDescent="0.3">
      <c r="A4" t="s">
        <v>21</v>
      </c>
      <c r="B4" s="32">
        <v>170743945.75999999</v>
      </c>
      <c r="C4" s="32">
        <v>91058130</v>
      </c>
      <c r="D4" s="21">
        <f t="shared" ref="D4:D21" si="0">IF(B4&gt;0,C4/B4*100,"-")</f>
        <v>53.330224737802737</v>
      </c>
      <c r="E4" s="32">
        <v>148387953.93000001</v>
      </c>
      <c r="F4" s="32">
        <v>93318155.379999995</v>
      </c>
      <c r="G4" s="21">
        <f t="shared" ref="G4:G21" si="1">IF(E4&gt;0,F4/E4*100,"-")</f>
        <v>62.887958832575833</v>
      </c>
      <c r="H4" s="27">
        <v>167039724.69999999</v>
      </c>
      <c r="I4" s="20">
        <v>142227126.56999999</v>
      </c>
      <c r="J4" s="21">
        <f t="shared" ref="J4:J21" si="2">IF(H4&gt;0,I4/H4*100,"-")</f>
        <v>85.145690239514622</v>
      </c>
      <c r="K4" s="20">
        <v>188486676.53999999</v>
      </c>
      <c r="L4" s="20">
        <v>137920817.59999999</v>
      </c>
      <c r="M4" s="21">
        <f t="shared" ref="M4:M13" si="3">IF(K4&gt;0,L4/K4*100,"-")</f>
        <v>73.172714449517557</v>
      </c>
      <c r="N4" s="20">
        <v>314473456.42000002</v>
      </c>
      <c r="O4" s="20">
        <v>276735813.88999999</v>
      </c>
      <c r="P4" s="21">
        <f t="shared" ref="P4:P13" si="4">IF(N4&gt;0,O4/N4*100,"-")</f>
        <v>87.99973677918338</v>
      </c>
      <c r="Q4" s="20">
        <v>643772484.10000002</v>
      </c>
      <c r="R4" s="20">
        <v>568260435.10000002</v>
      </c>
      <c r="S4" s="21">
        <f t="shared" ref="S4:S13" si="5">IF(Q4&gt;0,R4/Q4*100,"-")</f>
        <v>88.270382648372035</v>
      </c>
      <c r="T4" s="20">
        <v>451378477.62</v>
      </c>
      <c r="U4" s="20">
        <v>367113436.72000003</v>
      </c>
      <c r="V4" s="21">
        <f t="shared" ref="V4:V13" si="6">IF(T4&gt;0,U4/T4*100,"-")</f>
        <v>81.33162189205224</v>
      </c>
      <c r="W4" s="20">
        <v>409586768.25999999</v>
      </c>
      <c r="X4" s="20">
        <v>344317049.02999997</v>
      </c>
      <c r="Y4" s="21">
        <f t="shared" ref="Y4:Y13" si="7">IF(W4&gt;0,X4/W4*100,"-")</f>
        <v>84.06449517222498</v>
      </c>
      <c r="Z4" s="14">
        <f t="shared" ref="Z4:AA55" si="8">IF(T4&gt;0,W4/T4*100-100,"-")</f>
        <v>-9.2586845479112583</v>
      </c>
      <c r="AA4" s="14">
        <f t="shared" si="8"/>
        <v>-6.2096304329462697</v>
      </c>
    </row>
    <row r="5" spans="1:27" x14ac:dyDescent="0.3">
      <c r="A5" t="s">
        <v>22</v>
      </c>
      <c r="B5" s="32">
        <v>247315281.05000001</v>
      </c>
      <c r="C5" s="32">
        <v>85849152.569999993</v>
      </c>
      <c r="D5" s="21">
        <f t="shared" si="0"/>
        <v>34.712433540507263</v>
      </c>
      <c r="E5" s="32">
        <v>230399329.66999999</v>
      </c>
      <c r="F5" s="32">
        <v>80994166.829999998</v>
      </c>
      <c r="G5" s="21">
        <f t="shared" si="1"/>
        <v>35.153820519359847</v>
      </c>
      <c r="H5" s="27">
        <v>295871263.42000002</v>
      </c>
      <c r="I5" s="20">
        <v>75826367.920000002</v>
      </c>
      <c r="J5" s="21">
        <f t="shared" si="2"/>
        <v>25.628162412096682</v>
      </c>
      <c r="K5" s="20">
        <v>306982052.02999997</v>
      </c>
      <c r="L5" s="20">
        <v>83029585.400000006</v>
      </c>
      <c r="M5" s="21">
        <f t="shared" si="3"/>
        <v>27.047048793551586</v>
      </c>
      <c r="N5" s="20">
        <v>279625906.55000001</v>
      </c>
      <c r="O5" s="20">
        <v>71896156.409999996</v>
      </c>
      <c r="P5" s="21">
        <f t="shared" si="4"/>
        <v>25.711550584510746</v>
      </c>
      <c r="Q5" s="20">
        <v>241271698</v>
      </c>
      <c r="R5" s="20">
        <v>61829564.399999999</v>
      </c>
      <c r="S5" s="21">
        <f t="shared" si="5"/>
        <v>25.62653013699104</v>
      </c>
      <c r="T5" s="20">
        <v>240501261.72</v>
      </c>
      <c r="U5" s="20">
        <v>92562331.390000001</v>
      </c>
      <c r="V5" s="21">
        <f t="shared" si="6"/>
        <v>38.487253966161852</v>
      </c>
      <c r="W5" s="20">
        <v>276753789.58999997</v>
      </c>
      <c r="X5" s="20">
        <v>92165552.659999996</v>
      </c>
      <c r="Y5" s="21">
        <f t="shared" si="7"/>
        <v>33.302363373791451</v>
      </c>
      <c r="Z5" s="14">
        <f t="shared" si="8"/>
        <v>15.073737081764847</v>
      </c>
      <c r="AA5" s="14">
        <f t="shared" si="8"/>
        <v>-0.4286611238520095</v>
      </c>
    </row>
    <row r="6" spans="1:27" x14ac:dyDescent="0.3">
      <c r="A6" t="s">
        <v>23</v>
      </c>
      <c r="B6" s="32">
        <v>1136091.8600000001</v>
      </c>
      <c r="C6" s="32">
        <v>1065143.97</v>
      </c>
      <c r="D6" s="21">
        <f t="shared" si="0"/>
        <v>93.755092127849579</v>
      </c>
      <c r="E6" s="32">
        <v>2689241.36</v>
      </c>
      <c r="F6" s="32">
        <v>2453795.08</v>
      </c>
      <c r="G6" s="21">
        <f t="shared" si="1"/>
        <v>91.244881047047414</v>
      </c>
      <c r="H6" s="27">
        <v>1868686.97</v>
      </c>
      <c r="I6" s="20">
        <v>1835256.78</v>
      </c>
      <c r="J6" s="21">
        <f t="shared" si="2"/>
        <v>98.211033172666689</v>
      </c>
      <c r="K6" s="20">
        <v>6346094.7999999998</v>
      </c>
      <c r="L6" s="20">
        <v>2055788.8</v>
      </c>
      <c r="M6" s="21">
        <f t="shared" si="3"/>
        <v>32.394549164314405</v>
      </c>
      <c r="N6" s="20">
        <v>1964766.24</v>
      </c>
      <c r="O6" s="20">
        <v>1964766.24</v>
      </c>
      <c r="P6" s="21">
        <f t="shared" si="4"/>
        <v>100</v>
      </c>
      <c r="Q6" s="20">
        <v>3311479.9</v>
      </c>
      <c r="R6" s="20">
        <v>2873488.5</v>
      </c>
      <c r="S6" s="21">
        <f t="shared" si="5"/>
        <v>86.773544963990261</v>
      </c>
      <c r="T6" s="20">
        <v>2964356.04</v>
      </c>
      <c r="U6" s="20">
        <v>2938228.98</v>
      </c>
      <c r="V6" s="21">
        <f t="shared" si="6"/>
        <v>99.118626114830661</v>
      </c>
      <c r="W6" s="20">
        <v>4827395.12</v>
      </c>
      <c r="X6" s="20">
        <v>4786265.92</v>
      </c>
      <c r="Y6" s="21">
        <f t="shared" si="7"/>
        <v>99.148004276061812</v>
      </c>
      <c r="Z6" s="14">
        <f t="shared" si="8"/>
        <v>62.848020104899405</v>
      </c>
      <c r="AA6" s="14">
        <f t="shared" si="8"/>
        <v>62.896287273022551</v>
      </c>
    </row>
    <row r="7" spans="1:27" x14ac:dyDescent="0.3">
      <c r="A7" t="s">
        <v>24</v>
      </c>
      <c r="B7" s="32">
        <v>249492651.22999999</v>
      </c>
      <c r="C7" s="32">
        <v>114814177.33</v>
      </c>
      <c r="D7" s="21">
        <f t="shared" si="0"/>
        <v>46.019061789581997</v>
      </c>
      <c r="E7" s="32">
        <v>291428696.12</v>
      </c>
      <c r="F7" s="32">
        <v>43004583.859999999</v>
      </c>
      <c r="G7" s="21">
        <f t="shared" si="1"/>
        <v>14.75646854017843</v>
      </c>
      <c r="H7" s="27">
        <v>268106606.31999999</v>
      </c>
      <c r="I7" s="20">
        <v>142948957.94</v>
      </c>
      <c r="J7" s="21">
        <f t="shared" si="2"/>
        <v>53.31795433991752</v>
      </c>
      <c r="K7" s="20">
        <v>232380243.33000001</v>
      </c>
      <c r="L7" s="20">
        <v>63538790.100000001</v>
      </c>
      <c r="M7" s="21">
        <f t="shared" si="3"/>
        <v>27.342595562123339</v>
      </c>
      <c r="N7" s="20">
        <v>649912611.95000005</v>
      </c>
      <c r="O7" s="20">
        <v>128769505.42</v>
      </c>
      <c r="P7" s="21">
        <f t="shared" si="4"/>
        <v>19.813356911729954</v>
      </c>
      <c r="Q7" s="20">
        <v>198645593</v>
      </c>
      <c r="R7" s="20">
        <v>12910904.199999999</v>
      </c>
      <c r="S7" s="21">
        <f t="shared" si="5"/>
        <v>6.4994667160826474</v>
      </c>
      <c r="T7" s="20">
        <v>247708089.59</v>
      </c>
      <c r="U7" s="20">
        <v>100441729.65000001</v>
      </c>
      <c r="V7" s="21">
        <f t="shared" si="6"/>
        <v>40.548425292144699</v>
      </c>
      <c r="W7" s="20">
        <v>348953529.31</v>
      </c>
      <c r="X7" s="20">
        <v>192049539.68000001</v>
      </c>
      <c r="Y7" s="21">
        <f t="shared" si="7"/>
        <v>55.035849632971868</v>
      </c>
      <c r="Z7" s="14">
        <f t="shared" si="8"/>
        <v>40.872883839836987</v>
      </c>
      <c r="AA7" s="14">
        <f t="shared" si="8"/>
        <v>91.204930808357489</v>
      </c>
    </row>
    <row r="8" spans="1:27" x14ac:dyDescent="0.3">
      <c r="A8" t="s">
        <v>25</v>
      </c>
      <c r="B8" s="32">
        <v>123827.29</v>
      </c>
      <c r="C8" s="32">
        <v>123827.29</v>
      </c>
      <c r="D8" s="21">
        <f t="shared" si="0"/>
        <v>100</v>
      </c>
      <c r="E8" s="32">
        <v>17961458.949999999</v>
      </c>
      <c r="F8" s="32">
        <v>17961458.949999999</v>
      </c>
      <c r="G8" s="21">
        <f t="shared" si="1"/>
        <v>100</v>
      </c>
      <c r="H8" s="27">
        <v>0</v>
      </c>
      <c r="I8" s="20">
        <v>0</v>
      </c>
      <c r="J8" s="21" t="str">
        <f t="shared" si="2"/>
        <v>-</v>
      </c>
      <c r="K8" s="20">
        <v>8029.73</v>
      </c>
      <c r="L8" s="20">
        <v>8029.73</v>
      </c>
      <c r="M8" s="21">
        <f t="shared" si="3"/>
        <v>100</v>
      </c>
      <c r="N8" s="20">
        <v>116197.04</v>
      </c>
      <c r="O8" s="20">
        <v>116197.04</v>
      </c>
      <c r="P8" s="21">
        <f t="shared" si="4"/>
        <v>100</v>
      </c>
      <c r="Q8" s="20">
        <v>6422.02</v>
      </c>
      <c r="R8" s="20">
        <v>6422.02</v>
      </c>
      <c r="S8" s="21">
        <f t="shared" si="5"/>
        <v>100</v>
      </c>
      <c r="T8" s="20">
        <v>1156371.43</v>
      </c>
      <c r="U8" s="20">
        <v>1156371.43</v>
      </c>
      <c r="V8" s="21">
        <f t="shared" si="6"/>
        <v>100</v>
      </c>
      <c r="W8" s="20">
        <v>1783227.27</v>
      </c>
      <c r="X8" s="20">
        <v>1783227.27</v>
      </c>
      <c r="Y8" s="21">
        <f t="shared" si="7"/>
        <v>100</v>
      </c>
      <c r="Z8" s="14">
        <f t="shared" si="8"/>
        <v>54.208866090716214</v>
      </c>
      <c r="AA8" s="14">
        <f t="shared" si="8"/>
        <v>54.208866090716214</v>
      </c>
    </row>
    <row r="9" spans="1:27" x14ac:dyDescent="0.3">
      <c r="A9" t="s">
        <v>26</v>
      </c>
      <c r="B9" s="32">
        <v>3408936.89</v>
      </c>
      <c r="C9" s="32">
        <v>3408936.89</v>
      </c>
      <c r="D9" s="21">
        <f t="shared" si="0"/>
        <v>100</v>
      </c>
      <c r="E9" s="32">
        <v>4710406.34</v>
      </c>
      <c r="F9" s="32">
        <v>4710406.34</v>
      </c>
      <c r="G9" s="21">
        <f t="shared" si="1"/>
        <v>100</v>
      </c>
      <c r="H9" s="27">
        <v>5192225.8499999996</v>
      </c>
      <c r="I9" s="20">
        <v>5186830.51</v>
      </c>
      <c r="J9" s="21">
        <f t="shared" si="2"/>
        <v>99.89608811026585</v>
      </c>
      <c r="K9" s="20">
        <v>6776950.3099999996</v>
      </c>
      <c r="L9" s="20">
        <v>6450949.8300000001</v>
      </c>
      <c r="M9" s="21">
        <f t="shared" si="3"/>
        <v>95.189569569088377</v>
      </c>
      <c r="N9" s="20">
        <v>5974252.7400000002</v>
      </c>
      <c r="O9" s="20">
        <v>3916372.47</v>
      </c>
      <c r="P9" s="21">
        <f t="shared" si="4"/>
        <v>65.554181258156817</v>
      </c>
      <c r="Q9" s="20">
        <v>9672790.0999999996</v>
      </c>
      <c r="R9" s="20">
        <v>5934516.7000000002</v>
      </c>
      <c r="S9" s="21">
        <f t="shared" si="5"/>
        <v>61.352687680052107</v>
      </c>
      <c r="T9" s="20">
        <v>35086075.969999999</v>
      </c>
      <c r="U9" s="20">
        <v>32981844.98</v>
      </c>
      <c r="V9" s="21">
        <f t="shared" si="6"/>
        <v>94.0026607939879</v>
      </c>
      <c r="W9" s="20">
        <v>11183584.640000001</v>
      </c>
      <c r="X9" s="20">
        <v>10519159.140000001</v>
      </c>
      <c r="Y9" s="21">
        <f t="shared" si="7"/>
        <v>94.058921880703892</v>
      </c>
      <c r="Z9" s="14">
        <f t="shared" si="8"/>
        <v>-68.125290928622476</v>
      </c>
      <c r="AA9" s="14">
        <f t="shared" si="8"/>
        <v>-68.106213747657961</v>
      </c>
    </row>
    <row r="10" spans="1:27" x14ac:dyDescent="0.3">
      <c r="A10" t="s">
        <v>27</v>
      </c>
      <c r="B10" s="32">
        <v>3751390.94</v>
      </c>
      <c r="C10" s="32">
        <v>3723623.55</v>
      </c>
      <c r="D10" s="21">
        <f t="shared" si="0"/>
        <v>99.259810815665077</v>
      </c>
      <c r="E10" s="32">
        <v>4967802.4800000004</v>
      </c>
      <c r="F10" s="32">
        <v>4694216.95</v>
      </c>
      <c r="G10" s="21">
        <f t="shared" si="1"/>
        <v>94.492825930551078</v>
      </c>
      <c r="H10" s="27">
        <v>4559028.17</v>
      </c>
      <c r="I10" s="20">
        <v>4383982.21</v>
      </c>
      <c r="J10" s="21">
        <f t="shared" si="2"/>
        <v>96.160454520727384</v>
      </c>
      <c r="K10" s="20">
        <v>5567276.5499999998</v>
      </c>
      <c r="L10" s="20">
        <v>5512169.7999999998</v>
      </c>
      <c r="M10" s="21">
        <f t="shared" si="3"/>
        <v>99.010166829237178</v>
      </c>
      <c r="N10" s="20">
        <v>4383134.34</v>
      </c>
      <c r="O10" s="20">
        <v>3958709.98</v>
      </c>
      <c r="P10" s="21">
        <f t="shared" si="4"/>
        <v>90.316875389222034</v>
      </c>
      <c r="Q10" s="20">
        <v>5565460.5999999996</v>
      </c>
      <c r="R10" s="20">
        <v>5419413.4000000004</v>
      </c>
      <c r="S10" s="21">
        <f t="shared" si="5"/>
        <v>97.375829055370559</v>
      </c>
      <c r="T10" s="20">
        <v>5318286.82</v>
      </c>
      <c r="U10" s="20">
        <v>4826062.4000000004</v>
      </c>
      <c r="V10" s="21">
        <f t="shared" si="6"/>
        <v>90.744680821859106</v>
      </c>
      <c r="W10" s="20">
        <v>5122799.8099999996</v>
      </c>
      <c r="X10" s="20">
        <v>4514224.57</v>
      </c>
      <c r="Y10" s="21">
        <f t="shared" si="7"/>
        <v>88.120261135092065</v>
      </c>
      <c r="Z10" s="14">
        <f t="shared" si="8"/>
        <v>-3.6757515458709378</v>
      </c>
      <c r="AA10" s="14">
        <f t="shared" si="8"/>
        <v>-6.4615374637509859</v>
      </c>
    </row>
    <row r="11" spans="1:27" x14ac:dyDescent="0.3">
      <c r="A11" t="s">
        <v>28</v>
      </c>
      <c r="B11" s="32">
        <v>0</v>
      </c>
      <c r="C11" s="32">
        <v>0</v>
      </c>
      <c r="D11" s="21" t="str">
        <f t="shared" si="0"/>
        <v>-</v>
      </c>
      <c r="E11" s="32">
        <v>0</v>
      </c>
      <c r="F11" s="32">
        <v>0</v>
      </c>
      <c r="G11" s="21" t="str">
        <f t="shared" si="1"/>
        <v>-</v>
      </c>
      <c r="H11" s="27">
        <v>35550000</v>
      </c>
      <c r="I11" s="20">
        <v>35550000</v>
      </c>
      <c r="J11" s="21">
        <f t="shared" si="2"/>
        <v>100</v>
      </c>
      <c r="K11" s="20">
        <v>1390000</v>
      </c>
      <c r="L11" s="20">
        <v>1390000</v>
      </c>
      <c r="M11" s="21">
        <f t="shared" si="3"/>
        <v>100</v>
      </c>
      <c r="N11" s="20">
        <v>572638.59</v>
      </c>
      <c r="O11" s="20">
        <v>572638.59</v>
      </c>
      <c r="P11" s="21">
        <f t="shared" si="4"/>
        <v>100</v>
      </c>
      <c r="Q11" s="20">
        <v>0</v>
      </c>
      <c r="R11" s="20">
        <v>0</v>
      </c>
      <c r="S11" s="21" t="str">
        <f t="shared" si="5"/>
        <v>-</v>
      </c>
      <c r="T11" s="20">
        <v>19516.46</v>
      </c>
      <c r="U11" s="20">
        <v>19516.46</v>
      </c>
      <c r="V11" s="21">
        <f t="shared" si="6"/>
        <v>100</v>
      </c>
      <c r="W11" s="20">
        <v>0</v>
      </c>
      <c r="X11" s="20">
        <v>0</v>
      </c>
      <c r="Y11" s="21" t="str">
        <f t="shared" si="7"/>
        <v>-</v>
      </c>
      <c r="Z11" s="14">
        <f t="shared" si="8"/>
        <v>-100</v>
      </c>
      <c r="AA11" s="14">
        <f t="shared" si="8"/>
        <v>-100</v>
      </c>
    </row>
    <row r="12" spans="1:27" x14ac:dyDescent="0.3">
      <c r="A12" t="s">
        <v>29</v>
      </c>
      <c r="B12" s="32">
        <v>0</v>
      </c>
      <c r="C12" s="32">
        <v>0</v>
      </c>
      <c r="D12" s="21" t="str">
        <f t="shared" si="0"/>
        <v>-</v>
      </c>
      <c r="E12" s="32">
        <v>0</v>
      </c>
      <c r="F12" s="32">
        <v>0</v>
      </c>
      <c r="G12" s="21" t="str">
        <f t="shared" si="1"/>
        <v>-</v>
      </c>
      <c r="H12" s="27">
        <v>0</v>
      </c>
      <c r="I12" s="20">
        <v>0</v>
      </c>
      <c r="J12" s="21" t="str">
        <f t="shared" si="2"/>
        <v>-</v>
      </c>
      <c r="K12" s="20">
        <v>0</v>
      </c>
      <c r="L12" s="20">
        <v>0</v>
      </c>
      <c r="M12" s="21" t="str">
        <f t="shared" si="3"/>
        <v>-</v>
      </c>
      <c r="N12" s="20">
        <v>0</v>
      </c>
      <c r="O12" s="20">
        <v>0</v>
      </c>
      <c r="P12" s="21" t="str">
        <f t="shared" si="4"/>
        <v>-</v>
      </c>
      <c r="Q12" s="20">
        <v>0</v>
      </c>
      <c r="R12" s="20">
        <v>0</v>
      </c>
      <c r="S12" s="21" t="str">
        <f t="shared" si="5"/>
        <v>-</v>
      </c>
      <c r="T12" s="20">
        <v>0</v>
      </c>
      <c r="U12" s="20">
        <v>0</v>
      </c>
      <c r="V12" s="21" t="str">
        <f t="shared" si="6"/>
        <v>-</v>
      </c>
      <c r="W12" s="1">
        <v>208137.12</v>
      </c>
      <c r="X12" s="1">
        <v>208137.12</v>
      </c>
      <c r="Y12" s="21">
        <f t="shared" si="7"/>
        <v>100</v>
      </c>
      <c r="Z12" s="14" t="str">
        <f t="shared" si="8"/>
        <v>-</v>
      </c>
      <c r="AA12" s="14" t="str">
        <f t="shared" si="8"/>
        <v>-</v>
      </c>
    </row>
    <row r="13" spans="1:27" x14ac:dyDescent="0.3">
      <c r="A13" t="s">
        <v>30</v>
      </c>
      <c r="B13" s="32">
        <v>17460992.02</v>
      </c>
      <c r="C13" s="32">
        <v>0</v>
      </c>
      <c r="D13" s="21">
        <f t="shared" si="0"/>
        <v>0</v>
      </c>
      <c r="E13" s="32">
        <v>0</v>
      </c>
      <c r="F13" s="32">
        <v>0</v>
      </c>
      <c r="G13" s="21" t="str">
        <f t="shared" si="1"/>
        <v>-</v>
      </c>
      <c r="H13" s="27">
        <v>278883.74</v>
      </c>
      <c r="I13" s="20">
        <v>154089.92000000001</v>
      </c>
      <c r="J13" s="21">
        <f t="shared" si="2"/>
        <v>55.252385814963624</v>
      </c>
      <c r="K13" s="20">
        <v>0</v>
      </c>
      <c r="L13" s="20">
        <v>0</v>
      </c>
      <c r="M13" s="21" t="str">
        <f t="shared" si="3"/>
        <v>-</v>
      </c>
      <c r="N13" s="20">
        <v>0</v>
      </c>
      <c r="O13" s="20">
        <v>0</v>
      </c>
      <c r="P13" s="21" t="str">
        <f t="shared" si="4"/>
        <v>-</v>
      </c>
      <c r="Q13" s="20">
        <v>0</v>
      </c>
      <c r="R13" s="20">
        <v>0</v>
      </c>
      <c r="S13" s="21" t="str">
        <f t="shared" si="5"/>
        <v>-</v>
      </c>
      <c r="T13" s="20">
        <v>0</v>
      </c>
      <c r="U13" s="20">
        <v>0</v>
      </c>
      <c r="V13" s="21" t="str">
        <f t="shared" si="6"/>
        <v>-</v>
      </c>
      <c r="W13" s="20">
        <v>0</v>
      </c>
      <c r="X13" s="20">
        <v>0</v>
      </c>
      <c r="Y13" s="21" t="str">
        <f t="shared" si="7"/>
        <v>-</v>
      </c>
      <c r="Z13" s="14" t="str">
        <f t="shared" si="8"/>
        <v>-</v>
      </c>
      <c r="AA13" s="14" t="str">
        <f t="shared" si="8"/>
        <v>-</v>
      </c>
    </row>
    <row r="14" spans="1:27" x14ac:dyDescent="0.3">
      <c r="A14" t="s">
        <v>31</v>
      </c>
      <c r="B14" s="32">
        <v>1337206008.26</v>
      </c>
      <c r="C14" s="32">
        <v>820307274.33999991</v>
      </c>
      <c r="D14" s="21">
        <f>IF(B14&gt;0,C14/B14*100,"-")</f>
        <v>61.344869023390089</v>
      </c>
      <c r="E14" s="32">
        <v>1284559706.1000001</v>
      </c>
      <c r="F14" s="32">
        <v>794918437.51999998</v>
      </c>
      <c r="G14" s="21">
        <f>IF(E14&gt;0,F14/E14*100,"-")</f>
        <v>61.882560518219876</v>
      </c>
      <c r="H14" s="27">
        <f>SUM(H3:H5)</f>
        <v>1379493418.77</v>
      </c>
      <c r="I14" s="20">
        <f>SUM(I3:I5)</f>
        <v>881060433.38</v>
      </c>
      <c r="J14" s="21">
        <f>IF(H14&gt;0,I14/H14*100,"-")</f>
        <v>63.868404255641998</v>
      </c>
      <c r="K14" s="20">
        <f t="shared" ref="K14:L14" si="9">SUM(K3:K5)</f>
        <v>1429272925.7</v>
      </c>
      <c r="L14" s="20">
        <f t="shared" si="9"/>
        <v>887149640.70000005</v>
      </c>
      <c r="M14" s="21">
        <f>IF(K14&gt;0,L14/K14*100,"-")</f>
        <v>62.069995502469197</v>
      </c>
      <c r="N14" s="20">
        <f>SUM(N3:N5)</f>
        <v>1472432186.1199999</v>
      </c>
      <c r="O14" s="20">
        <f>SUM(O3:O5)</f>
        <v>950191614.63</v>
      </c>
      <c r="P14" s="21">
        <f>IF(N14&gt;0,O14/N14*100,"-")</f>
        <v>64.532113844498753</v>
      </c>
      <c r="Q14" s="20">
        <f>SUM(Q3:Q5)</f>
        <v>1762244958.9000001</v>
      </c>
      <c r="R14" s="20">
        <f>SUM(R3:R5)</f>
        <v>1236604395.3300002</v>
      </c>
      <c r="S14" s="21">
        <f>IF(Q14&gt;0,R14/Q14*100,"-")</f>
        <v>70.172105704413156</v>
      </c>
      <c r="T14" s="20">
        <f>SUM(T3:T5)</f>
        <v>1570687129.27</v>
      </c>
      <c r="U14" s="20">
        <f>SUM(U3:U5)</f>
        <v>1001768503.0700001</v>
      </c>
      <c r="V14" s="21">
        <f>IF(T14&gt;0,U14/T14*100,"-")</f>
        <v>63.778997382857959</v>
      </c>
      <c r="W14" s="20">
        <f>SUM(W3:W5)</f>
        <v>1606751242.8199999</v>
      </c>
      <c r="X14" s="20">
        <f>SUM(X3:X5)</f>
        <v>1051210220.55</v>
      </c>
      <c r="Y14" s="21">
        <f>IF(W14&gt;0,X14/W14*100,"-")</f>
        <v>65.424578026467046</v>
      </c>
      <c r="Z14" s="14">
        <f t="shared" si="8"/>
        <v>2.2960723926452005</v>
      </c>
      <c r="AA14" s="14">
        <f t="shared" si="8"/>
        <v>4.9354434011931687</v>
      </c>
    </row>
    <row r="15" spans="1:27" x14ac:dyDescent="0.3">
      <c r="A15" t="s">
        <v>32</v>
      </c>
      <c r="B15" s="31">
        <v>257912898.20999998</v>
      </c>
      <c r="C15" s="31">
        <v>123135709.03</v>
      </c>
      <c r="D15" s="21">
        <f>IF(B15&gt;0,C15/B15*100,"-")</f>
        <v>47.74313727021881</v>
      </c>
      <c r="E15" s="31">
        <v>321757605.25</v>
      </c>
      <c r="F15" s="31">
        <v>72824461.180000007</v>
      </c>
      <c r="G15" s="21">
        <f>IF(E15&gt;0,F15/E15*100,"-")</f>
        <v>22.633330181400584</v>
      </c>
      <c r="H15" s="28">
        <f>SUM(H6:H10)</f>
        <v>279726547.31000006</v>
      </c>
      <c r="I15" s="22">
        <f>SUM(I6:I10)</f>
        <v>154355027.44</v>
      </c>
      <c r="J15" s="21">
        <f>IF(H15&gt;0,I15/H15*100,"-")</f>
        <v>55.180685896408619</v>
      </c>
      <c r="K15" s="22">
        <f t="shared" ref="K15:L15" si="10">SUM(K6:K10)</f>
        <v>251078594.72000003</v>
      </c>
      <c r="L15" s="22">
        <f t="shared" si="10"/>
        <v>77565728.25999999</v>
      </c>
      <c r="M15" s="21">
        <f>IF(K15&gt;0,L15/K15*100,"-")</f>
        <v>30.893007166341839</v>
      </c>
      <c r="N15" s="22">
        <f>SUM(N6:N10)</f>
        <v>662350962.31000006</v>
      </c>
      <c r="O15" s="22">
        <f>SUM(O6:O10)</f>
        <v>138725551.15000001</v>
      </c>
      <c r="P15" s="21">
        <f>IF(N15&gt;0,O15/N15*100,"-")</f>
        <v>20.944417543560885</v>
      </c>
      <c r="Q15" s="22">
        <f>SUM(Q6:Q10)</f>
        <v>217201745.62</v>
      </c>
      <c r="R15" s="22">
        <f>SUM(R6:R10)</f>
        <v>27144744.82</v>
      </c>
      <c r="S15" s="21">
        <f>IF(Q15&gt;0,R15/Q15*100,"-")</f>
        <v>12.49748004672597</v>
      </c>
      <c r="T15" s="22">
        <f>SUM(T6:T10)</f>
        <v>292233179.84999996</v>
      </c>
      <c r="U15" s="22">
        <f>SUM(U6:U10)</f>
        <v>142344237.44000003</v>
      </c>
      <c r="V15" s="21">
        <f>IF(T15&gt;0,U15/T15*100,"-")</f>
        <v>48.709129303203611</v>
      </c>
      <c r="W15" s="22">
        <f>SUM(W6:W10)</f>
        <v>371870536.14999998</v>
      </c>
      <c r="X15" s="22">
        <f>SUM(X6:X10)</f>
        <v>213652416.57999998</v>
      </c>
      <c r="Y15" s="21">
        <f>IF(W15&gt;0,X15/W15*100,"-")</f>
        <v>57.453440326829188</v>
      </c>
      <c r="Z15" s="14">
        <f t="shared" si="8"/>
        <v>27.251305392795231</v>
      </c>
      <c r="AA15" s="14">
        <f t="shared" si="8"/>
        <v>50.095585478166811</v>
      </c>
    </row>
    <row r="16" spans="1:27" x14ac:dyDescent="0.3">
      <c r="A16" t="s">
        <v>33</v>
      </c>
      <c r="B16" s="32">
        <v>17460992.02</v>
      </c>
      <c r="C16" s="32">
        <v>0</v>
      </c>
      <c r="D16" s="21">
        <f t="shared" si="0"/>
        <v>0</v>
      </c>
      <c r="E16" s="32">
        <v>0</v>
      </c>
      <c r="F16" s="32">
        <v>0</v>
      </c>
      <c r="G16" s="21" t="str">
        <f t="shared" si="1"/>
        <v>-</v>
      </c>
      <c r="H16" s="27">
        <f t="shared" ref="H16:I16" si="11">SUM(H11:H13)</f>
        <v>35828883.740000002</v>
      </c>
      <c r="I16" s="20">
        <f t="shared" si="11"/>
        <v>35704089.920000002</v>
      </c>
      <c r="J16" s="21">
        <f t="shared" si="2"/>
        <v>99.651694926066938</v>
      </c>
      <c r="K16" s="20">
        <f t="shared" ref="K16:L16" si="12">SUM(K11:K13)</f>
        <v>1390000</v>
      </c>
      <c r="L16" s="20">
        <f t="shared" si="12"/>
        <v>1390000</v>
      </c>
      <c r="M16" s="21">
        <f t="shared" ref="M16:M21" si="13">IF(K16&gt;0,L16/K16*100,"-")</f>
        <v>100</v>
      </c>
      <c r="N16" s="20">
        <f>SUM(N11:N13)</f>
        <v>572638.59</v>
      </c>
      <c r="O16" s="20">
        <f>SUM(O11:O13)</f>
        <v>572638.59</v>
      </c>
      <c r="P16" s="21">
        <f t="shared" ref="P16:P21" si="14">IF(N16&gt;0,O16/N16*100,"-")</f>
        <v>100</v>
      </c>
      <c r="Q16" s="20">
        <f>SUM(Q11:Q13)</f>
        <v>0</v>
      </c>
      <c r="R16" s="20">
        <f>SUM(R11:R13)</f>
        <v>0</v>
      </c>
      <c r="S16" s="21" t="str">
        <f t="shared" ref="S16:S21" si="15">IF(Q16&gt;0,R16/Q16*100,"-")</f>
        <v>-</v>
      </c>
      <c r="T16" s="20">
        <f>SUM(T11:T13)</f>
        <v>19516.46</v>
      </c>
      <c r="U16" s="20">
        <f>SUM(U11:U13)</f>
        <v>19516.46</v>
      </c>
      <c r="V16" s="21">
        <f t="shared" ref="V16:V21" si="16">IF(T16&gt;0,U16/T16*100,"-")</f>
        <v>100</v>
      </c>
      <c r="W16" s="20">
        <f>SUM(W11:W13)</f>
        <v>208137.12</v>
      </c>
      <c r="X16" s="20">
        <f>SUM(X11:X13)</f>
        <v>208137.12</v>
      </c>
      <c r="Y16" s="21">
        <f t="shared" ref="Y16:Y21" si="17">IF(W16&gt;0,X16/W16*100,"-")</f>
        <v>100</v>
      </c>
      <c r="Z16" s="14">
        <f t="shared" si="8"/>
        <v>966.4696363992241</v>
      </c>
      <c r="AA16" s="14">
        <f t="shared" si="8"/>
        <v>966.4696363992241</v>
      </c>
    </row>
    <row r="17" spans="1:27" x14ac:dyDescent="0.3">
      <c r="A17" t="s">
        <v>34</v>
      </c>
      <c r="B17" s="32">
        <v>17853246.530000001</v>
      </c>
      <c r="C17" s="32">
        <v>17460992.02</v>
      </c>
      <c r="D17" s="21">
        <f t="shared" si="0"/>
        <v>97.802895348244533</v>
      </c>
      <c r="E17" s="32">
        <v>6559852.7400000002</v>
      </c>
      <c r="F17" s="32">
        <v>1667004.19</v>
      </c>
      <c r="G17" s="21">
        <f t="shared" si="1"/>
        <v>25.412219695651277</v>
      </c>
      <c r="H17" s="27">
        <v>42769996.990000002</v>
      </c>
      <c r="I17" s="20">
        <v>40026173.079999998</v>
      </c>
      <c r="J17" s="21">
        <f t="shared" si="2"/>
        <v>93.584699314705276</v>
      </c>
      <c r="K17" s="20">
        <v>350050476</v>
      </c>
      <c r="L17" s="20">
        <v>237912403.90000001</v>
      </c>
      <c r="M17" s="21">
        <f t="shared" si="13"/>
        <v>67.965170800110556</v>
      </c>
      <c r="N17" s="20">
        <v>523157544.76999998</v>
      </c>
      <c r="O17" s="20">
        <v>486877777.63999999</v>
      </c>
      <c r="P17" s="21">
        <f t="shared" si="14"/>
        <v>93.065231020236936</v>
      </c>
      <c r="Q17" s="20">
        <v>50963007.399999999</v>
      </c>
      <c r="R17" s="20">
        <v>41574181.100000001</v>
      </c>
      <c r="S17" s="21">
        <f t="shared" si="15"/>
        <v>81.577173759961426</v>
      </c>
      <c r="T17" s="20">
        <v>43335480.799999997</v>
      </c>
      <c r="U17" s="20">
        <v>31651.81</v>
      </c>
      <c r="V17" s="21">
        <f t="shared" si="16"/>
        <v>7.3039018872498584E-2</v>
      </c>
      <c r="W17" s="1">
        <v>13327292.76</v>
      </c>
      <c r="X17" s="1">
        <v>0</v>
      </c>
      <c r="Y17" s="21">
        <f t="shared" si="17"/>
        <v>0</v>
      </c>
      <c r="Z17" s="14">
        <f t="shared" si="8"/>
        <v>-69.24623307744632</v>
      </c>
      <c r="AA17" s="14">
        <f t="shared" si="8"/>
        <v>-100</v>
      </c>
    </row>
    <row r="18" spans="1:27" x14ac:dyDescent="0.3">
      <c r="A18" t="s">
        <v>35</v>
      </c>
      <c r="B18" s="32">
        <v>131262704.41</v>
      </c>
      <c r="C18" s="32">
        <v>131262704.41</v>
      </c>
      <c r="D18" s="21">
        <f t="shared" si="0"/>
        <v>100</v>
      </c>
      <c r="E18" s="32">
        <v>408118642.26999998</v>
      </c>
      <c r="F18" s="32">
        <v>408118642.26999998</v>
      </c>
      <c r="G18" s="21">
        <f t="shared" si="1"/>
        <v>100</v>
      </c>
      <c r="H18" s="27">
        <v>250347262.09999999</v>
      </c>
      <c r="I18" s="20">
        <v>250347262.09999999</v>
      </c>
      <c r="J18" s="21">
        <f t="shared" si="2"/>
        <v>100</v>
      </c>
      <c r="K18" s="20">
        <v>0</v>
      </c>
      <c r="L18" s="20">
        <v>0</v>
      </c>
      <c r="M18" s="21" t="str">
        <f t="shared" si="13"/>
        <v>-</v>
      </c>
      <c r="N18" s="20">
        <v>273759990.27999997</v>
      </c>
      <c r="O18" s="20">
        <v>273759990.27999997</v>
      </c>
      <c r="P18" s="21">
        <f t="shared" si="14"/>
        <v>100</v>
      </c>
      <c r="Q18" s="20">
        <v>0</v>
      </c>
      <c r="R18" s="20">
        <v>0</v>
      </c>
      <c r="S18" s="21" t="str">
        <f t="shared" si="15"/>
        <v>-</v>
      </c>
      <c r="T18" s="20">
        <v>0</v>
      </c>
      <c r="U18" s="20">
        <v>0</v>
      </c>
      <c r="V18" s="21" t="str">
        <f t="shared" si="16"/>
        <v>-</v>
      </c>
      <c r="W18" s="20">
        <v>0</v>
      </c>
      <c r="X18" s="20">
        <v>0</v>
      </c>
      <c r="Y18" s="21" t="str">
        <f t="shared" si="17"/>
        <v>-</v>
      </c>
      <c r="Z18" s="14" t="str">
        <f t="shared" si="8"/>
        <v>-</v>
      </c>
      <c r="AA18" s="14" t="str">
        <f t="shared" si="8"/>
        <v>-</v>
      </c>
    </row>
    <row r="19" spans="1:27" x14ac:dyDescent="0.3">
      <c r="A19" t="s">
        <v>36</v>
      </c>
      <c r="B19" s="32">
        <v>2821504130.5799999</v>
      </c>
      <c r="C19" s="32">
        <v>2381617966.9899998</v>
      </c>
      <c r="D19" s="21">
        <f t="shared" si="0"/>
        <v>84.409515519668034</v>
      </c>
      <c r="E19" s="32">
        <v>1096570944.6099999</v>
      </c>
      <c r="F19" s="32">
        <v>653368431.16999996</v>
      </c>
      <c r="G19" s="21">
        <f t="shared" si="1"/>
        <v>59.582869159676044</v>
      </c>
      <c r="H19" s="27">
        <v>2110514884.7</v>
      </c>
      <c r="I19" s="20">
        <v>1651591034.3299999</v>
      </c>
      <c r="J19" s="21">
        <f t="shared" si="2"/>
        <v>78.255360637495144</v>
      </c>
      <c r="K19" s="20">
        <v>2394302056.1999998</v>
      </c>
      <c r="L19" s="20">
        <v>1949811701.0999999</v>
      </c>
      <c r="M19" s="21">
        <f t="shared" si="13"/>
        <v>81.435493740273884</v>
      </c>
      <c r="N19" s="20">
        <v>2539945474.5300002</v>
      </c>
      <c r="O19" s="20">
        <v>2214070058.1399999</v>
      </c>
      <c r="P19" s="21">
        <f t="shared" si="14"/>
        <v>87.169983778872208</v>
      </c>
      <c r="Q19" s="20">
        <v>1875742483.0999999</v>
      </c>
      <c r="R19" s="20">
        <v>1862914567.5</v>
      </c>
      <c r="S19" s="21">
        <f t="shared" si="15"/>
        <v>99.316115313505108</v>
      </c>
      <c r="T19" s="20">
        <v>161746497.65000001</v>
      </c>
      <c r="U19" s="20">
        <v>155547573.13</v>
      </c>
      <c r="V19" s="21">
        <f t="shared" si="16"/>
        <v>96.167506184020297</v>
      </c>
      <c r="W19" s="1">
        <v>174314554.31</v>
      </c>
      <c r="X19" s="1">
        <v>173491611.69999999</v>
      </c>
      <c r="Y19" s="21">
        <f t="shared" si="17"/>
        <v>99.527897935282851</v>
      </c>
      <c r="Z19" s="14">
        <f t="shared" si="8"/>
        <v>7.7702187327701893</v>
      </c>
      <c r="AA19" s="14">
        <f t="shared" si="8"/>
        <v>11.536045345434687</v>
      </c>
    </row>
    <row r="20" spans="1:27" x14ac:dyDescent="0.3">
      <c r="A20" t="s">
        <v>37</v>
      </c>
      <c r="B20" s="32">
        <v>4583199980.0100002</v>
      </c>
      <c r="C20" s="32">
        <v>3473784646.79</v>
      </c>
      <c r="D20" s="21">
        <f t="shared" si="0"/>
        <v>75.793870264033743</v>
      </c>
      <c r="E20" s="32">
        <v>3117566750.9700003</v>
      </c>
      <c r="F20" s="32">
        <v>1930896976.3299999</v>
      </c>
      <c r="G20" s="21">
        <f t="shared" si="1"/>
        <v>61.936026733965534</v>
      </c>
      <c r="H20" s="27">
        <f>H14+H15+H16+H17+H18+H19</f>
        <v>4098680993.6099997</v>
      </c>
      <c r="I20" s="20">
        <f>I14+I15+I16+I17+I18+I19</f>
        <v>3013084020.25</v>
      </c>
      <c r="J20" s="21">
        <f t="shared" si="2"/>
        <v>73.513504099184914</v>
      </c>
      <c r="K20" s="20">
        <f t="shared" ref="K20:L20" si="18">K14+K15+K16+K17+K18+K19</f>
        <v>4426094052.6199999</v>
      </c>
      <c r="L20" s="20">
        <f t="shared" si="18"/>
        <v>3153829473.96</v>
      </c>
      <c r="M20" s="21">
        <f t="shared" si="13"/>
        <v>71.255365034394373</v>
      </c>
      <c r="N20" s="20">
        <f t="shared" ref="N20:O20" si="19">N14+N15+N16+N17+N18+N19</f>
        <v>5472218796.6000004</v>
      </c>
      <c r="O20" s="20">
        <f t="shared" si="19"/>
        <v>4064197630.4299994</v>
      </c>
      <c r="P20" s="21">
        <f t="shared" si="14"/>
        <v>74.26964786121431</v>
      </c>
      <c r="Q20" s="20">
        <f t="shared" ref="Q20:R20" si="20">Q14+Q15+Q16+Q17+Q18+Q19</f>
        <v>3906152195.02</v>
      </c>
      <c r="R20" s="20">
        <f t="shared" si="20"/>
        <v>3168237888.75</v>
      </c>
      <c r="S20" s="21">
        <f t="shared" si="15"/>
        <v>81.108920763231509</v>
      </c>
      <c r="T20" s="20">
        <f t="shared" ref="T20:U20" si="21">T14+T15+T16+T17+T18+T19</f>
        <v>2068021804.03</v>
      </c>
      <c r="U20" s="20">
        <f t="shared" si="21"/>
        <v>1299711481.9099998</v>
      </c>
      <c r="V20" s="21">
        <f t="shared" si="16"/>
        <v>62.848055053250562</v>
      </c>
      <c r="W20" s="20">
        <f t="shared" ref="W20:X20" si="22">W14+W15+W16+W17+W18+W19</f>
        <v>2166471763.1599998</v>
      </c>
      <c r="X20" s="20">
        <f t="shared" si="22"/>
        <v>1438562385.9499998</v>
      </c>
      <c r="Y20" s="21">
        <f t="shared" si="17"/>
        <v>66.401160191062132</v>
      </c>
      <c r="Z20" s="14">
        <f t="shared" si="8"/>
        <v>4.7605861281611226</v>
      </c>
      <c r="AA20" s="14">
        <f t="shared" si="8"/>
        <v>10.68320977175263</v>
      </c>
    </row>
    <row r="21" spans="1:27" x14ac:dyDescent="0.3">
      <c r="A21" t="s">
        <v>38</v>
      </c>
      <c r="B21" s="32">
        <v>1761695849.4300003</v>
      </c>
      <c r="C21" s="32">
        <v>1092166679.8000002</v>
      </c>
      <c r="D21" s="21">
        <f t="shared" si="0"/>
        <v>61.995189473448129</v>
      </c>
      <c r="E21" s="32">
        <v>2020995806.3600004</v>
      </c>
      <c r="F21" s="32">
        <v>1277528545.1599998</v>
      </c>
      <c r="G21" s="21">
        <f t="shared" si="1"/>
        <v>63.212825139946546</v>
      </c>
      <c r="H21" s="27">
        <f t="shared" ref="H21:I21" si="23">H20-H19</f>
        <v>1988166108.9099996</v>
      </c>
      <c r="I21" s="20">
        <f t="shared" si="23"/>
        <v>1361492985.9200001</v>
      </c>
      <c r="J21" s="21">
        <f t="shared" si="2"/>
        <v>68.479840784854275</v>
      </c>
      <c r="K21" s="20">
        <f t="shared" ref="K21:L21" si="24">K20-K19</f>
        <v>2031791996.4200001</v>
      </c>
      <c r="L21" s="20">
        <f t="shared" si="24"/>
        <v>1204017772.8600001</v>
      </c>
      <c r="M21" s="21">
        <f t="shared" si="13"/>
        <v>59.258909129550119</v>
      </c>
      <c r="N21" s="20">
        <f t="shared" ref="N21:O21" si="25">N20-N19</f>
        <v>2932273322.0700002</v>
      </c>
      <c r="O21" s="20">
        <f t="shared" si="25"/>
        <v>1850127572.2899995</v>
      </c>
      <c r="P21" s="21">
        <f t="shared" si="14"/>
        <v>63.095331474213538</v>
      </c>
      <c r="Q21" s="20">
        <f t="shared" ref="Q21:R21" si="26">Q20-Q19</f>
        <v>2030409711.9200001</v>
      </c>
      <c r="R21" s="20">
        <f t="shared" si="26"/>
        <v>1305323321.25</v>
      </c>
      <c r="S21" s="21">
        <f t="shared" si="15"/>
        <v>64.288666153771374</v>
      </c>
      <c r="T21" s="20">
        <f t="shared" ref="T21:U21" si="27">T20-T19</f>
        <v>1906275306.3799999</v>
      </c>
      <c r="U21" s="20">
        <f t="shared" si="27"/>
        <v>1144163908.7799997</v>
      </c>
      <c r="V21" s="21">
        <f t="shared" si="16"/>
        <v>60.020916441117677</v>
      </c>
      <c r="W21" s="20">
        <f t="shared" ref="W21:X21" si="28">W20-W19</f>
        <v>1992157208.8499999</v>
      </c>
      <c r="X21" s="20">
        <f t="shared" si="28"/>
        <v>1265070774.2499998</v>
      </c>
      <c r="Y21" s="21">
        <f t="shared" si="17"/>
        <v>63.50255735993241</v>
      </c>
      <c r="Z21" s="14">
        <f t="shared" si="8"/>
        <v>4.5052203206203671</v>
      </c>
      <c r="AA21" s="14">
        <f t="shared" si="8"/>
        <v>10.567267901232853</v>
      </c>
    </row>
    <row r="22" spans="1:27" x14ac:dyDescent="0.3">
      <c r="B22" s="13" t="s">
        <v>75</v>
      </c>
      <c r="C22" s="13" t="s">
        <v>76</v>
      </c>
      <c r="D22" s="19"/>
      <c r="E22" s="13" t="s">
        <v>75</v>
      </c>
      <c r="F22" s="13" t="s">
        <v>76</v>
      </c>
      <c r="G22" s="114" t="s">
        <v>363</v>
      </c>
      <c r="H22" s="26" t="s">
        <v>75</v>
      </c>
      <c r="I22" s="18" t="s">
        <v>76</v>
      </c>
      <c r="J22" s="114" t="s">
        <v>363</v>
      </c>
      <c r="K22" s="107" t="s">
        <v>75</v>
      </c>
      <c r="L22" s="107" t="s">
        <v>76</v>
      </c>
      <c r="M22" s="114" t="s">
        <v>363</v>
      </c>
      <c r="N22" s="115" t="s">
        <v>75</v>
      </c>
      <c r="O22" s="115" t="s">
        <v>76</v>
      </c>
      <c r="P22" s="116" t="s">
        <v>363</v>
      </c>
      <c r="Q22" s="119" t="s">
        <v>75</v>
      </c>
      <c r="R22" s="119" t="s">
        <v>76</v>
      </c>
      <c r="S22" s="120" t="s">
        <v>363</v>
      </c>
      <c r="T22" s="136" t="s">
        <v>75</v>
      </c>
      <c r="U22" s="136" t="s">
        <v>76</v>
      </c>
      <c r="V22" s="137" t="s">
        <v>363</v>
      </c>
      <c r="W22" s="136" t="s">
        <v>75</v>
      </c>
      <c r="X22" s="136" t="s">
        <v>76</v>
      </c>
      <c r="Y22" s="104" t="s">
        <v>363</v>
      </c>
    </row>
    <row r="23" spans="1:27" x14ac:dyDescent="0.3">
      <c r="A23" s="5" t="s">
        <v>39</v>
      </c>
      <c r="B23" s="31">
        <v>333425880.81</v>
      </c>
      <c r="C23" s="31">
        <v>319090139.49000001</v>
      </c>
      <c r="D23" s="21">
        <f>IF(B23&gt;0,C23/B23*100,"-")</f>
        <v>95.700471335586244</v>
      </c>
      <c r="E23" s="41">
        <v>299001263.81999999</v>
      </c>
      <c r="F23" s="41">
        <v>291716299.93000001</v>
      </c>
      <c r="G23" s="21">
        <f>IF(E23&gt;0,F23/E23*100,"-")</f>
        <v>97.563567525792948</v>
      </c>
      <c r="H23" s="28">
        <v>281891800.48000002</v>
      </c>
      <c r="I23" s="22">
        <v>274792044.30000001</v>
      </c>
      <c r="J23" s="21">
        <f>IF(H23&gt;0,I23/H23*100,"-")</f>
        <v>97.481389608384958</v>
      </c>
      <c r="K23" s="22">
        <v>259403196.28</v>
      </c>
      <c r="L23" s="22">
        <v>247395100.06</v>
      </c>
      <c r="M23" s="21">
        <f>IF(K23&gt;0,L23/K23*100,"-")</f>
        <v>95.370875767067091</v>
      </c>
      <c r="N23" s="22">
        <v>228099358.46000001</v>
      </c>
      <c r="O23" s="22">
        <v>220178846.03999999</v>
      </c>
      <c r="P23" s="21">
        <f>IF(N23&gt;0,O23/N23*100,"-")</f>
        <v>96.527604253920344</v>
      </c>
      <c r="Q23" s="1">
        <v>208457622.08000001</v>
      </c>
      <c r="R23" s="1">
        <v>197709700.77000001</v>
      </c>
      <c r="S23" s="21">
        <f>IF(Q23&gt;0,R23/Q23*100,"-")</f>
        <v>94.844073724550469</v>
      </c>
      <c r="T23" s="1">
        <v>210358836.15000001</v>
      </c>
      <c r="U23" s="1">
        <v>191602750.66999999</v>
      </c>
      <c r="V23" s="21">
        <f>IF(T23&gt;0,U23/T23*100,"-")</f>
        <v>91.083766280858455</v>
      </c>
      <c r="W23" s="1">
        <v>220146362.53</v>
      </c>
      <c r="X23" s="1">
        <v>202371764.12</v>
      </c>
      <c r="Y23" s="21">
        <f>IF(W23&gt;0,X23/W23*100,"-")</f>
        <v>91.926008585502842</v>
      </c>
      <c r="Z23" s="14">
        <f t="shared" si="8"/>
        <v>4.6527764457780165</v>
      </c>
      <c r="AA23" s="14">
        <f t="shared" si="8"/>
        <v>5.6204900046281807</v>
      </c>
    </row>
    <row r="24" spans="1:27" x14ac:dyDescent="0.3">
      <c r="A24" s="5" t="s">
        <v>40</v>
      </c>
      <c r="B24" s="31">
        <v>20007479.75</v>
      </c>
      <c r="C24" s="31">
        <v>18925931.420000002</v>
      </c>
      <c r="D24" s="21">
        <f t="shared" ref="D24:D55" si="29">IF(B24&gt;0,C24/B24*100,"-")</f>
        <v>94.594280021700399</v>
      </c>
      <c r="E24" s="31">
        <v>18217020.129999999</v>
      </c>
      <c r="F24" s="31">
        <v>17608916.760000002</v>
      </c>
      <c r="G24" s="21">
        <f t="shared" ref="G24:G55" si="30">IF(E24&gt;0,F24/E24*100,"-")</f>
        <v>96.661894395129053</v>
      </c>
      <c r="H24" s="28">
        <v>17089221.960000001</v>
      </c>
      <c r="I24" s="22">
        <v>16667205.75</v>
      </c>
      <c r="J24" s="21">
        <f t="shared" ref="J24:J55" si="31">IF(H24&gt;0,I24/H24*100,"-")</f>
        <v>97.530512442358145</v>
      </c>
      <c r="K24" s="22">
        <v>16056627.460000001</v>
      </c>
      <c r="L24" s="22">
        <v>13552525.1</v>
      </c>
      <c r="M24" s="21">
        <f t="shared" ref="M24:M55" si="32">IF(K24&gt;0,L24/K24*100,"-")</f>
        <v>84.404555899187557</v>
      </c>
      <c r="N24" s="22">
        <v>14386924.27</v>
      </c>
      <c r="O24" s="22">
        <v>13626227.43</v>
      </c>
      <c r="P24" s="21">
        <f t="shared" ref="P24:P55" si="33">IF(N24&gt;0,O24/N24*100,"-")</f>
        <v>94.712581885301049</v>
      </c>
      <c r="Q24" s="1">
        <v>13266615.720000001</v>
      </c>
      <c r="R24" s="1">
        <v>11988543.16</v>
      </c>
      <c r="S24" s="21">
        <f t="shared" ref="S24:S55" si="34">IF(Q24&gt;0,R24/Q24*100,"-")</f>
        <v>90.3662502406454</v>
      </c>
      <c r="T24" s="1">
        <v>17182432.449999999</v>
      </c>
      <c r="U24" s="1">
        <v>12408481.880000001</v>
      </c>
      <c r="V24" s="21">
        <f t="shared" ref="V24:V55" si="35">IF(T24&gt;0,U24/T24*100,"-")</f>
        <v>72.216095806621382</v>
      </c>
      <c r="W24" s="1">
        <v>18144451.100000001</v>
      </c>
      <c r="X24" s="1">
        <v>14124049.699999999</v>
      </c>
      <c r="Y24" s="21">
        <f t="shared" ref="Y24:Y55" si="36">IF(W24&gt;0,X24/W24*100,"-")</f>
        <v>77.8422539329393</v>
      </c>
      <c r="Z24" s="14">
        <f t="shared" si="8"/>
        <v>5.5988501790967433</v>
      </c>
      <c r="AA24" s="14">
        <f t="shared" si="8"/>
        <v>13.825767217866925</v>
      </c>
    </row>
    <row r="25" spans="1:27" x14ac:dyDescent="0.3">
      <c r="A25" s="5" t="s">
        <v>41</v>
      </c>
      <c r="B25" s="31">
        <v>602555641.12</v>
      </c>
      <c r="C25" s="31">
        <v>154599371.38</v>
      </c>
      <c r="D25" s="21">
        <f t="shared" si="29"/>
        <v>25.657277242088135</v>
      </c>
      <c r="E25" s="31">
        <v>562800197.28999996</v>
      </c>
      <c r="F25" s="31">
        <v>152717665.02000001</v>
      </c>
      <c r="G25" s="21">
        <f t="shared" si="30"/>
        <v>27.135325423723611</v>
      </c>
      <c r="H25" s="28">
        <v>559870350.44000006</v>
      </c>
      <c r="I25" s="22">
        <v>193418967.16</v>
      </c>
      <c r="J25" s="21">
        <f t="shared" si="31"/>
        <v>34.547099521879083</v>
      </c>
      <c r="K25" s="22">
        <v>566394462.28999996</v>
      </c>
      <c r="L25" s="22">
        <v>157831119.88999999</v>
      </c>
      <c r="M25" s="21">
        <f t="shared" si="32"/>
        <v>27.865936268492113</v>
      </c>
      <c r="N25" s="22">
        <v>576435224.71000004</v>
      </c>
      <c r="O25" s="22">
        <v>221051574.36000001</v>
      </c>
      <c r="P25" s="21">
        <f t="shared" si="33"/>
        <v>38.348033722472337</v>
      </c>
      <c r="Q25" s="1">
        <v>587726647.85000002</v>
      </c>
      <c r="R25" s="1">
        <v>215025809.49000001</v>
      </c>
      <c r="S25" s="21">
        <f t="shared" si="34"/>
        <v>36.586023498611048</v>
      </c>
      <c r="T25" s="1">
        <v>650978126.73000002</v>
      </c>
      <c r="U25" s="1">
        <v>274512838.00999999</v>
      </c>
      <c r="V25" s="21">
        <f t="shared" si="35"/>
        <v>42.169287528743197</v>
      </c>
      <c r="W25" s="1">
        <v>678742445.89999998</v>
      </c>
      <c r="X25" s="1">
        <v>407937369.97000003</v>
      </c>
      <c r="Y25" s="21">
        <f t="shared" si="36"/>
        <v>60.101938877431273</v>
      </c>
      <c r="Z25" s="14">
        <f t="shared" si="8"/>
        <v>4.2650156787088918</v>
      </c>
      <c r="AA25" s="14">
        <f t="shared" si="8"/>
        <v>48.604113719133125</v>
      </c>
    </row>
    <row r="26" spans="1:27" x14ac:dyDescent="0.3">
      <c r="A26" s="5" t="s">
        <v>42</v>
      </c>
      <c r="B26" s="31">
        <v>100848731.27</v>
      </c>
      <c r="C26" s="31">
        <v>16100994.560000001</v>
      </c>
      <c r="D26" s="21">
        <f t="shared" si="29"/>
        <v>15.965490450140793</v>
      </c>
      <c r="E26" s="31">
        <v>19300514.780000001</v>
      </c>
      <c r="F26" s="31">
        <v>11859133.109999999</v>
      </c>
      <c r="G26" s="21">
        <f t="shared" si="30"/>
        <v>61.44464665931568</v>
      </c>
      <c r="H26" s="28">
        <v>72921125.079999998</v>
      </c>
      <c r="I26" s="22">
        <v>60206307.609999999</v>
      </c>
      <c r="J26" s="21">
        <f t="shared" si="31"/>
        <v>82.56360217145459</v>
      </c>
      <c r="K26" s="22">
        <v>74421850.030000001</v>
      </c>
      <c r="L26" s="22">
        <v>26413381.649999999</v>
      </c>
      <c r="M26" s="21">
        <f t="shared" si="32"/>
        <v>35.491433818633325</v>
      </c>
      <c r="N26" s="22">
        <v>89458961.549999997</v>
      </c>
      <c r="O26" s="22">
        <v>52913234.039999999</v>
      </c>
      <c r="P26" s="21">
        <f t="shared" si="33"/>
        <v>59.148053054948527</v>
      </c>
      <c r="Q26" s="1">
        <v>89595485.400000006</v>
      </c>
      <c r="R26" s="1">
        <v>36507057.219999999</v>
      </c>
      <c r="S26" s="21">
        <f t="shared" si="34"/>
        <v>40.746536566004252</v>
      </c>
      <c r="T26" s="1">
        <v>87639193.109999999</v>
      </c>
      <c r="U26" s="1">
        <v>60790110.109999999</v>
      </c>
      <c r="V26" s="21">
        <f t="shared" si="35"/>
        <v>69.364068692074241</v>
      </c>
      <c r="W26" s="1">
        <v>81121093.150000006</v>
      </c>
      <c r="X26" s="1">
        <v>65033470.590000004</v>
      </c>
      <c r="Y26" s="21">
        <f t="shared" si="36"/>
        <v>80.168385391142877</v>
      </c>
      <c r="Z26" s="14">
        <f t="shared" si="8"/>
        <v>-7.4374258008272847</v>
      </c>
      <c r="AA26" s="14">
        <f t="shared" si="8"/>
        <v>6.9803467575920308</v>
      </c>
    </row>
    <row r="27" spans="1:27" x14ac:dyDescent="0.3">
      <c r="A27" s="5" t="s">
        <v>43</v>
      </c>
      <c r="B27" s="31">
        <v>106517698.95</v>
      </c>
      <c r="C27" s="31">
        <v>103652907.43000001</v>
      </c>
      <c r="D27" s="21">
        <f t="shared" si="29"/>
        <v>97.310501871294889</v>
      </c>
      <c r="E27" s="31">
        <v>91529831.709999993</v>
      </c>
      <c r="F27" s="31">
        <v>74555009.790000007</v>
      </c>
      <c r="G27" s="21">
        <f t="shared" si="30"/>
        <v>81.454328492832332</v>
      </c>
      <c r="H27" s="28">
        <v>86884949.659999996</v>
      </c>
      <c r="I27" s="22">
        <v>86007489.109999999</v>
      </c>
      <c r="J27" s="21">
        <f t="shared" si="31"/>
        <v>98.99008913116289</v>
      </c>
      <c r="K27" s="22">
        <v>85615163.629999995</v>
      </c>
      <c r="L27" s="22">
        <v>85303597.109999999</v>
      </c>
      <c r="M27" s="21">
        <f t="shared" si="32"/>
        <v>99.63608488638009</v>
      </c>
      <c r="N27" s="22">
        <v>87529721.799999997</v>
      </c>
      <c r="O27" s="22">
        <v>86652094.019999996</v>
      </c>
      <c r="P27" s="21">
        <f t="shared" si="33"/>
        <v>98.997337404995605</v>
      </c>
      <c r="Q27" s="1">
        <v>92989995.920000002</v>
      </c>
      <c r="R27" s="1">
        <v>92578129.200000003</v>
      </c>
      <c r="S27" s="21">
        <f t="shared" si="34"/>
        <v>99.557084914430646</v>
      </c>
      <c r="T27" s="1">
        <v>105433144.59999999</v>
      </c>
      <c r="U27" s="1">
        <v>105176844.87</v>
      </c>
      <c r="V27" s="21">
        <f t="shared" si="35"/>
        <v>99.756907819668712</v>
      </c>
      <c r="W27" s="1">
        <v>105813094.26000001</v>
      </c>
      <c r="X27" s="1">
        <v>105696967.12</v>
      </c>
      <c r="Y27" s="21">
        <f t="shared" si="36"/>
        <v>99.890252580919096</v>
      </c>
      <c r="Z27" s="14">
        <f t="shared" si="8"/>
        <v>0.36037022460205037</v>
      </c>
      <c r="AA27" s="14">
        <f t="shared" si="8"/>
        <v>0.49452163224982826</v>
      </c>
    </row>
    <row r="28" spans="1:27" x14ac:dyDescent="0.3">
      <c r="A28" s="5" t="s">
        <v>44</v>
      </c>
      <c r="B28" s="31">
        <v>0</v>
      </c>
      <c r="C28" s="31">
        <v>0</v>
      </c>
      <c r="D28" s="21" t="str">
        <f t="shared" si="29"/>
        <v>-</v>
      </c>
      <c r="E28" s="31">
        <v>0</v>
      </c>
      <c r="F28" s="31">
        <v>0</v>
      </c>
      <c r="G28" s="21" t="str">
        <f t="shared" si="30"/>
        <v>-</v>
      </c>
      <c r="H28" s="28">
        <v>0</v>
      </c>
      <c r="I28" s="22">
        <v>0</v>
      </c>
      <c r="J28" s="21" t="str">
        <f t="shared" si="31"/>
        <v>-</v>
      </c>
      <c r="K28" s="22">
        <v>0</v>
      </c>
      <c r="L28" s="22">
        <v>0</v>
      </c>
      <c r="M28" s="21" t="str">
        <f t="shared" si="32"/>
        <v>-</v>
      </c>
      <c r="N28" s="22">
        <v>0</v>
      </c>
      <c r="O28" s="22">
        <v>0</v>
      </c>
      <c r="P28" s="21" t="str">
        <f t="shared" si="33"/>
        <v>-</v>
      </c>
      <c r="Q28" s="20">
        <v>0</v>
      </c>
      <c r="R28" s="20">
        <v>0</v>
      </c>
      <c r="S28" s="21" t="str">
        <f t="shared" si="34"/>
        <v>-</v>
      </c>
      <c r="T28" s="20">
        <v>0</v>
      </c>
      <c r="U28" s="20">
        <v>0</v>
      </c>
      <c r="V28" s="21" t="str">
        <f t="shared" si="35"/>
        <v>-</v>
      </c>
      <c r="W28" s="20">
        <v>0</v>
      </c>
      <c r="X28" s="20">
        <v>0</v>
      </c>
      <c r="Y28" s="21" t="str">
        <f t="shared" si="36"/>
        <v>-</v>
      </c>
      <c r="Z28" s="14" t="str">
        <f t="shared" si="8"/>
        <v>-</v>
      </c>
      <c r="AA28" s="14" t="str">
        <f t="shared" si="8"/>
        <v>-</v>
      </c>
    </row>
    <row r="29" spans="1:27" x14ac:dyDescent="0.3">
      <c r="A29" s="5" t="s">
        <v>45</v>
      </c>
      <c r="B29" s="31">
        <v>2055745.03</v>
      </c>
      <c r="C29" s="31">
        <v>219752.86</v>
      </c>
      <c r="D29" s="21">
        <f t="shared" si="29"/>
        <v>10.689694334321215</v>
      </c>
      <c r="E29" s="31">
        <v>567123.05000000005</v>
      </c>
      <c r="F29" s="31">
        <v>178519.15</v>
      </c>
      <c r="G29" s="21">
        <f t="shared" si="30"/>
        <v>31.478027563859374</v>
      </c>
      <c r="H29" s="28">
        <v>720452.93</v>
      </c>
      <c r="I29" s="22">
        <v>164465.98000000001</v>
      </c>
      <c r="J29" s="21">
        <f t="shared" si="31"/>
        <v>22.828136738926162</v>
      </c>
      <c r="K29" s="22">
        <v>731520.28</v>
      </c>
      <c r="L29" s="22">
        <v>127732.03</v>
      </c>
      <c r="M29" s="21">
        <f t="shared" si="32"/>
        <v>17.461174145438591</v>
      </c>
      <c r="N29" s="22">
        <v>923298.6</v>
      </c>
      <c r="O29" s="22">
        <v>164797.03</v>
      </c>
      <c r="P29" s="21">
        <f t="shared" si="33"/>
        <v>17.848725211973679</v>
      </c>
      <c r="Q29" s="1">
        <v>2733958.21</v>
      </c>
      <c r="R29" s="1">
        <v>1268098.8899999999</v>
      </c>
      <c r="S29" s="21">
        <f t="shared" si="34"/>
        <v>46.383257994276363</v>
      </c>
      <c r="T29" s="1">
        <v>1660520.02</v>
      </c>
      <c r="U29" s="1">
        <v>693213.95</v>
      </c>
      <c r="V29" s="21">
        <f t="shared" si="35"/>
        <v>41.746798692616785</v>
      </c>
      <c r="W29" s="1">
        <v>1067488.8600000001</v>
      </c>
      <c r="X29" s="1">
        <v>672076.83</v>
      </c>
      <c r="Y29" s="21">
        <f t="shared" si="36"/>
        <v>62.958673873186818</v>
      </c>
      <c r="Z29" s="14">
        <f t="shared" si="8"/>
        <v>-35.713580857640011</v>
      </c>
      <c r="AA29" s="14">
        <f t="shared" si="8"/>
        <v>-3.0491481021119142</v>
      </c>
    </row>
    <row r="30" spans="1:27" x14ac:dyDescent="0.3">
      <c r="A30" s="5" t="s">
        <v>46</v>
      </c>
      <c r="B30" s="31">
        <v>104682180.73</v>
      </c>
      <c r="C30" s="31">
        <v>57054351.600000001</v>
      </c>
      <c r="D30" s="21">
        <f t="shared" si="29"/>
        <v>54.502448460790674</v>
      </c>
      <c r="E30" s="31">
        <v>135665069.27000001</v>
      </c>
      <c r="F30" s="31">
        <v>48856563.479999997</v>
      </c>
      <c r="G30" s="21">
        <f t="shared" si="30"/>
        <v>36.012632981276766</v>
      </c>
      <c r="H30" s="28">
        <v>71637438.709999993</v>
      </c>
      <c r="I30" s="22">
        <v>21833466.739999998</v>
      </c>
      <c r="J30" s="21">
        <f t="shared" si="31"/>
        <v>30.477732220976556</v>
      </c>
      <c r="K30" s="22">
        <v>164253862.81999999</v>
      </c>
      <c r="L30" s="22">
        <v>32497032.649999999</v>
      </c>
      <c r="M30" s="21">
        <f t="shared" si="32"/>
        <v>19.784638298346959</v>
      </c>
      <c r="N30" s="22">
        <v>80335929.030000001</v>
      </c>
      <c r="O30" s="22">
        <v>27277197.91</v>
      </c>
      <c r="P30" s="21">
        <f t="shared" si="33"/>
        <v>33.953921040502095</v>
      </c>
      <c r="Q30" s="1">
        <v>77772935</v>
      </c>
      <c r="R30" s="1">
        <v>16871231.100000001</v>
      </c>
      <c r="S30" s="21">
        <f t="shared" si="34"/>
        <v>21.692933537868928</v>
      </c>
      <c r="T30" s="1">
        <v>52858426.469999999</v>
      </c>
      <c r="U30" s="1">
        <v>12494187.310000001</v>
      </c>
      <c r="V30" s="21">
        <f t="shared" si="35"/>
        <v>23.637077651358247</v>
      </c>
      <c r="W30" s="1">
        <v>51813146.159999996</v>
      </c>
      <c r="X30" s="1">
        <v>23832047.170000002</v>
      </c>
      <c r="Y30" s="21">
        <f t="shared" si="36"/>
        <v>45.996139853013709</v>
      </c>
      <c r="Z30" s="14">
        <f t="shared" si="8"/>
        <v>-1.9775093202845397</v>
      </c>
      <c r="AA30" s="14">
        <f t="shared" si="8"/>
        <v>90.745076719999958</v>
      </c>
    </row>
    <row r="31" spans="1:27" x14ac:dyDescent="0.3">
      <c r="A31" s="5" t="s">
        <v>47</v>
      </c>
      <c r="B31" s="32">
        <v>0</v>
      </c>
      <c r="C31" s="32">
        <v>0</v>
      </c>
      <c r="D31" s="21" t="str">
        <f t="shared" si="29"/>
        <v>-</v>
      </c>
      <c r="E31" s="32">
        <v>0</v>
      </c>
      <c r="F31" s="32">
        <v>0</v>
      </c>
      <c r="G31" s="21" t="str">
        <f t="shared" si="30"/>
        <v>-</v>
      </c>
      <c r="H31" s="27">
        <v>0</v>
      </c>
      <c r="I31" s="20">
        <v>0</v>
      </c>
      <c r="J31" s="21" t="str">
        <f t="shared" si="31"/>
        <v>-</v>
      </c>
      <c r="K31" s="20">
        <v>0</v>
      </c>
      <c r="L31" s="20">
        <v>0</v>
      </c>
      <c r="M31" s="21" t="str">
        <f t="shared" si="32"/>
        <v>-</v>
      </c>
      <c r="N31" s="20">
        <v>0</v>
      </c>
      <c r="O31" s="20">
        <v>0</v>
      </c>
      <c r="P31" s="21" t="str">
        <f t="shared" si="33"/>
        <v>-</v>
      </c>
      <c r="Q31" s="20">
        <v>0</v>
      </c>
      <c r="R31" s="20">
        <v>0</v>
      </c>
      <c r="S31" s="21" t="str">
        <f t="shared" si="34"/>
        <v>-</v>
      </c>
      <c r="T31" s="20">
        <v>0</v>
      </c>
      <c r="U31" s="20">
        <v>0</v>
      </c>
      <c r="V31" s="21" t="str">
        <f t="shared" si="35"/>
        <v>-</v>
      </c>
      <c r="W31" s="20">
        <v>0</v>
      </c>
      <c r="X31" s="20">
        <v>0</v>
      </c>
      <c r="Y31" s="21" t="str">
        <f t="shared" si="36"/>
        <v>-</v>
      </c>
      <c r="Z31" s="14" t="str">
        <f t="shared" si="8"/>
        <v>-</v>
      </c>
      <c r="AA31" s="14" t="str">
        <f t="shared" si="8"/>
        <v>-</v>
      </c>
    </row>
    <row r="32" spans="1:27" x14ac:dyDescent="0.3">
      <c r="A32" s="5" t="s">
        <v>48</v>
      </c>
      <c r="B32" s="31">
        <v>183142253.41</v>
      </c>
      <c r="C32" s="31">
        <v>79487835.469999999</v>
      </c>
      <c r="D32" s="21">
        <f t="shared" si="29"/>
        <v>43.402237326440904</v>
      </c>
      <c r="E32" s="31">
        <v>237964957.61000001</v>
      </c>
      <c r="F32" s="31">
        <v>46236552.18</v>
      </c>
      <c r="G32" s="21">
        <f t="shared" si="30"/>
        <v>19.429983575891427</v>
      </c>
      <c r="H32" s="28">
        <v>279275501.07999998</v>
      </c>
      <c r="I32" s="22">
        <v>149221194.34</v>
      </c>
      <c r="J32" s="21">
        <f t="shared" si="31"/>
        <v>53.431537590278921</v>
      </c>
      <c r="K32" s="22">
        <v>274572338.83999997</v>
      </c>
      <c r="L32" s="22">
        <v>106990887.28</v>
      </c>
      <c r="M32" s="21">
        <f t="shared" si="32"/>
        <v>38.966375029622419</v>
      </c>
      <c r="N32" s="22">
        <v>258963635.09</v>
      </c>
      <c r="O32" s="22">
        <v>144028692</v>
      </c>
      <c r="P32" s="21">
        <f t="shared" si="33"/>
        <v>55.617342546934978</v>
      </c>
      <c r="Q32" s="1">
        <v>141168534.84</v>
      </c>
      <c r="R32" s="1">
        <v>69838052.629999995</v>
      </c>
      <c r="S32" s="21">
        <f t="shared" si="34"/>
        <v>49.471401477074359</v>
      </c>
      <c r="T32" s="1">
        <v>214262697.5</v>
      </c>
      <c r="U32" s="1">
        <v>84051570.299999997</v>
      </c>
      <c r="V32" s="21">
        <f t="shared" si="35"/>
        <v>39.228279714904637</v>
      </c>
      <c r="W32" s="1">
        <v>270798885.26999998</v>
      </c>
      <c r="X32" s="1">
        <v>193506493.94999999</v>
      </c>
      <c r="Y32" s="21">
        <f t="shared" si="36"/>
        <v>71.457640513203884</v>
      </c>
      <c r="Z32" s="14">
        <f t="shared" si="8"/>
        <v>26.386388498632613</v>
      </c>
      <c r="AA32" s="14">
        <f t="shared" si="8"/>
        <v>130.2235321235872</v>
      </c>
    </row>
    <row r="33" spans="1:27" x14ac:dyDescent="0.3">
      <c r="A33" s="5" t="s">
        <v>49</v>
      </c>
      <c r="B33" s="31">
        <v>125000</v>
      </c>
      <c r="C33" s="31">
        <v>0</v>
      </c>
      <c r="D33" s="21">
        <f t="shared" si="29"/>
        <v>0</v>
      </c>
      <c r="E33" s="31">
        <v>0</v>
      </c>
      <c r="F33" s="31">
        <v>0</v>
      </c>
      <c r="G33" s="21" t="str">
        <f t="shared" si="30"/>
        <v>-</v>
      </c>
      <c r="H33" s="28">
        <v>1202869.3999999999</v>
      </c>
      <c r="I33" s="22">
        <v>0</v>
      </c>
      <c r="J33" s="21">
        <f t="shared" si="31"/>
        <v>0</v>
      </c>
      <c r="K33" s="22">
        <v>9791090.25</v>
      </c>
      <c r="L33" s="22">
        <v>4283575.4000000004</v>
      </c>
      <c r="M33" s="21">
        <f t="shared" si="32"/>
        <v>43.749728484016373</v>
      </c>
      <c r="N33" s="22">
        <v>0</v>
      </c>
      <c r="O33" s="22">
        <v>0</v>
      </c>
      <c r="P33" s="21" t="str">
        <f t="shared" si="33"/>
        <v>-</v>
      </c>
      <c r="Q33" s="20">
        <v>0</v>
      </c>
      <c r="R33" s="20">
        <v>0</v>
      </c>
      <c r="S33" s="21" t="str">
        <f t="shared" si="34"/>
        <v>-</v>
      </c>
      <c r="T33" s="20">
        <v>791991.5</v>
      </c>
      <c r="U33" s="20">
        <v>0</v>
      </c>
      <c r="V33" s="21">
        <f t="shared" si="35"/>
        <v>0</v>
      </c>
      <c r="W33" s="1">
        <v>15488413.68</v>
      </c>
      <c r="X33" s="1">
        <v>15488413.68</v>
      </c>
      <c r="Y33" s="21">
        <f t="shared" si="36"/>
        <v>100</v>
      </c>
      <c r="Z33" s="14">
        <f t="shared" si="8"/>
        <v>1855.6287763189378</v>
      </c>
      <c r="AA33" s="14" t="str">
        <f t="shared" si="8"/>
        <v>-</v>
      </c>
    </row>
    <row r="34" spans="1:27" x14ac:dyDescent="0.3">
      <c r="A34" s="5" t="s">
        <v>50</v>
      </c>
      <c r="B34" s="31">
        <v>328310.90000000002</v>
      </c>
      <c r="C34" s="31">
        <v>0</v>
      </c>
      <c r="D34" s="21">
        <f t="shared" si="29"/>
        <v>0</v>
      </c>
      <c r="E34" s="31">
        <v>0</v>
      </c>
      <c r="F34" s="31">
        <v>0</v>
      </c>
      <c r="G34" s="21" t="str">
        <f t="shared" si="30"/>
        <v>-</v>
      </c>
      <c r="H34" s="28">
        <v>0</v>
      </c>
      <c r="I34" s="22">
        <v>0</v>
      </c>
      <c r="J34" s="21" t="str">
        <f t="shared" si="31"/>
        <v>-</v>
      </c>
      <c r="K34" s="22">
        <v>4118309.22</v>
      </c>
      <c r="L34" s="22">
        <v>525348.17000000004</v>
      </c>
      <c r="M34" s="21">
        <f t="shared" si="32"/>
        <v>12.756404192495289</v>
      </c>
      <c r="N34" s="22">
        <v>370030.95</v>
      </c>
      <c r="O34" s="22">
        <v>162362.04</v>
      </c>
      <c r="P34" s="21">
        <f t="shared" si="33"/>
        <v>43.877962100197294</v>
      </c>
      <c r="Q34" s="1">
        <v>1063912.02</v>
      </c>
      <c r="R34" s="1">
        <v>550658.86</v>
      </c>
      <c r="S34" s="21">
        <f t="shared" si="34"/>
        <v>51.757932013964833</v>
      </c>
      <c r="T34" s="1">
        <v>2134555.65</v>
      </c>
      <c r="U34" s="1">
        <v>379380.9</v>
      </c>
      <c r="V34" s="21">
        <f t="shared" si="35"/>
        <v>17.77329628299923</v>
      </c>
      <c r="W34" s="1">
        <v>1965102.28</v>
      </c>
      <c r="X34" s="1">
        <v>1252368.83</v>
      </c>
      <c r="Y34" s="21">
        <f t="shared" si="36"/>
        <v>63.730465469715917</v>
      </c>
      <c r="Z34" s="14">
        <f t="shared" si="8"/>
        <v>-7.9385782235286229</v>
      </c>
      <c r="AA34" s="14">
        <f t="shared" si="8"/>
        <v>230.10856107937963</v>
      </c>
    </row>
    <row r="35" spans="1:27" x14ac:dyDescent="0.3">
      <c r="A35" s="5" t="s">
        <v>51</v>
      </c>
      <c r="B35" s="31">
        <v>28510.55</v>
      </c>
      <c r="C35" s="31">
        <v>4067.44</v>
      </c>
      <c r="D35" s="21">
        <f t="shared" si="29"/>
        <v>14.266438213222827</v>
      </c>
      <c r="E35" s="31">
        <v>850452.33</v>
      </c>
      <c r="F35" s="31">
        <v>0</v>
      </c>
      <c r="G35" s="21">
        <f t="shared" si="30"/>
        <v>0</v>
      </c>
      <c r="H35" s="28">
        <v>0</v>
      </c>
      <c r="I35" s="22">
        <v>0</v>
      </c>
      <c r="J35" s="21" t="str">
        <f t="shared" si="31"/>
        <v>-</v>
      </c>
      <c r="K35" s="22">
        <v>0</v>
      </c>
      <c r="L35" s="22">
        <v>0</v>
      </c>
      <c r="M35" s="21" t="str">
        <f t="shared" si="32"/>
        <v>-</v>
      </c>
      <c r="N35" s="22">
        <v>0</v>
      </c>
      <c r="O35" s="22">
        <v>0</v>
      </c>
      <c r="P35" s="21" t="str">
        <f t="shared" si="33"/>
        <v>-</v>
      </c>
      <c r="Q35" s="1">
        <v>40806400.700000003</v>
      </c>
      <c r="R35" s="1">
        <v>40806400.700000003</v>
      </c>
      <c r="S35" s="21">
        <f t="shared" si="34"/>
        <v>100</v>
      </c>
      <c r="T35" s="22">
        <v>0</v>
      </c>
      <c r="U35" s="22">
        <v>0</v>
      </c>
      <c r="V35" s="21" t="str">
        <f t="shared" si="35"/>
        <v>-</v>
      </c>
      <c r="W35" s="22">
        <v>0</v>
      </c>
      <c r="X35" s="22">
        <v>0</v>
      </c>
      <c r="Y35" s="21" t="str">
        <f t="shared" si="36"/>
        <v>-</v>
      </c>
      <c r="Z35" s="14" t="str">
        <f t="shared" si="8"/>
        <v>-</v>
      </c>
      <c r="AA35" s="14" t="str">
        <f t="shared" si="8"/>
        <v>-</v>
      </c>
    </row>
    <row r="36" spans="1:27" x14ac:dyDescent="0.3">
      <c r="A36" s="5" t="s">
        <v>52</v>
      </c>
      <c r="B36" s="31">
        <v>0</v>
      </c>
      <c r="C36" s="31">
        <v>0</v>
      </c>
      <c r="D36" s="21" t="str">
        <f t="shared" si="29"/>
        <v>-</v>
      </c>
      <c r="E36" s="31">
        <v>0</v>
      </c>
      <c r="F36" s="31">
        <v>0</v>
      </c>
      <c r="G36" s="21" t="str">
        <f t="shared" si="30"/>
        <v>-</v>
      </c>
      <c r="H36" s="28">
        <v>0</v>
      </c>
      <c r="I36" s="22">
        <v>0</v>
      </c>
      <c r="J36" s="21" t="str">
        <f t="shared" si="31"/>
        <v>-</v>
      </c>
      <c r="K36" s="22">
        <v>0</v>
      </c>
      <c r="L36" s="22">
        <v>0</v>
      </c>
      <c r="M36" s="21" t="str">
        <f t="shared" si="32"/>
        <v>-</v>
      </c>
      <c r="N36" s="22">
        <v>0</v>
      </c>
      <c r="O36" s="22">
        <v>0</v>
      </c>
      <c r="P36" s="21" t="str">
        <f t="shared" si="33"/>
        <v>-</v>
      </c>
      <c r="Q36" s="22">
        <v>0</v>
      </c>
      <c r="R36" s="22">
        <v>0</v>
      </c>
      <c r="S36" s="21" t="str">
        <f t="shared" si="34"/>
        <v>-</v>
      </c>
      <c r="T36" s="22">
        <v>0</v>
      </c>
      <c r="U36" s="22">
        <v>0</v>
      </c>
      <c r="V36" s="21" t="str">
        <f t="shared" si="35"/>
        <v>-</v>
      </c>
      <c r="W36" s="22">
        <v>0</v>
      </c>
      <c r="X36" s="22">
        <v>0</v>
      </c>
      <c r="Y36" s="21" t="str">
        <f t="shared" si="36"/>
        <v>-</v>
      </c>
      <c r="Z36" s="14" t="str">
        <f t="shared" si="8"/>
        <v>-</v>
      </c>
      <c r="AA36" s="14" t="str">
        <f t="shared" si="8"/>
        <v>-</v>
      </c>
    </row>
    <row r="37" spans="1:27" x14ac:dyDescent="0.3">
      <c r="A37" s="5" t="s">
        <v>263</v>
      </c>
      <c r="B37" s="31">
        <v>0</v>
      </c>
      <c r="C37" s="31">
        <v>0</v>
      </c>
      <c r="D37" s="21" t="str">
        <f t="shared" si="29"/>
        <v>-</v>
      </c>
      <c r="E37" s="31">
        <v>0</v>
      </c>
      <c r="F37" s="31">
        <v>0</v>
      </c>
      <c r="G37" s="21" t="str">
        <f t="shared" si="30"/>
        <v>-</v>
      </c>
      <c r="H37" s="28">
        <v>0</v>
      </c>
      <c r="I37" s="22">
        <v>0</v>
      </c>
      <c r="J37" s="21" t="str">
        <f t="shared" si="31"/>
        <v>-</v>
      </c>
      <c r="K37" s="22">
        <v>0</v>
      </c>
      <c r="L37" s="22">
        <v>0</v>
      </c>
      <c r="M37" s="21" t="str">
        <f t="shared" si="32"/>
        <v>-</v>
      </c>
      <c r="N37" s="22">
        <v>0</v>
      </c>
      <c r="O37" s="22">
        <v>0</v>
      </c>
      <c r="P37" s="21" t="str">
        <f t="shared" si="33"/>
        <v>-</v>
      </c>
      <c r="Q37" s="22">
        <v>0</v>
      </c>
      <c r="R37" s="22">
        <v>0</v>
      </c>
      <c r="S37" s="21" t="str">
        <f t="shared" si="34"/>
        <v>-</v>
      </c>
      <c r="T37" s="22">
        <v>0</v>
      </c>
      <c r="U37" s="22">
        <v>0</v>
      </c>
      <c r="V37" s="21" t="str">
        <f t="shared" si="35"/>
        <v>-</v>
      </c>
      <c r="W37" s="22">
        <v>0</v>
      </c>
      <c r="X37" s="22">
        <v>0</v>
      </c>
      <c r="Y37" s="21" t="str">
        <f t="shared" si="36"/>
        <v>-</v>
      </c>
      <c r="Z37" s="14" t="str">
        <f t="shared" si="8"/>
        <v>-</v>
      </c>
      <c r="AA37" s="14" t="str">
        <f t="shared" si="8"/>
        <v>-</v>
      </c>
    </row>
    <row r="38" spans="1:27" x14ac:dyDescent="0.3">
      <c r="A38" s="5" t="s">
        <v>53</v>
      </c>
      <c r="B38" s="31">
        <v>0</v>
      </c>
      <c r="C38" s="31">
        <v>0</v>
      </c>
      <c r="D38" s="21" t="str">
        <f t="shared" si="29"/>
        <v>-</v>
      </c>
      <c r="E38" s="31">
        <v>0</v>
      </c>
      <c r="F38" s="31">
        <v>0</v>
      </c>
      <c r="G38" s="21" t="str">
        <f t="shared" si="30"/>
        <v>-</v>
      </c>
      <c r="H38" s="28">
        <v>0</v>
      </c>
      <c r="I38" s="22">
        <v>0</v>
      </c>
      <c r="J38" s="21" t="str">
        <f t="shared" si="31"/>
        <v>-</v>
      </c>
      <c r="K38" s="22">
        <v>0</v>
      </c>
      <c r="L38" s="22">
        <v>0</v>
      </c>
      <c r="M38" s="21" t="str">
        <f t="shared" si="32"/>
        <v>-</v>
      </c>
      <c r="N38" s="22">
        <v>0</v>
      </c>
      <c r="O38" s="22">
        <v>0</v>
      </c>
      <c r="P38" s="21" t="str">
        <f t="shared" si="33"/>
        <v>-</v>
      </c>
      <c r="Q38" s="22">
        <v>0</v>
      </c>
      <c r="R38" s="22">
        <v>0</v>
      </c>
      <c r="S38" s="21" t="str">
        <f t="shared" si="34"/>
        <v>-</v>
      </c>
      <c r="T38" s="22">
        <v>0</v>
      </c>
      <c r="U38" s="22">
        <v>0</v>
      </c>
      <c r="V38" s="21" t="str">
        <f t="shared" si="35"/>
        <v>-</v>
      </c>
      <c r="W38" s="22">
        <v>0</v>
      </c>
      <c r="X38" s="22">
        <v>0</v>
      </c>
      <c r="Y38" s="21" t="str">
        <f t="shared" si="36"/>
        <v>-</v>
      </c>
      <c r="Z38" s="14" t="str">
        <f t="shared" si="8"/>
        <v>-</v>
      </c>
      <c r="AA38" s="14" t="str">
        <f t="shared" si="8"/>
        <v>-</v>
      </c>
    </row>
    <row r="39" spans="1:27" x14ac:dyDescent="0.3">
      <c r="A39" s="5" t="s">
        <v>54</v>
      </c>
      <c r="B39" s="31">
        <v>17460992.02</v>
      </c>
      <c r="C39" s="31">
        <v>17460992.02</v>
      </c>
      <c r="D39" s="21">
        <f t="shared" si="29"/>
        <v>100</v>
      </c>
      <c r="E39" s="31">
        <v>0</v>
      </c>
      <c r="F39" s="31">
        <v>0</v>
      </c>
      <c r="G39" s="21" t="str">
        <f t="shared" si="30"/>
        <v>-</v>
      </c>
      <c r="H39" s="28">
        <v>0</v>
      </c>
      <c r="I39" s="22">
        <v>0</v>
      </c>
      <c r="J39" s="21" t="str">
        <f t="shared" si="31"/>
        <v>-</v>
      </c>
      <c r="K39" s="22">
        <v>0</v>
      </c>
      <c r="L39" s="22">
        <v>0</v>
      </c>
      <c r="M39" s="21" t="str">
        <f t="shared" si="32"/>
        <v>-</v>
      </c>
      <c r="N39" s="22">
        <v>0</v>
      </c>
      <c r="O39" s="22">
        <v>0</v>
      </c>
      <c r="P39" s="21" t="str">
        <f t="shared" si="33"/>
        <v>-</v>
      </c>
      <c r="Q39" s="22">
        <v>0</v>
      </c>
      <c r="R39" s="22">
        <v>0</v>
      </c>
      <c r="S39" s="21" t="str">
        <f t="shared" si="34"/>
        <v>-</v>
      </c>
      <c r="T39" s="22">
        <v>0</v>
      </c>
      <c r="U39" s="22">
        <v>0</v>
      </c>
      <c r="V39" s="21" t="str">
        <f t="shared" si="35"/>
        <v>-</v>
      </c>
      <c r="W39" s="22">
        <v>0</v>
      </c>
      <c r="X39" s="22">
        <v>0</v>
      </c>
      <c r="Y39" s="21" t="str">
        <f t="shared" si="36"/>
        <v>-</v>
      </c>
      <c r="Z39" s="14" t="str">
        <f t="shared" si="8"/>
        <v>-</v>
      </c>
      <c r="AA39" s="14" t="str">
        <f t="shared" si="8"/>
        <v>-</v>
      </c>
    </row>
    <row r="40" spans="1:27" x14ac:dyDescent="0.3">
      <c r="A40" s="5" t="s">
        <v>55</v>
      </c>
      <c r="B40" s="31">
        <v>8124000</v>
      </c>
      <c r="C40" s="31">
        <v>8124000</v>
      </c>
      <c r="D40" s="21">
        <f t="shared" si="29"/>
        <v>100</v>
      </c>
      <c r="E40" s="31">
        <v>0</v>
      </c>
      <c r="F40" s="31">
        <v>0</v>
      </c>
      <c r="G40" s="21" t="str">
        <f t="shared" si="30"/>
        <v>-</v>
      </c>
      <c r="H40" s="28">
        <v>0</v>
      </c>
      <c r="I40" s="22">
        <v>0</v>
      </c>
      <c r="J40" s="21" t="str">
        <f t="shared" si="31"/>
        <v>-</v>
      </c>
      <c r="K40" s="22">
        <v>9408000</v>
      </c>
      <c r="L40" s="22">
        <v>9408000</v>
      </c>
      <c r="M40" s="21">
        <f t="shared" si="32"/>
        <v>100</v>
      </c>
      <c r="N40" s="22">
        <v>9876000</v>
      </c>
      <c r="O40" s="22">
        <v>0</v>
      </c>
      <c r="P40" s="21">
        <f t="shared" si="33"/>
        <v>0</v>
      </c>
      <c r="Q40" s="1">
        <v>10372000</v>
      </c>
      <c r="R40" s="22">
        <v>0</v>
      </c>
      <c r="S40" s="21">
        <f t="shared" si="34"/>
        <v>0</v>
      </c>
      <c r="T40" s="1">
        <v>10888000</v>
      </c>
      <c r="U40" s="22">
        <v>0</v>
      </c>
      <c r="V40" s="21">
        <f t="shared" si="35"/>
        <v>0</v>
      </c>
      <c r="W40" s="1">
        <v>11432000</v>
      </c>
      <c r="X40" s="22">
        <v>0</v>
      </c>
      <c r="Y40" s="21">
        <f t="shared" si="36"/>
        <v>0</v>
      </c>
      <c r="Z40" s="14">
        <f t="shared" si="8"/>
        <v>4.996326230712711</v>
      </c>
      <c r="AA40" s="14" t="str">
        <f t="shared" si="8"/>
        <v>-</v>
      </c>
    </row>
    <row r="41" spans="1:27" x14ac:dyDescent="0.3">
      <c r="A41" s="5" t="s">
        <v>56</v>
      </c>
      <c r="B41" s="31">
        <v>165391.65</v>
      </c>
      <c r="C41" s="31">
        <v>165391.65</v>
      </c>
      <c r="D41" s="21">
        <f t="shared" si="29"/>
        <v>100</v>
      </c>
      <c r="E41" s="31">
        <v>6304631.75</v>
      </c>
      <c r="F41" s="31">
        <v>0</v>
      </c>
      <c r="G41" s="21">
        <f t="shared" si="30"/>
        <v>0</v>
      </c>
      <c r="H41" s="28">
        <v>6598228.29</v>
      </c>
      <c r="I41" s="22"/>
      <c r="J41" s="21">
        <f t="shared" si="31"/>
        <v>0</v>
      </c>
      <c r="K41" s="22">
        <v>188293890.97</v>
      </c>
      <c r="L41" s="22">
        <v>188293890.97</v>
      </c>
      <c r="M41" s="21">
        <f t="shared" si="32"/>
        <v>100</v>
      </c>
      <c r="N41" s="22">
        <v>6500267.9800000004</v>
      </c>
      <c r="O41" s="22">
        <v>0</v>
      </c>
      <c r="P41" s="21">
        <f t="shared" si="33"/>
        <v>0</v>
      </c>
      <c r="Q41" s="1">
        <v>9071692.1799999997</v>
      </c>
      <c r="R41" s="22">
        <v>0</v>
      </c>
      <c r="S41" s="21">
        <f t="shared" si="34"/>
        <v>0</v>
      </c>
      <c r="T41" s="1">
        <v>46485491.68</v>
      </c>
      <c r="U41" s="22">
        <v>0</v>
      </c>
      <c r="V41" s="21">
        <f t="shared" si="35"/>
        <v>0</v>
      </c>
      <c r="W41" s="1">
        <v>46897814.310000002</v>
      </c>
      <c r="X41" s="22">
        <v>0</v>
      </c>
      <c r="Y41" s="21">
        <f t="shared" si="36"/>
        <v>0</v>
      </c>
      <c r="Z41" s="14">
        <f t="shared" si="8"/>
        <v>0.8869920809666354</v>
      </c>
      <c r="AA41" s="14" t="str">
        <f t="shared" si="8"/>
        <v>-</v>
      </c>
    </row>
    <row r="42" spans="1:27" x14ac:dyDescent="0.3">
      <c r="A42" s="5" t="s">
        <v>57</v>
      </c>
      <c r="B42" s="31">
        <v>60481629.390000001</v>
      </c>
      <c r="C42" s="31">
        <v>60481629.390000001</v>
      </c>
      <c r="D42" s="21">
        <f t="shared" si="29"/>
        <v>100</v>
      </c>
      <c r="E42" s="31">
        <v>63056509.759999998</v>
      </c>
      <c r="F42" s="31">
        <v>0</v>
      </c>
      <c r="G42" s="21">
        <f t="shared" si="30"/>
        <v>0</v>
      </c>
      <c r="H42" s="28">
        <v>72903573.650000006</v>
      </c>
      <c r="I42" s="22"/>
      <c r="J42" s="21">
        <f t="shared" si="31"/>
        <v>0</v>
      </c>
      <c r="K42" s="22">
        <v>54288952.450000003</v>
      </c>
      <c r="L42" s="22">
        <v>54288952.450000003</v>
      </c>
      <c r="M42" s="21">
        <f t="shared" si="32"/>
        <v>100</v>
      </c>
      <c r="N42" s="22">
        <v>42946118.530000001</v>
      </c>
      <c r="O42" s="22">
        <v>0</v>
      </c>
      <c r="P42" s="21">
        <f t="shared" si="33"/>
        <v>0</v>
      </c>
      <c r="Q42" s="1">
        <v>114799030.3</v>
      </c>
      <c r="R42" s="22">
        <v>0</v>
      </c>
      <c r="S42" s="21">
        <f t="shared" si="34"/>
        <v>0</v>
      </c>
      <c r="T42" s="1">
        <v>85826910.599999994</v>
      </c>
      <c r="U42" s="22">
        <v>0</v>
      </c>
      <c r="V42" s="21">
        <f t="shared" si="35"/>
        <v>0</v>
      </c>
      <c r="W42" s="1">
        <v>77678978.819999993</v>
      </c>
      <c r="X42" s="22">
        <v>0</v>
      </c>
      <c r="Y42" s="21">
        <f t="shared" si="36"/>
        <v>0</v>
      </c>
      <c r="Z42" s="14">
        <f t="shared" si="8"/>
        <v>-9.4934464296096905</v>
      </c>
      <c r="AA42" s="14" t="str">
        <f t="shared" si="8"/>
        <v>-</v>
      </c>
    </row>
    <row r="43" spans="1:27" x14ac:dyDescent="0.3">
      <c r="A43" s="5" t="s">
        <v>58</v>
      </c>
      <c r="B43" s="31">
        <v>0</v>
      </c>
      <c r="C43" s="31">
        <v>0</v>
      </c>
      <c r="D43" s="21" t="str">
        <f t="shared" si="29"/>
        <v>-</v>
      </c>
      <c r="E43" s="31">
        <v>0</v>
      </c>
      <c r="F43" s="31">
        <v>0</v>
      </c>
      <c r="G43" s="21" t="str">
        <f t="shared" si="30"/>
        <v>-</v>
      </c>
      <c r="H43" s="28">
        <v>0</v>
      </c>
      <c r="I43" s="22">
        <v>0</v>
      </c>
      <c r="J43" s="21" t="str">
        <f t="shared" si="31"/>
        <v>-</v>
      </c>
      <c r="K43" s="22">
        <v>0</v>
      </c>
      <c r="L43" s="22">
        <v>0</v>
      </c>
      <c r="M43" s="21" t="str">
        <f t="shared" si="32"/>
        <v>-</v>
      </c>
      <c r="N43" s="22">
        <v>0</v>
      </c>
      <c r="O43" s="22">
        <v>0</v>
      </c>
      <c r="P43" s="21" t="str">
        <f t="shared" si="33"/>
        <v>-</v>
      </c>
      <c r="Q43" s="22">
        <v>0</v>
      </c>
      <c r="R43" s="22">
        <v>0</v>
      </c>
      <c r="S43" s="21" t="str">
        <f t="shared" si="34"/>
        <v>-</v>
      </c>
      <c r="T43" s="22">
        <v>0</v>
      </c>
      <c r="U43" s="22">
        <v>0</v>
      </c>
      <c r="V43" s="21" t="str">
        <f t="shared" si="35"/>
        <v>-</v>
      </c>
      <c r="W43" s="22">
        <v>0</v>
      </c>
      <c r="X43" s="22">
        <v>0</v>
      </c>
      <c r="Y43" s="21" t="str">
        <f t="shared" si="36"/>
        <v>-</v>
      </c>
      <c r="Z43" s="14" t="str">
        <f t="shared" si="8"/>
        <v>-</v>
      </c>
      <c r="AA43" s="14" t="str">
        <f t="shared" si="8"/>
        <v>-</v>
      </c>
    </row>
    <row r="44" spans="1:27" x14ac:dyDescent="0.3">
      <c r="A44" s="5" t="s">
        <v>59</v>
      </c>
      <c r="B44" s="31">
        <v>0</v>
      </c>
      <c r="C44" s="31">
        <v>0</v>
      </c>
      <c r="D44" s="21" t="str">
        <f t="shared" si="29"/>
        <v>-</v>
      </c>
      <c r="E44" s="31">
        <v>0</v>
      </c>
      <c r="F44" s="31">
        <v>0</v>
      </c>
      <c r="G44" s="21" t="str">
        <f t="shared" si="30"/>
        <v>-</v>
      </c>
      <c r="H44" s="28">
        <v>0</v>
      </c>
      <c r="I44" s="22">
        <v>0</v>
      </c>
      <c r="J44" s="21" t="str">
        <f t="shared" si="31"/>
        <v>-</v>
      </c>
      <c r="K44" s="22">
        <v>0</v>
      </c>
      <c r="L44" s="22">
        <v>0</v>
      </c>
      <c r="M44" s="21" t="str">
        <f t="shared" si="32"/>
        <v>-</v>
      </c>
      <c r="N44" s="22">
        <v>0</v>
      </c>
      <c r="O44" s="22">
        <v>0</v>
      </c>
      <c r="P44" s="21" t="str">
        <f t="shared" si="33"/>
        <v>-</v>
      </c>
      <c r="Q44" s="22">
        <v>0</v>
      </c>
      <c r="R44" s="22">
        <v>0</v>
      </c>
      <c r="S44" s="21" t="str">
        <f t="shared" si="34"/>
        <v>-</v>
      </c>
      <c r="T44" s="22">
        <v>0</v>
      </c>
      <c r="U44" s="22">
        <v>0</v>
      </c>
      <c r="V44" s="21" t="str">
        <f t="shared" si="35"/>
        <v>-</v>
      </c>
      <c r="W44" s="22">
        <v>0</v>
      </c>
      <c r="X44" s="22">
        <v>0</v>
      </c>
      <c r="Y44" s="21" t="str">
        <f t="shared" si="36"/>
        <v>-</v>
      </c>
      <c r="Z44" s="14" t="str">
        <f t="shared" si="8"/>
        <v>-</v>
      </c>
      <c r="AA44" s="14" t="str">
        <f t="shared" si="8"/>
        <v>-</v>
      </c>
    </row>
    <row r="45" spans="1:27" x14ac:dyDescent="0.3">
      <c r="A45" s="5" t="s">
        <v>60</v>
      </c>
      <c r="B45" s="31">
        <v>154761276.59</v>
      </c>
      <c r="C45" s="31">
        <v>108584152.58</v>
      </c>
      <c r="D45" s="21">
        <f t="shared" si="29"/>
        <v>70.162352606889925</v>
      </c>
      <c r="E45" s="31">
        <v>408118642.26999998</v>
      </c>
      <c r="F45" s="31">
        <v>408118642.26999998</v>
      </c>
      <c r="G45" s="21">
        <f t="shared" si="30"/>
        <v>100</v>
      </c>
      <c r="H45" s="28">
        <v>250347262.09999999</v>
      </c>
      <c r="I45" s="22">
        <v>250347262.09999999</v>
      </c>
      <c r="J45" s="21">
        <f t="shared" si="31"/>
        <v>100</v>
      </c>
      <c r="K45" s="22">
        <v>0</v>
      </c>
      <c r="L45" s="22">
        <v>0</v>
      </c>
      <c r="M45" s="21" t="str">
        <f t="shared" si="32"/>
        <v>-</v>
      </c>
      <c r="N45" s="22">
        <v>273759990.27999997</v>
      </c>
      <c r="O45" s="22">
        <v>273759990.27999997</v>
      </c>
      <c r="P45" s="21">
        <f t="shared" si="33"/>
        <v>100</v>
      </c>
      <c r="Q45" s="22">
        <v>0</v>
      </c>
      <c r="R45" s="22">
        <v>0</v>
      </c>
      <c r="S45" s="21" t="str">
        <f t="shared" si="34"/>
        <v>-</v>
      </c>
      <c r="T45" s="22">
        <v>0</v>
      </c>
      <c r="U45" s="22">
        <v>0</v>
      </c>
      <c r="V45" s="21" t="str">
        <f t="shared" si="35"/>
        <v>-</v>
      </c>
      <c r="W45" s="22">
        <v>0</v>
      </c>
      <c r="X45" s="22">
        <v>0</v>
      </c>
      <c r="Y45" s="21" t="str">
        <f t="shared" si="36"/>
        <v>-</v>
      </c>
      <c r="Z45" s="14" t="str">
        <f t="shared" si="8"/>
        <v>-</v>
      </c>
      <c r="AA45" s="14" t="str">
        <f t="shared" si="8"/>
        <v>-</v>
      </c>
    </row>
    <row r="46" spans="1:27" x14ac:dyDescent="0.3">
      <c r="A46" s="5" t="s">
        <v>61</v>
      </c>
      <c r="B46" s="31">
        <v>2745722644.02</v>
      </c>
      <c r="C46" s="31">
        <v>0</v>
      </c>
      <c r="D46" s="21">
        <f t="shared" si="29"/>
        <v>0</v>
      </c>
      <c r="E46" s="31">
        <v>1005841327.12</v>
      </c>
      <c r="F46" s="31">
        <v>0</v>
      </c>
      <c r="G46" s="21">
        <f t="shared" si="30"/>
        <v>0</v>
      </c>
      <c r="H46" s="28">
        <v>1994588963.74</v>
      </c>
      <c r="I46" s="22">
        <v>0</v>
      </c>
      <c r="J46" s="21">
        <f t="shared" si="31"/>
        <v>0</v>
      </c>
      <c r="K46" s="22">
        <v>2283675868.3400002</v>
      </c>
      <c r="L46" s="22">
        <v>0</v>
      </c>
      <c r="M46" s="21">
        <f t="shared" si="32"/>
        <v>0</v>
      </c>
      <c r="N46" s="22">
        <v>2525672537.5799999</v>
      </c>
      <c r="O46" s="22">
        <v>0</v>
      </c>
      <c r="P46" s="21">
        <f t="shared" si="33"/>
        <v>0</v>
      </c>
      <c r="Q46" s="22">
        <v>1860147315.0999999</v>
      </c>
      <c r="R46" s="22">
        <v>0</v>
      </c>
      <c r="S46" s="21">
        <f t="shared" si="34"/>
        <v>0</v>
      </c>
      <c r="T46" s="22">
        <v>152327941.22</v>
      </c>
      <c r="U46" s="22">
        <v>0</v>
      </c>
      <c r="V46" s="21">
        <f t="shared" si="35"/>
        <v>0</v>
      </c>
      <c r="W46" s="1">
        <v>169491567.69999999</v>
      </c>
      <c r="X46" s="22">
        <v>0</v>
      </c>
      <c r="Y46" s="21">
        <f t="shared" si="36"/>
        <v>0</v>
      </c>
      <c r="Z46" s="14">
        <f t="shared" si="8"/>
        <v>11.267549697406707</v>
      </c>
      <c r="AA46" s="14" t="str">
        <f t="shared" si="8"/>
        <v>-</v>
      </c>
    </row>
    <row r="47" spans="1:27" x14ac:dyDescent="0.3">
      <c r="A47" s="5" t="s">
        <v>62</v>
      </c>
      <c r="B47" s="31">
        <v>75781786.530000001</v>
      </c>
      <c r="C47" s="31">
        <v>0</v>
      </c>
      <c r="D47" s="21">
        <f t="shared" si="29"/>
        <v>0</v>
      </c>
      <c r="E47" s="31">
        <v>90729617.489999995</v>
      </c>
      <c r="F47" s="31">
        <v>0</v>
      </c>
      <c r="G47" s="21">
        <f t="shared" si="30"/>
        <v>0</v>
      </c>
      <c r="H47" s="28">
        <v>115925920.95999999</v>
      </c>
      <c r="I47" s="22">
        <v>0</v>
      </c>
      <c r="J47" s="21">
        <f t="shared" si="31"/>
        <v>0</v>
      </c>
      <c r="K47" s="22">
        <v>110626187.87</v>
      </c>
      <c r="L47" s="22">
        <v>0</v>
      </c>
      <c r="M47" s="21">
        <f t="shared" si="32"/>
        <v>0</v>
      </c>
      <c r="N47" s="22">
        <v>14272936.949999999</v>
      </c>
      <c r="O47" s="22">
        <v>0</v>
      </c>
      <c r="P47" s="21">
        <f t="shared" si="33"/>
        <v>0</v>
      </c>
      <c r="Q47" s="22">
        <v>15595168</v>
      </c>
      <c r="R47" s="22">
        <v>0</v>
      </c>
      <c r="S47" s="21">
        <f t="shared" si="34"/>
        <v>0</v>
      </c>
      <c r="T47" s="22">
        <v>9418556.4299999997</v>
      </c>
      <c r="U47" s="22">
        <v>0</v>
      </c>
      <c r="V47" s="21">
        <f t="shared" si="35"/>
        <v>0</v>
      </c>
      <c r="W47" s="1">
        <v>4822986.5599999996</v>
      </c>
      <c r="X47" s="22">
        <v>0</v>
      </c>
      <c r="Y47" s="21">
        <f t="shared" si="36"/>
        <v>0</v>
      </c>
      <c r="Z47" s="14">
        <f t="shared" si="8"/>
        <v>-48.792720032575097</v>
      </c>
      <c r="AA47" s="14" t="str">
        <f t="shared" si="8"/>
        <v>-</v>
      </c>
    </row>
    <row r="48" spans="1:27" x14ac:dyDescent="0.3">
      <c r="A48" s="5" t="s">
        <v>63</v>
      </c>
      <c r="B48" s="31">
        <v>1270093357.6600001</v>
      </c>
      <c r="C48" s="31">
        <v>669643448.74000001</v>
      </c>
      <c r="D48" s="21">
        <f t="shared" si="29"/>
        <v>52.723954873186685</v>
      </c>
      <c r="E48" s="31">
        <v>1127081020.05</v>
      </c>
      <c r="F48" s="31">
        <v>597492107.24000001</v>
      </c>
      <c r="G48" s="21">
        <f t="shared" si="30"/>
        <v>53.012347525246575</v>
      </c>
      <c r="H48" s="28">
        <f t="shared" ref="H48:I48" si="37">SUM(H23:H30)</f>
        <v>1091015339.26</v>
      </c>
      <c r="I48" s="22">
        <f t="shared" si="37"/>
        <v>653089946.6500001</v>
      </c>
      <c r="J48" s="21">
        <f t="shared" si="31"/>
        <v>59.860748345937068</v>
      </c>
      <c r="K48" s="22">
        <f t="shared" ref="K48:L48" si="38">SUM(K23:K30)</f>
        <v>1166876682.79</v>
      </c>
      <c r="L48" s="22">
        <f t="shared" si="38"/>
        <v>563120488.48999989</v>
      </c>
      <c r="M48" s="21">
        <f t="shared" si="32"/>
        <v>48.258783194088672</v>
      </c>
      <c r="N48" s="22">
        <f>SUM(N23:N30)</f>
        <v>1077169418.4200001</v>
      </c>
      <c r="O48" s="22">
        <f>SUM(O23:O30)</f>
        <v>621863970.83000004</v>
      </c>
      <c r="P48" s="21">
        <f t="shared" si="33"/>
        <v>57.731305790518505</v>
      </c>
      <c r="Q48" s="22">
        <f>SUM(Q23:Q30)</f>
        <v>1072543260.1800001</v>
      </c>
      <c r="R48" s="22">
        <f>SUM(R23:R30)</f>
        <v>571948569.83000004</v>
      </c>
      <c r="S48" s="21">
        <f t="shared" si="34"/>
        <v>53.326387015290408</v>
      </c>
      <c r="T48" s="22">
        <f>SUM(T23:T30)</f>
        <v>1126110679.53</v>
      </c>
      <c r="U48" s="22">
        <f>SUM(U23:U30)</f>
        <v>657678426.79999995</v>
      </c>
      <c r="V48" s="21">
        <f t="shared" si="35"/>
        <v>58.402645384243435</v>
      </c>
      <c r="W48" s="22">
        <f>SUM(W23:W30)</f>
        <v>1156848081.96</v>
      </c>
      <c r="X48" s="22">
        <f>SUM(X23:X30)</f>
        <v>819667745.5</v>
      </c>
      <c r="Y48" s="21">
        <f t="shared" si="36"/>
        <v>70.853533690549128</v>
      </c>
      <c r="Z48" s="14">
        <f t="shared" si="8"/>
        <v>2.729518775439459</v>
      </c>
      <c r="AA48" s="14">
        <f t="shared" si="8"/>
        <v>24.630474727318514</v>
      </c>
    </row>
    <row r="49" spans="1:27" x14ac:dyDescent="0.3">
      <c r="A49" s="5" t="s">
        <v>64</v>
      </c>
      <c r="B49" s="31">
        <v>183624074.86000001</v>
      </c>
      <c r="C49" s="31">
        <v>79491902.909999996</v>
      </c>
      <c r="D49" s="21">
        <f t="shared" si="29"/>
        <v>43.290566866358226</v>
      </c>
      <c r="E49" s="31">
        <v>238815409.94000003</v>
      </c>
      <c r="F49" s="31">
        <v>46236552.18</v>
      </c>
      <c r="G49" s="21">
        <f t="shared" si="30"/>
        <v>19.36079091027521</v>
      </c>
      <c r="H49" s="28">
        <f t="shared" ref="H49:I49" si="39">SUM(H31:H35)</f>
        <v>280478370.47999996</v>
      </c>
      <c r="I49" s="22">
        <f t="shared" si="39"/>
        <v>149221194.34</v>
      </c>
      <c r="J49" s="21">
        <f t="shared" si="31"/>
        <v>53.202389219756427</v>
      </c>
      <c r="K49" s="22">
        <f t="shared" ref="K49:L49" si="40">SUM(K31:K35)</f>
        <v>288481738.31</v>
      </c>
      <c r="L49" s="22">
        <f t="shared" si="40"/>
        <v>111799810.85000001</v>
      </c>
      <c r="M49" s="21">
        <f t="shared" si="32"/>
        <v>38.75455392946256</v>
      </c>
      <c r="N49" s="22">
        <f>SUM(N31:N35)</f>
        <v>259333666.03999999</v>
      </c>
      <c r="O49" s="22">
        <f>SUM(O31:O35)</f>
        <v>144191054.03999999</v>
      </c>
      <c r="P49" s="21">
        <f t="shared" si="33"/>
        <v>55.600592179867526</v>
      </c>
      <c r="Q49" s="22">
        <f>SUM(Q31:Q35)</f>
        <v>183038847.56</v>
      </c>
      <c r="R49" s="22">
        <f>SUM(R31:R35)</f>
        <v>111195112.19</v>
      </c>
      <c r="S49" s="21">
        <f t="shared" si="34"/>
        <v>60.749460386298772</v>
      </c>
      <c r="T49" s="22">
        <f>SUM(T31:T35)</f>
        <v>217189244.65000001</v>
      </c>
      <c r="U49" s="22">
        <f>SUM(U31:U35)</f>
        <v>84430951.200000003</v>
      </c>
      <c r="V49" s="21">
        <f t="shared" si="35"/>
        <v>38.874370292166304</v>
      </c>
      <c r="W49" s="22">
        <f>SUM(W31:W35)</f>
        <v>288252401.22999996</v>
      </c>
      <c r="X49" s="22">
        <f>SUM(X31:X35)</f>
        <v>210247276.46000001</v>
      </c>
      <c r="Y49" s="21">
        <f t="shared" si="36"/>
        <v>72.938603655287935</v>
      </c>
      <c r="Z49" s="14">
        <f t="shared" si="8"/>
        <v>32.719463937782962</v>
      </c>
      <c r="AA49" s="14">
        <f t="shared" si="8"/>
        <v>149.01682791890659</v>
      </c>
    </row>
    <row r="50" spans="1:27" x14ac:dyDescent="0.3">
      <c r="A50" s="5" t="s">
        <v>65</v>
      </c>
      <c r="B50" s="31">
        <v>17460992.02</v>
      </c>
      <c r="C50" s="31">
        <v>17460992.02</v>
      </c>
      <c r="D50" s="21">
        <f t="shared" si="29"/>
        <v>100</v>
      </c>
      <c r="E50" s="31">
        <v>0</v>
      </c>
      <c r="F50" s="31">
        <v>0</v>
      </c>
      <c r="G50" s="21" t="str">
        <f t="shared" si="30"/>
        <v>-</v>
      </c>
      <c r="H50" s="28">
        <f t="shared" ref="H50:I50" si="41">SUM(H36:H39)</f>
        <v>0</v>
      </c>
      <c r="I50" s="22">
        <f t="shared" si="41"/>
        <v>0</v>
      </c>
      <c r="J50" s="21" t="str">
        <f t="shared" si="31"/>
        <v>-</v>
      </c>
      <c r="K50" s="22">
        <f t="shared" ref="K50:L50" si="42">SUM(K36:K39)</f>
        <v>0</v>
      </c>
      <c r="L50" s="22">
        <f t="shared" si="42"/>
        <v>0</v>
      </c>
      <c r="M50" s="21" t="str">
        <f t="shared" si="32"/>
        <v>-</v>
      </c>
      <c r="N50" s="22">
        <f>SUM(N36:N39)</f>
        <v>0</v>
      </c>
      <c r="O50" s="22">
        <f>SUM(O36:O39)</f>
        <v>0</v>
      </c>
      <c r="P50" s="21" t="str">
        <f t="shared" si="33"/>
        <v>-</v>
      </c>
      <c r="Q50" s="22">
        <f>SUM(Q36:Q39)</f>
        <v>0</v>
      </c>
      <c r="R50" s="22">
        <f>SUM(R36:R39)</f>
        <v>0</v>
      </c>
      <c r="S50" s="21" t="str">
        <f t="shared" si="34"/>
        <v>-</v>
      </c>
      <c r="T50" s="22">
        <f>SUM(T36:T39)</f>
        <v>0</v>
      </c>
      <c r="U50" s="22">
        <f>SUM(U36:U39)</f>
        <v>0</v>
      </c>
      <c r="V50" s="21" t="str">
        <f t="shared" si="35"/>
        <v>-</v>
      </c>
      <c r="W50" s="22">
        <f>SUM(W36:W39)</f>
        <v>0</v>
      </c>
      <c r="X50" s="22">
        <f>SUM(X36:X39)</f>
        <v>0</v>
      </c>
      <c r="Y50" s="21" t="str">
        <f t="shared" si="36"/>
        <v>-</v>
      </c>
      <c r="Z50" s="14" t="str">
        <f t="shared" si="8"/>
        <v>-</v>
      </c>
      <c r="AA50" s="14" t="str">
        <f t="shared" si="8"/>
        <v>-</v>
      </c>
    </row>
    <row r="51" spans="1:27" x14ac:dyDescent="0.3">
      <c r="A51" s="5" t="s">
        <v>66</v>
      </c>
      <c r="B51" s="31">
        <v>68771021.040000007</v>
      </c>
      <c r="C51" s="31">
        <v>68771021.040000007</v>
      </c>
      <c r="D51" s="21">
        <f t="shared" si="29"/>
        <v>100</v>
      </c>
      <c r="E51" s="31">
        <v>69361141.50999999</v>
      </c>
      <c r="F51" s="33">
        <v>69330349.459999993</v>
      </c>
      <c r="G51" s="21">
        <f t="shared" si="30"/>
        <v>99.955606194866959</v>
      </c>
      <c r="H51" s="28">
        <f t="shared" ref="H51" si="43">SUM(H40:H44)</f>
        <v>79501801.940000013</v>
      </c>
      <c r="I51" s="23">
        <v>79499111.930000007</v>
      </c>
      <c r="J51" s="21">
        <f t="shared" si="31"/>
        <v>99.996616416314637</v>
      </c>
      <c r="K51" s="22">
        <f t="shared" ref="K51:L51" si="44">SUM(K40:K44)</f>
        <v>251990843.42000002</v>
      </c>
      <c r="L51" s="22">
        <f t="shared" si="44"/>
        <v>251990843.42000002</v>
      </c>
      <c r="M51" s="21">
        <f t="shared" si="32"/>
        <v>100</v>
      </c>
      <c r="N51" s="22">
        <f>SUM(N40:N44)</f>
        <v>59322386.510000005</v>
      </c>
      <c r="O51" s="23">
        <v>59320619.520000003</v>
      </c>
      <c r="P51" s="21">
        <f t="shared" si="33"/>
        <v>99.997021377419287</v>
      </c>
      <c r="Q51" s="22">
        <f>SUM(Q40:Q44)</f>
        <v>134242722.47999999</v>
      </c>
      <c r="R51" s="23">
        <v>131742738.5</v>
      </c>
      <c r="S51" s="21">
        <f t="shared" si="34"/>
        <v>98.137713587883738</v>
      </c>
      <c r="T51" s="22">
        <f>SUM(T40:T44)</f>
        <v>143200402.28</v>
      </c>
      <c r="U51" s="23">
        <v>138993936.59999999</v>
      </c>
      <c r="V51" s="21">
        <f t="shared" si="35"/>
        <v>97.062532218467439</v>
      </c>
      <c r="W51" s="22">
        <f>SUM(W40:W44)</f>
        <v>136008793.13</v>
      </c>
      <c r="X51" s="23">
        <v>116879944.26000001</v>
      </c>
      <c r="Y51" s="21">
        <f t="shared" si="36"/>
        <v>85.935579288821245</v>
      </c>
      <c r="Z51" s="14">
        <f t="shared" si="8"/>
        <v>-5.0220593207121311</v>
      </c>
      <c r="AA51" s="14">
        <f t="shared" si="8"/>
        <v>-15.910041028365256</v>
      </c>
    </row>
    <row r="52" spans="1:27" x14ac:dyDescent="0.3">
      <c r="A52" s="5" t="s">
        <v>67</v>
      </c>
      <c r="B52" s="31">
        <v>154761276.59</v>
      </c>
      <c r="C52" s="31">
        <v>108584152.58</v>
      </c>
      <c r="D52" s="21">
        <f t="shared" si="29"/>
        <v>70.162352606889925</v>
      </c>
      <c r="E52" s="31">
        <v>408118642.26999998</v>
      </c>
      <c r="F52" s="31">
        <v>408118642.26999998</v>
      </c>
      <c r="G52" s="21">
        <f t="shared" si="30"/>
        <v>100</v>
      </c>
      <c r="H52" s="28">
        <f t="shared" ref="H52:I52" si="45">H45</f>
        <v>250347262.09999999</v>
      </c>
      <c r="I52" s="22">
        <f t="shared" si="45"/>
        <v>250347262.09999999</v>
      </c>
      <c r="J52" s="21">
        <f t="shared" si="31"/>
        <v>100</v>
      </c>
      <c r="K52" s="22">
        <f t="shared" ref="K52:L52" si="46">K45</f>
        <v>0</v>
      </c>
      <c r="L52" s="22">
        <f t="shared" si="46"/>
        <v>0</v>
      </c>
      <c r="M52" s="21" t="str">
        <f t="shared" si="32"/>
        <v>-</v>
      </c>
      <c r="N52" s="22">
        <f t="shared" ref="N52:O52" si="47">N45</f>
        <v>273759990.27999997</v>
      </c>
      <c r="O52" s="22">
        <f t="shared" si="47"/>
        <v>273759990.27999997</v>
      </c>
      <c r="P52" s="21">
        <f t="shared" si="33"/>
        <v>100</v>
      </c>
      <c r="Q52" s="22">
        <f t="shared" ref="Q52:R52" si="48">Q45</f>
        <v>0</v>
      </c>
      <c r="R52" s="22">
        <f t="shared" si="48"/>
        <v>0</v>
      </c>
      <c r="S52" s="21" t="str">
        <f t="shared" si="34"/>
        <v>-</v>
      </c>
      <c r="T52" s="22">
        <f t="shared" ref="T52:U52" si="49">T45</f>
        <v>0</v>
      </c>
      <c r="U52" s="22">
        <f t="shared" si="49"/>
        <v>0</v>
      </c>
      <c r="V52" s="21" t="str">
        <f t="shared" si="35"/>
        <v>-</v>
      </c>
      <c r="W52" s="22">
        <f t="shared" ref="W52:X52" si="50">W45</f>
        <v>0</v>
      </c>
      <c r="X52" s="22">
        <f t="shared" si="50"/>
        <v>0</v>
      </c>
      <c r="Y52" s="21" t="str">
        <f t="shared" si="36"/>
        <v>-</v>
      </c>
      <c r="Z52" s="14" t="str">
        <f t="shared" si="8"/>
        <v>-</v>
      </c>
      <c r="AA52" s="14" t="str">
        <f t="shared" si="8"/>
        <v>-</v>
      </c>
    </row>
    <row r="53" spans="1:27" x14ac:dyDescent="0.3">
      <c r="A53" s="5" t="s">
        <v>68</v>
      </c>
      <c r="B53" s="31">
        <v>2821504430.5500002</v>
      </c>
      <c r="C53" s="33">
        <v>2379610579.6199999</v>
      </c>
      <c r="D53" s="21">
        <f t="shared" si="29"/>
        <v>84.338360551719532</v>
      </c>
      <c r="E53" s="31">
        <v>1096570944.6099999</v>
      </c>
      <c r="F53" s="33">
        <v>646442863.88</v>
      </c>
      <c r="G53" s="21">
        <f t="shared" si="30"/>
        <v>58.951303338600688</v>
      </c>
      <c r="H53" s="28">
        <f>SUM(H46:H47)</f>
        <v>2110514884.7</v>
      </c>
      <c r="I53" s="23">
        <v>1645583615.45</v>
      </c>
      <c r="J53" s="21">
        <f t="shared" si="31"/>
        <v>77.970718300994704</v>
      </c>
      <c r="K53" s="22">
        <f>SUM(K46:K47)</f>
        <v>2394302056.21</v>
      </c>
      <c r="L53" s="23">
        <v>1929880927.3</v>
      </c>
      <c r="M53" s="21">
        <f t="shared" si="32"/>
        <v>80.603068534922301</v>
      </c>
      <c r="N53" s="22">
        <f>SUM(N46:N47)</f>
        <v>2539945474.5299997</v>
      </c>
      <c r="O53" s="23">
        <v>2209682255.3099999</v>
      </c>
      <c r="P53" s="21">
        <f t="shared" si="33"/>
        <v>86.99723192754314</v>
      </c>
      <c r="Q53" s="22">
        <f>SUM(Q46:Q47)</f>
        <v>1875742483.0999999</v>
      </c>
      <c r="R53" s="23">
        <v>1860536195</v>
      </c>
      <c r="S53" s="21">
        <f t="shared" si="34"/>
        <v>99.189318990372882</v>
      </c>
      <c r="T53" s="22">
        <f>SUM(T46:T47)</f>
        <v>161746497.65000001</v>
      </c>
      <c r="U53" s="23">
        <v>154235951.87</v>
      </c>
      <c r="V53" s="21">
        <f t="shared" si="35"/>
        <v>95.356594492542328</v>
      </c>
      <c r="W53" s="22">
        <f>SUM(W46:W47)</f>
        <v>174314554.25999999</v>
      </c>
      <c r="X53" s="23">
        <v>170271964.97999999</v>
      </c>
      <c r="Y53" s="21">
        <f t="shared" si="36"/>
        <v>97.680865320075199</v>
      </c>
      <c r="Z53" s="14">
        <f t="shared" si="8"/>
        <v>7.7702187018576154</v>
      </c>
      <c r="AA53" s="14">
        <f t="shared" si="8"/>
        <v>10.397065609914449</v>
      </c>
    </row>
    <row r="54" spans="1:27" x14ac:dyDescent="0.3">
      <c r="A54" s="5" t="s">
        <v>69</v>
      </c>
      <c r="B54" s="20">
        <f t="shared" ref="B54:C54" si="51">SUM(B48:B53)</f>
        <v>4516215152.7200003</v>
      </c>
      <c r="C54" s="20">
        <f t="shared" si="51"/>
        <v>3323562096.9099998</v>
      </c>
      <c r="D54" s="21">
        <f t="shared" si="29"/>
        <v>73.591757357005093</v>
      </c>
      <c r="E54" s="27">
        <f t="shared" ref="E54:F54" si="52">SUM(E48:E53)</f>
        <v>2939947158.3800001</v>
      </c>
      <c r="F54" s="20">
        <f t="shared" si="52"/>
        <v>1767620515.0300002</v>
      </c>
      <c r="G54" s="21">
        <f t="shared" si="30"/>
        <v>60.124227402917427</v>
      </c>
      <c r="H54" s="27">
        <f t="shared" ref="H54:I54" si="53">SUM(H48:H53)</f>
        <v>3811857658.48</v>
      </c>
      <c r="I54" s="20">
        <f t="shared" si="53"/>
        <v>2777741130.4700003</v>
      </c>
      <c r="J54" s="21">
        <f t="shared" si="31"/>
        <v>72.871061286628432</v>
      </c>
      <c r="K54" s="27">
        <f t="shared" ref="K54:L54" si="54">SUM(K48:K53)</f>
        <v>4101651320.73</v>
      </c>
      <c r="L54" s="20">
        <f t="shared" si="54"/>
        <v>2856792070.0599999</v>
      </c>
      <c r="M54" s="21">
        <f t="shared" si="32"/>
        <v>69.649803132255443</v>
      </c>
      <c r="N54" s="27">
        <f t="shared" ref="N54:O54" si="55">SUM(N48:N53)</f>
        <v>4209530935.7799997</v>
      </c>
      <c r="O54" s="20">
        <f t="shared" si="55"/>
        <v>3308817889.98</v>
      </c>
      <c r="P54" s="21">
        <f t="shared" si="33"/>
        <v>78.603006854180464</v>
      </c>
      <c r="Q54" s="27">
        <f t="shared" ref="Q54:R54" si="56">SUM(Q48:Q53)</f>
        <v>3265567313.3199997</v>
      </c>
      <c r="R54" s="20">
        <f t="shared" si="56"/>
        <v>2675422615.52</v>
      </c>
      <c r="S54" s="21">
        <f t="shared" si="34"/>
        <v>81.928264182678319</v>
      </c>
      <c r="T54" s="27">
        <f t="shared" ref="T54:U54" si="57">SUM(T48:T53)</f>
        <v>1648246824.1100001</v>
      </c>
      <c r="U54" s="20">
        <f t="shared" si="57"/>
        <v>1035339266.47</v>
      </c>
      <c r="V54" s="21">
        <f t="shared" si="35"/>
        <v>62.814576756672935</v>
      </c>
      <c r="W54" s="32">
        <f t="shared" ref="W54:X54" si="58">SUM(W48:W53)</f>
        <v>1755423830.5800002</v>
      </c>
      <c r="X54" s="32">
        <f t="shared" si="58"/>
        <v>1317066931.2</v>
      </c>
      <c r="Y54" s="21">
        <f t="shared" si="36"/>
        <v>75.028429502682272</v>
      </c>
      <c r="Z54" s="14">
        <f t="shared" si="8"/>
        <v>6.5024852408177622</v>
      </c>
      <c r="AA54" s="14">
        <f t="shared" si="8"/>
        <v>27.211144583606256</v>
      </c>
    </row>
    <row r="55" spans="1:27" x14ac:dyDescent="0.3">
      <c r="A55" s="15" t="s">
        <v>70</v>
      </c>
      <c r="B55" s="16">
        <f t="shared" ref="B55:F55" si="59">B54-B53</f>
        <v>1694710722.1700001</v>
      </c>
      <c r="C55" s="16">
        <f t="shared" si="59"/>
        <v>943951517.28999996</v>
      </c>
      <c r="D55" s="24">
        <f t="shared" si="29"/>
        <v>55.699861040668516</v>
      </c>
      <c r="E55" s="29">
        <f t="shared" si="59"/>
        <v>1843376213.7700002</v>
      </c>
      <c r="F55" s="16">
        <f t="shared" si="59"/>
        <v>1121177651.1500001</v>
      </c>
      <c r="G55" s="24">
        <f t="shared" si="30"/>
        <v>60.821965845865613</v>
      </c>
      <c r="H55" s="29">
        <f t="shared" ref="H55:I55" si="60">H54-H53</f>
        <v>1701342773.78</v>
      </c>
      <c r="I55" s="16">
        <f t="shared" si="60"/>
        <v>1132157515.0200002</v>
      </c>
      <c r="J55" s="24">
        <f t="shared" si="31"/>
        <v>66.544939236706639</v>
      </c>
      <c r="K55" s="29">
        <f t="shared" ref="K55:L55" si="61">K54-K53</f>
        <v>1707349264.52</v>
      </c>
      <c r="L55" s="16">
        <f t="shared" si="61"/>
        <v>926911142.75999999</v>
      </c>
      <c r="M55" s="24">
        <f t="shared" si="32"/>
        <v>54.289486165596557</v>
      </c>
      <c r="N55" s="29">
        <f t="shared" ref="N55:O55" si="62">N54-N53</f>
        <v>1669585461.25</v>
      </c>
      <c r="O55" s="16">
        <f t="shared" si="62"/>
        <v>1099135634.6700001</v>
      </c>
      <c r="P55" s="24">
        <f t="shared" si="33"/>
        <v>65.832846546656526</v>
      </c>
      <c r="Q55" s="29">
        <f t="shared" ref="Q55:R55" si="63">Q54-Q53</f>
        <v>1389824830.2199998</v>
      </c>
      <c r="R55" s="16">
        <f t="shared" si="63"/>
        <v>814886420.51999998</v>
      </c>
      <c r="S55" s="24">
        <f t="shared" si="34"/>
        <v>58.632311266953621</v>
      </c>
      <c r="T55" s="29">
        <f t="shared" ref="T55:U55" si="64">T54-T53</f>
        <v>1486500326.46</v>
      </c>
      <c r="U55" s="16">
        <f t="shared" si="64"/>
        <v>881103314.60000002</v>
      </c>
      <c r="V55" s="24">
        <f t="shared" si="35"/>
        <v>59.273671113028811</v>
      </c>
      <c r="W55" s="32">
        <f t="shared" ref="W55:X55" si="65">W54-W53</f>
        <v>1581109276.3200002</v>
      </c>
      <c r="X55" s="32">
        <f t="shared" si="65"/>
        <v>1146794966.22</v>
      </c>
      <c r="Y55" s="24">
        <f t="shared" si="36"/>
        <v>72.531037759081528</v>
      </c>
      <c r="Z55" s="17">
        <f t="shared" si="8"/>
        <v>6.3645428242390665</v>
      </c>
      <c r="AA55" s="17">
        <f t="shared" si="8"/>
        <v>30.154426526089935</v>
      </c>
    </row>
    <row r="56" spans="1:27" x14ac:dyDescent="0.3">
      <c r="A56" s="5" t="s">
        <v>71</v>
      </c>
      <c r="B56" s="32">
        <f t="shared" ref="B56:C57" si="66">B14-B48</f>
        <v>67112650.599999905</v>
      </c>
      <c r="C56" s="32">
        <f t="shared" si="66"/>
        <v>150663825.5999999</v>
      </c>
      <c r="D56" s="25"/>
      <c r="E56" s="32">
        <f t="shared" ref="E56:F57" si="67">E14-E48</f>
        <v>157478686.05000019</v>
      </c>
      <c r="F56" s="32">
        <f t="shared" si="67"/>
        <v>197426330.27999997</v>
      </c>
      <c r="G56" s="25"/>
      <c r="H56" s="32">
        <f t="shared" ref="H56:I57" si="68">H14-H48</f>
        <v>288478079.50999999</v>
      </c>
      <c r="I56" s="32">
        <f t="shared" si="68"/>
        <v>227970486.7299999</v>
      </c>
      <c r="J56" s="25"/>
      <c r="K56" s="32">
        <f t="shared" ref="K56:L56" si="69">K14-K48</f>
        <v>262396242.91000009</v>
      </c>
      <c r="L56" s="32">
        <f t="shared" si="69"/>
        <v>324029152.21000016</v>
      </c>
      <c r="M56" s="25"/>
      <c r="N56" s="32">
        <f t="shared" ref="N56:O56" si="70">N14-N48</f>
        <v>395262767.69999981</v>
      </c>
      <c r="O56" s="32">
        <f t="shared" si="70"/>
        <v>328327643.79999995</v>
      </c>
      <c r="P56" s="25"/>
      <c r="Q56" s="32">
        <f t="shared" ref="Q56:R56" si="71">Q14-Q48</f>
        <v>689701698.72000003</v>
      </c>
      <c r="R56" s="32">
        <f t="shared" si="71"/>
        <v>664655825.50000012</v>
      </c>
      <c r="S56" s="25"/>
      <c r="T56" s="32">
        <f t="shared" ref="T56:U56" si="72">T14-T48</f>
        <v>444576449.74000001</v>
      </c>
      <c r="U56" s="32">
        <f t="shared" si="72"/>
        <v>344090076.2700001</v>
      </c>
      <c r="V56" s="25"/>
      <c r="W56" s="32">
        <f t="shared" ref="W56:X57" si="73">W14-W48</f>
        <v>449903160.8599999</v>
      </c>
      <c r="X56" s="32">
        <f t="shared" si="73"/>
        <v>231542475.04999995</v>
      </c>
      <c r="Y56" s="25"/>
      <c r="Z56" s="14">
        <f t="shared" ref="Z56:AA59" si="74">IF(T56&gt;0,W56/T56*100-100,"-")</f>
        <v>1.1981541359456003</v>
      </c>
      <c r="AA56" s="14">
        <f t="shared" si="74"/>
        <v>-32.70876115929785</v>
      </c>
    </row>
    <row r="57" spans="1:27" x14ac:dyDescent="0.3">
      <c r="A57" s="5" t="s">
        <v>72</v>
      </c>
      <c r="B57" s="32">
        <f t="shared" si="66"/>
        <v>74288823.349999964</v>
      </c>
      <c r="C57" s="32">
        <f t="shared" si="66"/>
        <v>43643806.120000005</v>
      </c>
      <c r="D57" s="25"/>
      <c r="E57" s="32">
        <f t="shared" si="67"/>
        <v>82942195.309999973</v>
      </c>
      <c r="F57" s="32">
        <f t="shared" si="67"/>
        <v>26587909.000000007</v>
      </c>
      <c r="G57" s="25"/>
      <c r="H57" s="32">
        <f t="shared" si="68"/>
        <v>-751823.16999989748</v>
      </c>
      <c r="I57" s="32">
        <f t="shared" si="68"/>
        <v>5133833.099999994</v>
      </c>
      <c r="J57" s="25"/>
      <c r="K57" s="32">
        <f t="shared" ref="K57:L57" si="75">K15-K49</f>
        <v>-37403143.589999974</v>
      </c>
      <c r="L57" s="32">
        <f t="shared" si="75"/>
        <v>-34234082.590000018</v>
      </c>
      <c r="M57" s="25"/>
      <c r="N57" s="32">
        <f t="shared" ref="N57:O57" si="76">N15-N49</f>
        <v>403017296.2700001</v>
      </c>
      <c r="O57" s="32">
        <f t="shared" si="76"/>
        <v>-5465502.8899999857</v>
      </c>
      <c r="P57" s="25"/>
      <c r="Q57" s="32">
        <f t="shared" ref="Q57:R57" si="77">Q15-Q49</f>
        <v>34162898.060000002</v>
      </c>
      <c r="R57" s="32">
        <f t="shared" si="77"/>
        <v>-84050367.370000005</v>
      </c>
      <c r="S57" s="25"/>
      <c r="T57" s="32">
        <f t="shared" ref="T57:U57" si="78">T15-T49</f>
        <v>75043935.199999958</v>
      </c>
      <c r="U57" s="32">
        <f t="shared" si="78"/>
        <v>57913286.240000024</v>
      </c>
      <c r="V57" s="25"/>
      <c r="W57" s="32">
        <f t="shared" si="73"/>
        <v>83618134.920000017</v>
      </c>
      <c r="X57" s="32">
        <f t="shared" si="73"/>
        <v>3405140.119999975</v>
      </c>
      <c r="Y57" s="25"/>
      <c r="Z57" s="14">
        <f t="shared" si="74"/>
        <v>11.425573162106858</v>
      </c>
      <c r="AA57" s="14">
        <f t="shared" si="74"/>
        <v>-94.120278193351623</v>
      </c>
    </row>
    <row r="58" spans="1:27" x14ac:dyDescent="0.3">
      <c r="A58" s="5" t="s">
        <v>357</v>
      </c>
      <c r="B58" s="32">
        <f t="shared" ref="B58:C58" si="79">SUM(B14:B16)-SUM(B48:B50)</f>
        <v>141401473.95000005</v>
      </c>
      <c r="C58" s="32">
        <f t="shared" si="79"/>
        <v>176846639.69999993</v>
      </c>
      <c r="D58" s="25"/>
      <c r="E58" s="32">
        <f t="shared" ref="E58:F58" si="80">SUM(E14:E16)-SUM(E48:E50)</f>
        <v>240420881.36000013</v>
      </c>
      <c r="F58" s="32">
        <f t="shared" si="80"/>
        <v>224014239.28000009</v>
      </c>
      <c r="G58" s="25"/>
      <c r="H58" s="32">
        <f t="shared" ref="H58:I58" si="81">SUM(H14:H16)-SUM(H48:H50)</f>
        <v>323555140.07999992</v>
      </c>
      <c r="I58" s="32">
        <f t="shared" si="81"/>
        <v>268808409.74999976</v>
      </c>
      <c r="J58" s="25"/>
      <c r="K58" s="32">
        <f t="shared" ref="K58:L58" si="82">SUM(K14:K16)-SUM(K48:K50)</f>
        <v>226383099.32000017</v>
      </c>
      <c r="L58" s="32">
        <f t="shared" si="82"/>
        <v>291185069.62000012</v>
      </c>
      <c r="M58" s="25"/>
      <c r="N58" s="32">
        <f t="shared" ref="N58:O58" si="83">SUM(N14:N16)-SUM(N48:N50)</f>
        <v>798852702.5599997</v>
      </c>
      <c r="O58" s="32">
        <f t="shared" si="83"/>
        <v>323434779.49999988</v>
      </c>
      <c r="P58" s="25"/>
      <c r="Q58" s="32">
        <f t="shared" ref="Q58:R58" si="84">SUM(Q14:Q16)-SUM(Q48:Q50)</f>
        <v>723864596.77999997</v>
      </c>
      <c r="R58" s="32">
        <f t="shared" si="84"/>
        <v>580605458.13000011</v>
      </c>
      <c r="S58" s="25"/>
      <c r="T58" s="32">
        <f t="shared" ref="T58:U58" si="85">SUM(T14:T16)-SUM(T48:T50)</f>
        <v>519639901.39999986</v>
      </c>
      <c r="U58" s="32">
        <f t="shared" si="85"/>
        <v>402022878.97000003</v>
      </c>
      <c r="V58" s="25"/>
      <c r="W58" s="32">
        <f t="shared" ref="W58:X58" si="86">SUM(W14:W16)-SUM(W48:W50)</f>
        <v>533729432.89999962</v>
      </c>
      <c r="X58" s="32">
        <f t="shared" si="86"/>
        <v>235155752.28999972</v>
      </c>
      <c r="Y58" s="25"/>
      <c r="Z58" s="14">
        <f t="shared" si="74"/>
        <v>2.7114029276889937</v>
      </c>
      <c r="AA58" s="14">
        <f t="shared" si="74"/>
        <v>-41.506873217643999</v>
      </c>
    </row>
    <row r="59" spans="1:27" x14ac:dyDescent="0.3">
      <c r="A59" s="5" t="s">
        <v>358</v>
      </c>
      <c r="B59" s="32">
        <f t="shared" ref="B59:C59" si="87">B21-B55</f>
        <v>66985127.260000229</v>
      </c>
      <c r="C59" s="32">
        <f t="shared" si="87"/>
        <v>148215162.51000023</v>
      </c>
      <c r="D59" s="106"/>
      <c r="E59" s="32">
        <f t="shared" ref="E59:F59" si="88">E21-E55</f>
        <v>177619592.59000015</v>
      </c>
      <c r="F59" s="32">
        <f t="shared" si="88"/>
        <v>156350894.00999975</v>
      </c>
      <c r="G59" s="106"/>
      <c r="H59" s="32">
        <f t="shared" ref="H59:I59" si="89">H21-H55</f>
        <v>286823335.12999964</v>
      </c>
      <c r="I59" s="32">
        <f t="shared" si="89"/>
        <v>229335470.89999986</v>
      </c>
      <c r="J59" s="106"/>
      <c r="K59" s="32">
        <f t="shared" ref="K59:L59" si="90">K21-K55</f>
        <v>324442731.9000001</v>
      </c>
      <c r="L59" s="32">
        <f t="shared" si="90"/>
        <v>277106630.10000014</v>
      </c>
      <c r="M59" s="106"/>
      <c r="N59" s="32">
        <f t="shared" ref="N59:O59" si="91">N21-N55</f>
        <v>1262687860.8200002</v>
      </c>
      <c r="O59" s="32">
        <f t="shared" si="91"/>
        <v>750991937.61999941</v>
      </c>
      <c r="P59" s="106"/>
      <c r="Q59" s="32">
        <f t="shared" ref="Q59:R59" si="92">Q21-Q55</f>
        <v>640584881.70000029</v>
      </c>
      <c r="R59" s="32">
        <f t="shared" si="92"/>
        <v>490436900.73000002</v>
      </c>
      <c r="S59" s="106"/>
      <c r="T59" s="32">
        <f t="shared" ref="T59:U59" si="93">T21-T55</f>
        <v>419774979.91999984</v>
      </c>
      <c r="U59" s="32">
        <f t="shared" si="93"/>
        <v>263060594.17999971</v>
      </c>
      <c r="V59" s="106"/>
      <c r="W59" s="32">
        <f t="shared" ref="W59:X59" si="94">W21-W55</f>
        <v>411047932.52999973</v>
      </c>
      <c r="X59" s="32">
        <f t="shared" si="94"/>
        <v>118275808.02999973</v>
      </c>
      <c r="Y59" s="106"/>
      <c r="Z59" s="14">
        <f t="shared" si="74"/>
        <v>-2.0789822660853332</v>
      </c>
      <c r="AA59" s="14">
        <f t="shared" si="74"/>
        <v>-55.038568813894912</v>
      </c>
    </row>
    <row r="60" spans="1:27" x14ac:dyDescent="0.3">
      <c r="A60" s="5" t="s">
        <v>359</v>
      </c>
      <c r="C60" s="6">
        <f>SUM(C14:C16)/SUM(B14:B16)*100</f>
        <v>58.505193091730114</v>
      </c>
      <c r="D60" s="106"/>
      <c r="F60" s="6">
        <f>SUM(F14:F16)/SUM(E14:E16)*100</f>
        <v>54.020640415729645</v>
      </c>
      <c r="G60" s="106"/>
      <c r="I60" s="6">
        <f>SUM(I14:I16)/SUM(H14:H16)*100</f>
        <v>63.191072685235227</v>
      </c>
      <c r="J60" s="106"/>
      <c r="L60" s="6">
        <f>SUM(L14:L16)/SUM(K14:K16)*100</f>
        <v>57.446721581728191</v>
      </c>
      <c r="M60" s="106"/>
      <c r="O60" s="6">
        <f>SUM(O14:O16)/SUM(N14:N16)*100</f>
        <v>51.021464947086855</v>
      </c>
      <c r="P60" s="106"/>
      <c r="R60" s="6">
        <f>SUM(R14:R16)/SUM(Q14:Q16)*100</f>
        <v>63.843554729928897</v>
      </c>
      <c r="S60" s="106"/>
      <c r="U60" s="6">
        <f>SUM(U14:U16)/SUM(T14:T16)*100</f>
        <v>61.415416711798009</v>
      </c>
      <c r="V60" s="106"/>
      <c r="X60" s="6">
        <f>SUM(X14:X16)/SUM(W14:W16)*100</f>
        <v>63.930243017028587</v>
      </c>
      <c r="Y60" s="106"/>
    </row>
    <row r="61" spans="1:27" x14ac:dyDescent="0.3">
      <c r="A61" s="5" t="s">
        <v>360</v>
      </c>
      <c r="C61" s="6">
        <f>SUM(C48:C50)/SUM(B48:B50)*100</f>
        <v>52.107639079175257</v>
      </c>
      <c r="D61" s="106"/>
      <c r="F61" s="6">
        <f>SUM(F48:F50)/SUM(E48:E50)*100</f>
        <v>47.128658168080342</v>
      </c>
      <c r="G61" s="106"/>
      <c r="I61" s="6">
        <f>SUM(I48:I50)/SUM(H48:H50)*100</f>
        <v>58.49907551833379</v>
      </c>
      <c r="J61" s="106"/>
      <c r="L61" s="6">
        <f>SUM(L48:L50)/SUM(K48:K50)*100</f>
        <v>46.374851002674419</v>
      </c>
      <c r="M61" s="106"/>
      <c r="O61" s="6">
        <f>SUM(O48:O50)/SUM(N48:N50)*100</f>
        <v>57.317864341444178</v>
      </c>
      <c r="P61" s="106"/>
      <c r="R61" s="6">
        <f>SUM(R48:R50)/SUM(Q48:Q50)*100</f>
        <v>54.408523170948385</v>
      </c>
      <c r="S61" s="106"/>
      <c r="U61" s="6">
        <f>SUM(U48:U50)/SUM(T48:T50)*100</f>
        <v>55.245248260771774</v>
      </c>
      <c r="V61" s="106"/>
      <c r="X61" s="6">
        <f>SUM(X48:X50)/SUM(W48:W50)*100</f>
        <v>71.269440010600846</v>
      </c>
      <c r="Y61" s="106"/>
    </row>
    <row r="62" spans="1:27" x14ac:dyDescent="0.3">
      <c r="A62" s="5" t="s">
        <v>361</v>
      </c>
      <c r="B62" s="113">
        <f>(B3+B5+B6+B9+B10+B16)/(B14+B15+B16)*100</f>
        <v>73.932428112639855</v>
      </c>
      <c r="C62" s="113">
        <f>(C3+C5+C6+C9+C10+C16)/(C14+C15+C16)*100</f>
        <v>78.165491900297241</v>
      </c>
      <c r="E62" s="113">
        <f>(E3+E5+E6+E9+E10+E16)/(E14+E15+E16)*100</f>
        <v>71.501389808513665</v>
      </c>
      <c r="F62" s="113">
        <f>(F3+F5+F6+F9+F10+F16)/(F14+F15+F16)*100</f>
        <v>82.220056376014227</v>
      </c>
      <c r="H62" s="113">
        <f>(H3+H5+H6+H9+H10+H16)/(H14+H15+H16)*100</f>
        <v>74.328389941905868</v>
      </c>
      <c r="I62" s="113">
        <f>(I3+I5+I6+I9+I10+I16)/(I14+I15+I16)*100</f>
        <v>73.375886537316816</v>
      </c>
      <c r="K62" s="113">
        <f>(K3+K5+K6+K9+K10+K16)/(K14+K15+K16)*100</f>
        <v>74.973862244009382</v>
      </c>
      <c r="L62" s="113">
        <f>(L3+L5+L6+L9+L10+L16)/(L14+L15+L16)*100</f>
        <v>79.14641157135091</v>
      </c>
      <c r="N62" s="113">
        <f>(N3+N5+N6+N9+N10+N16)/(N14+N15+N16)*100</f>
        <v>54.831776921071636</v>
      </c>
      <c r="O62" s="113">
        <f>(O3+O5+O6+O9+O10+O16)/(O14+O15+O16)*100</f>
        <v>62.769590433702916</v>
      </c>
      <c r="Q62" s="113">
        <f>(Q3+Q5+Q6+Q9+Q10+Q16)/(Q14+Q15+Q16)*100</f>
        <v>57.441415462394005</v>
      </c>
      <c r="R62" s="113">
        <f>(R3+R5+R6+R9+R10+R16)/(R14+R15+R16)*100</f>
        <v>54.011619643830777</v>
      </c>
      <c r="T62" s="113">
        <f>(T3+T5+T6+T9+T10+T16)/(T14+T15+T16)*100</f>
        <v>62.411940040951706</v>
      </c>
      <c r="U62" s="113">
        <f>(U3+U5+U6+U9+U10+U16)/(U14+U15+U16)*100</f>
        <v>59.033447842709506</v>
      </c>
      <c r="W62" s="113">
        <f>(W3+W5+W6+W9+W10+W16)/(W14+W15+W16)*100</f>
        <v>61.577115917959503</v>
      </c>
      <c r="X62" s="113">
        <f>(X3+X5+X6+X9+X10+X16)/(X14+X15+X16)*100</f>
        <v>57.460892549743456</v>
      </c>
    </row>
    <row r="63" spans="1:27" x14ac:dyDescent="0.3">
      <c r="A63" s="5" t="s">
        <v>362</v>
      </c>
      <c r="B63" s="113">
        <f>(B4+B7+B8)/(B14+B15+B16)*100</f>
        <v>26.067571887360145</v>
      </c>
      <c r="C63" s="113">
        <f>(C4+C7+C8)/(C14+C15+C16)*100</f>
        <v>21.834508099702759</v>
      </c>
      <c r="E63" s="113">
        <f>(E4+E7+E8)/(E14+E15+E16)*100</f>
        <v>28.498610191486307</v>
      </c>
      <c r="F63" s="113">
        <f>(F4+F7+F8)/(F14+F15+F16)*100</f>
        <v>17.779943623985776</v>
      </c>
      <c r="H63" s="113">
        <f>(H4+H7+H8)/(H14+H15+H16)*100</f>
        <v>25.671610058094132</v>
      </c>
      <c r="I63" s="113">
        <f>(I4+I7+I8)/(I14+I15+I16)*100</f>
        <v>26.624113462683184</v>
      </c>
      <c r="K63" s="113">
        <f>(K4+K7+K8)/(K14+K15+K16)*100</f>
        <v>25.0261377559906</v>
      </c>
      <c r="L63" s="113">
        <f>(L4+L7+L8)/(L14+L15+L16)*100</f>
        <v>20.853588428649068</v>
      </c>
      <c r="N63" s="113">
        <f>(N4+N7+N8)/(N14+N15+N16)*100</f>
        <v>45.168223078928371</v>
      </c>
      <c r="O63" s="113">
        <f>(O4+O7+O8)/(O14+O15+O16)*100</f>
        <v>37.230409566297098</v>
      </c>
      <c r="Q63" s="113">
        <f>(Q4+Q7+Q8)/(Q14+Q15+Q16)*100</f>
        <v>42.558584537605988</v>
      </c>
      <c r="R63" s="113">
        <f>(R4+R7+R8)/(R14+R15+R16)*100</f>
        <v>45.988380356169216</v>
      </c>
      <c r="T63" s="113">
        <f>(T4+T7+T8)/(T14+T15+T16)*100</f>
        <v>37.588059959048287</v>
      </c>
      <c r="U63" s="113">
        <f>(U4+U7+U8)/(U14+U15+U16)*100</f>
        <v>40.966552157290501</v>
      </c>
      <c r="W63" s="113">
        <f>(W4+W7+W8)/(W14+W15+W16)*100</f>
        <v>38.422884082040504</v>
      </c>
      <c r="X63" s="113">
        <f>(X4+X7+X8)/(X14+X15+X16)*100</f>
        <v>42.539107450256566</v>
      </c>
    </row>
  </sheetData>
  <mergeCells count="9">
    <mergeCell ref="Z1:AA1"/>
    <mergeCell ref="B1:D1"/>
    <mergeCell ref="E1:G1"/>
    <mergeCell ref="H1:J1"/>
    <mergeCell ref="W1:Y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workbookViewId="0">
      <pane xSplit="1" topLeftCell="C1" activePane="topRight" state="frozen"/>
      <selection pane="topRight" activeCell="J2" sqref="J2:J28"/>
    </sheetView>
  </sheetViews>
  <sheetFormatPr defaultRowHeight="14.4" x14ac:dyDescent="0.3"/>
  <cols>
    <col min="1" max="1" width="51.6640625" style="36" bestFit="1" customWidth="1"/>
    <col min="2" max="10" width="13.88671875" bestFit="1" customWidth="1"/>
    <col min="11" max="12" width="12.6640625" bestFit="1" customWidth="1"/>
  </cols>
  <sheetData>
    <row r="1" spans="1:10" x14ac:dyDescent="0.3">
      <c r="A1" s="78"/>
      <c r="B1" s="74">
        <v>2015</v>
      </c>
      <c r="C1" s="74">
        <v>2016</v>
      </c>
      <c r="D1" s="74">
        <v>2017</v>
      </c>
      <c r="E1" s="74">
        <v>2018</v>
      </c>
      <c r="F1" s="74">
        <v>2019</v>
      </c>
      <c r="G1" s="74">
        <v>2020</v>
      </c>
      <c r="H1" s="74">
        <v>2021</v>
      </c>
      <c r="I1" s="74">
        <v>2022</v>
      </c>
      <c r="J1" s="74">
        <v>2023</v>
      </c>
    </row>
    <row r="2" spans="1:10" x14ac:dyDescent="0.3">
      <c r="A2" s="36" t="s">
        <v>212</v>
      </c>
      <c r="B2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6" t="s">
        <v>213</v>
      </c>
      <c r="B3" s="1">
        <v>0</v>
      </c>
      <c r="C3" s="1">
        <v>48678</v>
      </c>
      <c r="D3" s="1">
        <v>479139.08</v>
      </c>
      <c r="E3" s="1">
        <v>2753169.56</v>
      </c>
      <c r="F3" s="1">
        <v>4172866.06</v>
      </c>
      <c r="G3" s="1">
        <v>5706673.7699999996</v>
      </c>
      <c r="H3" s="1">
        <v>5448022.3899999997</v>
      </c>
      <c r="I3" s="1">
        <v>9271075.4299999997</v>
      </c>
      <c r="J3" s="1">
        <v>12364915.58</v>
      </c>
    </row>
    <row r="4" spans="1:10" x14ac:dyDescent="0.3">
      <c r="A4" s="36" t="s">
        <v>214</v>
      </c>
      <c r="B4" s="1">
        <v>7833990914</v>
      </c>
      <c r="C4" s="1">
        <v>7913526930.9899998</v>
      </c>
      <c r="D4" s="1">
        <v>8153781752.8900003</v>
      </c>
      <c r="E4" s="1">
        <v>8378641304.9499998</v>
      </c>
      <c r="F4" s="1">
        <v>8572126465.6899996</v>
      </c>
      <c r="G4" s="1">
        <v>8716138229.2199993</v>
      </c>
      <c r="H4" s="1">
        <v>8353296094.5</v>
      </c>
      <c r="I4" s="1">
        <v>8391541214.7600002</v>
      </c>
      <c r="J4" s="1">
        <v>8541563188.1400003</v>
      </c>
    </row>
    <row r="5" spans="1:10" x14ac:dyDescent="0.3">
      <c r="A5" s="36" t="s">
        <v>228</v>
      </c>
      <c r="B5" s="1">
        <v>490634395</v>
      </c>
      <c r="C5" s="1">
        <v>490634395</v>
      </c>
      <c r="D5" s="1">
        <v>408427438.79000002</v>
      </c>
      <c r="E5" s="1">
        <v>384447424.94</v>
      </c>
      <c r="F5" s="1">
        <v>380148486.92000002</v>
      </c>
      <c r="G5" s="1">
        <v>422001939.25</v>
      </c>
      <c r="H5" s="1">
        <v>418689308.30000001</v>
      </c>
      <c r="I5" s="1">
        <v>448031591.00999999</v>
      </c>
      <c r="J5" s="1">
        <v>526276196.06999999</v>
      </c>
    </row>
    <row r="6" spans="1:10" x14ac:dyDescent="0.3">
      <c r="A6" s="36" t="s">
        <v>229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3">
      <c r="A7" s="36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3">
      <c r="A8" s="36" t="s">
        <v>231</v>
      </c>
      <c r="B8" s="1">
        <v>201253</v>
      </c>
      <c r="C8" s="1">
        <v>201253</v>
      </c>
      <c r="D8" s="1">
        <v>201253</v>
      </c>
      <c r="E8" s="1">
        <v>86500</v>
      </c>
      <c r="F8" s="1">
        <v>120600</v>
      </c>
      <c r="G8" s="1">
        <v>216459</v>
      </c>
      <c r="H8" s="1">
        <v>93003</v>
      </c>
      <c r="I8" s="1">
        <v>128065.12</v>
      </c>
      <c r="J8" s="1">
        <v>94580.99</v>
      </c>
    </row>
    <row r="9" spans="1:10" x14ac:dyDescent="0.3">
      <c r="A9" s="36" t="s">
        <v>215</v>
      </c>
      <c r="B9" s="1">
        <v>2654082778</v>
      </c>
      <c r="C9" s="1">
        <v>1332282357.48</v>
      </c>
      <c r="D9" s="1">
        <v>1084862668.05</v>
      </c>
      <c r="E9" s="1">
        <v>1557790268.05</v>
      </c>
      <c r="F9" s="1">
        <v>1517062347.04</v>
      </c>
      <c r="G9" s="1">
        <v>1853735678.25</v>
      </c>
      <c r="H9" s="1">
        <v>1860311175.45</v>
      </c>
      <c r="I9" s="1">
        <v>1866805491.8800001</v>
      </c>
      <c r="J9" s="1">
        <v>1305879730.8599999</v>
      </c>
    </row>
    <row r="10" spans="1:10" x14ac:dyDescent="0.3">
      <c r="A10" s="36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3">
      <c r="A11" s="36" t="s">
        <v>216</v>
      </c>
      <c r="B11" s="1">
        <v>224011708.02000001</v>
      </c>
      <c r="C11" s="1">
        <v>192156591.30000001</v>
      </c>
      <c r="D11" s="1">
        <v>72951051.620000005</v>
      </c>
      <c r="E11" s="1">
        <v>136312922.55000001</v>
      </c>
      <c r="F11" s="1">
        <v>74594049.599999994</v>
      </c>
      <c r="G11" s="1">
        <v>380767524.38999999</v>
      </c>
      <c r="H11" s="1">
        <v>752683784.89999998</v>
      </c>
      <c r="I11" s="1">
        <v>1001613942.89</v>
      </c>
      <c r="J11" s="1">
        <v>1219200027.49</v>
      </c>
    </row>
    <row r="12" spans="1:10" x14ac:dyDescent="0.3">
      <c r="A12" s="36" t="s">
        <v>217</v>
      </c>
      <c r="B12" s="1">
        <v>7425077</v>
      </c>
      <c r="C12" s="1">
        <v>7425077</v>
      </c>
      <c r="D12" s="1">
        <v>7425077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3">
      <c r="A13" s="11" t="s">
        <v>218</v>
      </c>
      <c r="B13" s="12">
        <f>SUM(B2:B12)</f>
        <v>11210346125.02</v>
      </c>
      <c r="C13" s="12">
        <f>SUM(C2:C12)</f>
        <v>9936275282.7699986</v>
      </c>
      <c r="D13" s="12">
        <f>SUM(D2:D12)</f>
        <v>9728128380.4300003</v>
      </c>
      <c r="E13" s="12">
        <f>SUM(E2:E12)</f>
        <v>10460031590.049999</v>
      </c>
      <c r="F13" s="12">
        <f t="shared" ref="F13:J13" si="0">SUM(F2:F12)</f>
        <v>10548224815.309999</v>
      </c>
      <c r="G13" s="12">
        <f t="shared" ref="G13" si="1">SUM(G2:G12)</f>
        <v>11378566503.879999</v>
      </c>
      <c r="H13" s="12">
        <f t="shared" ref="H13" si="2">SUM(H2:H12)</f>
        <v>11390521388.540001</v>
      </c>
      <c r="I13" s="12">
        <f t="shared" ref="I13" si="3">SUM(I2:I12)</f>
        <v>11717391381.09</v>
      </c>
      <c r="J13" s="12">
        <f t="shared" si="0"/>
        <v>11605378639.130001</v>
      </c>
    </row>
    <row r="14" spans="1:10" x14ac:dyDescent="0.3">
      <c r="A14" s="36" t="s">
        <v>219</v>
      </c>
      <c r="B14" s="1">
        <v>4139259664.6100001</v>
      </c>
      <c r="C14" s="1">
        <v>4139259664.6100001</v>
      </c>
      <c r="D14" s="1">
        <v>4139259664.6100001</v>
      </c>
      <c r="E14" s="1">
        <v>1767997776.7</v>
      </c>
      <c r="F14" s="1">
        <v>1779761137.8800001</v>
      </c>
      <c r="G14" s="1">
        <v>310672390.00999999</v>
      </c>
      <c r="H14" s="1">
        <v>705169768.29999995</v>
      </c>
      <c r="I14" s="1">
        <v>773062696.39999998</v>
      </c>
      <c r="J14" s="1">
        <v>839501515.88</v>
      </c>
    </row>
    <row r="15" spans="1:10" x14ac:dyDescent="0.3">
      <c r="A15" s="36" t="s">
        <v>220</v>
      </c>
      <c r="B15" s="1">
        <v>3541434156</v>
      </c>
      <c r="C15" s="1">
        <v>2131283021</v>
      </c>
      <c r="D15" s="1">
        <v>1644719767.51</v>
      </c>
      <c r="E15" s="1">
        <v>3852760452.5900002</v>
      </c>
      <c r="F15" s="1">
        <v>3635888887.98</v>
      </c>
      <c r="G15" s="1">
        <v>5389995736.7200003</v>
      </c>
      <c r="H15" s="1">
        <v>4520320898.3999996</v>
      </c>
      <c r="I15" s="1">
        <v>4485315343.6999998</v>
      </c>
      <c r="J15" s="1">
        <v>4916644865.3100004</v>
      </c>
    </row>
    <row r="16" spans="1:10" x14ac:dyDescent="0.3">
      <c r="A16" s="36" t="s">
        <v>235</v>
      </c>
      <c r="B16" s="1">
        <v>65366100</v>
      </c>
      <c r="C16" s="1">
        <v>65366100</v>
      </c>
      <c r="D16" s="1">
        <v>66366100</v>
      </c>
      <c r="E16" s="1">
        <v>68339672.230000004</v>
      </c>
      <c r="F16" s="1">
        <v>70468212.420000002</v>
      </c>
      <c r="G16" s="1">
        <v>72236136.909999996</v>
      </c>
      <c r="H16" s="1">
        <v>72545436.299999997</v>
      </c>
      <c r="I16" s="1">
        <v>76090527.079999998</v>
      </c>
      <c r="J16" s="1">
        <v>85842494.549999997</v>
      </c>
    </row>
    <row r="17" spans="1:12" x14ac:dyDescent="0.3">
      <c r="A17" s="36" t="s">
        <v>221</v>
      </c>
      <c r="B17" s="1">
        <v>0</v>
      </c>
      <c r="C17" s="1">
        <v>565395852.19000006</v>
      </c>
      <c r="D17" s="1">
        <v>-166194775.06</v>
      </c>
      <c r="E17" s="1">
        <v>-207236743.62</v>
      </c>
      <c r="F17" s="1">
        <v>283250176.38</v>
      </c>
      <c r="G17" s="1">
        <v>688282227.37</v>
      </c>
      <c r="H17" s="1">
        <v>-26463896.899999999</v>
      </c>
      <c r="I17" s="1">
        <v>409968286.60000002</v>
      </c>
      <c r="J17" s="1">
        <v>223043921.44</v>
      </c>
    </row>
    <row r="18" spans="1:12" x14ac:dyDescent="0.3">
      <c r="A18" s="36" t="s">
        <v>364</v>
      </c>
      <c r="B18" s="1"/>
      <c r="C18" s="1"/>
      <c r="D18" s="1"/>
      <c r="E18" s="1"/>
      <c r="F18" s="1"/>
      <c r="G18" s="1">
        <v>0</v>
      </c>
      <c r="H18" s="1">
        <v>1163768986.7</v>
      </c>
      <c r="I18" s="1">
        <v>1137305089.8</v>
      </c>
      <c r="J18" s="1">
        <v>1137305089.8</v>
      </c>
    </row>
    <row r="19" spans="1:12" x14ac:dyDescent="0.3">
      <c r="A19" s="36" t="s">
        <v>365</v>
      </c>
      <c r="B19" s="1"/>
      <c r="C19" s="1"/>
      <c r="D19" s="1"/>
      <c r="E19" s="1"/>
      <c r="F19" s="1"/>
      <c r="G19" s="1">
        <v>0</v>
      </c>
      <c r="H19" s="1">
        <v>0</v>
      </c>
      <c r="I19" s="1">
        <v>0</v>
      </c>
      <c r="J19" s="1">
        <v>0</v>
      </c>
    </row>
    <row r="20" spans="1:12" x14ac:dyDescent="0.3">
      <c r="A20" s="36" t="s">
        <v>222</v>
      </c>
      <c r="B20" s="1">
        <v>0</v>
      </c>
      <c r="C20" s="1">
        <v>0</v>
      </c>
      <c r="D20" s="1">
        <v>0</v>
      </c>
      <c r="E20" s="1">
        <v>568634467.07000005</v>
      </c>
      <c r="F20" s="1">
        <v>522408765.08999997</v>
      </c>
      <c r="G20" s="1">
        <v>476798518.94999999</v>
      </c>
      <c r="H20" s="1">
        <f>652595845.4+1269.21</f>
        <v>652597114.61000001</v>
      </c>
      <c r="I20" s="1">
        <f>686055910.3+12195.44</f>
        <v>686068105.74000001</v>
      </c>
      <c r="J20" s="1">
        <f>708621002.43+24813.96</f>
        <v>708645816.38999999</v>
      </c>
    </row>
    <row r="21" spans="1:12" x14ac:dyDescent="0.3">
      <c r="A21" s="36" t="s">
        <v>209</v>
      </c>
      <c r="B21" s="1">
        <v>2753350953.4000001</v>
      </c>
      <c r="C21" s="1">
        <v>2661085530.5300002</v>
      </c>
      <c r="D21" s="1">
        <v>2612263130.9899998</v>
      </c>
      <c r="E21" s="1">
        <v>2555027073.9000001</v>
      </c>
      <c r="F21" s="1">
        <v>2680789116.8000002</v>
      </c>
      <c r="G21" s="1">
        <v>3145674319.7600002</v>
      </c>
      <c r="H21" s="1">
        <v>3067574038.4000001</v>
      </c>
      <c r="I21" s="1">
        <v>2969223951</v>
      </c>
      <c r="J21" s="1">
        <v>2865588677.4299998</v>
      </c>
    </row>
    <row r="22" spans="1:12" x14ac:dyDescent="0.3">
      <c r="A22" s="36" t="s">
        <v>223</v>
      </c>
      <c r="B22" s="1">
        <v>312513004.41000003</v>
      </c>
      <c r="C22" s="1">
        <v>21875910.309999999</v>
      </c>
      <c r="D22" s="1">
        <v>1102358192.9200001</v>
      </c>
      <c r="E22" s="1">
        <v>1089559851.03</v>
      </c>
      <c r="F22" s="1">
        <v>719954778.20000005</v>
      </c>
      <c r="G22" s="1">
        <v>868486737.47000003</v>
      </c>
      <c r="H22" s="1">
        <v>803207486.01999998</v>
      </c>
      <c r="I22" s="1">
        <v>783100342.71000004</v>
      </c>
      <c r="J22" s="1">
        <v>585071931.50999999</v>
      </c>
    </row>
    <row r="23" spans="1:12" x14ac:dyDescent="0.3">
      <c r="A23" s="36" t="s">
        <v>224</v>
      </c>
      <c r="B23" s="1">
        <v>359509384.60000002</v>
      </c>
      <c r="C23" s="1">
        <v>397464726.92000002</v>
      </c>
      <c r="D23" s="1">
        <v>285072880.98000002</v>
      </c>
      <c r="E23" s="1">
        <v>389013376.45999998</v>
      </c>
      <c r="F23" s="1">
        <v>483004388.89999998</v>
      </c>
      <c r="G23" s="1">
        <v>83422747.189999998</v>
      </c>
      <c r="H23" s="1">
        <v>101693455.2</v>
      </c>
      <c r="I23" s="1">
        <v>76498209.5</v>
      </c>
      <c r="J23" s="1">
        <v>63025777.189999998</v>
      </c>
    </row>
    <row r="24" spans="1:12" x14ac:dyDescent="0.3">
      <c r="A24" s="36" t="s">
        <v>225</v>
      </c>
      <c r="B24" s="1">
        <v>90048496</v>
      </c>
      <c r="C24" s="1">
        <v>5680111.21</v>
      </c>
      <c r="D24" s="1">
        <v>96419052.379999995</v>
      </c>
      <c r="E24" s="1">
        <v>434319523.31999999</v>
      </c>
      <c r="F24" s="1">
        <v>443167563.89999998</v>
      </c>
      <c r="G24" s="1">
        <v>415233826.41000003</v>
      </c>
      <c r="H24" s="1">
        <v>402653537.69999999</v>
      </c>
      <c r="I24" s="1">
        <v>396849355.30000001</v>
      </c>
      <c r="J24" s="1">
        <v>244663904.37</v>
      </c>
      <c r="K24" s="1"/>
      <c r="L24" s="1"/>
    </row>
    <row r="25" spans="1:12" x14ac:dyDescent="0.3">
      <c r="A25" s="36" t="s">
        <v>226</v>
      </c>
      <c r="B25" s="1">
        <v>14230466</v>
      </c>
      <c r="C25" s="1">
        <v>14230466</v>
      </c>
      <c r="D25" s="1">
        <v>14230466</v>
      </c>
      <c r="E25" s="1">
        <v>9955812.5999999996</v>
      </c>
      <c r="F25" s="1">
        <v>0</v>
      </c>
      <c r="G25" s="1">
        <v>0</v>
      </c>
      <c r="H25" s="1">
        <v>0</v>
      </c>
      <c r="I25" s="1">
        <v>0</v>
      </c>
      <c r="J25" s="1">
        <v>21887139.859999999</v>
      </c>
    </row>
    <row r="26" spans="1:12" x14ac:dyDescent="0.3">
      <c r="A26" s="77" t="s">
        <v>227</v>
      </c>
      <c r="B26" s="3">
        <f>SUM(B14:B25)-B16</f>
        <v>11210346125.02</v>
      </c>
      <c r="C26" s="3">
        <f>SUM(C14:C25)-C16</f>
        <v>9936275282.7700005</v>
      </c>
      <c r="D26" s="3">
        <f t="shared" ref="D26:E26" si="4">SUM(D14:D25)-D16</f>
        <v>9728128380.329998</v>
      </c>
      <c r="E26" s="3">
        <f t="shared" si="4"/>
        <v>10460031590.049999</v>
      </c>
      <c r="F26" s="3">
        <f t="shared" ref="F26:J26" si="5">SUM(F14:F25)-F16</f>
        <v>10548224815.130001</v>
      </c>
      <c r="G26" s="3">
        <f t="shared" ref="G26" si="6">SUM(G14:G25)-G16</f>
        <v>11378566503.880001</v>
      </c>
      <c r="H26" s="3">
        <f t="shared" ref="H26" si="7">SUM(H14:H25)-H16</f>
        <v>11390521388.430002</v>
      </c>
      <c r="I26" s="3">
        <f t="shared" ref="I26" si="8">SUM(I14:I25)-I16</f>
        <v>11717391380.749998</v>
      </c>
      <c r="J26" s="3">
        <f t="shared" si="5"/>
        <v>11605378639.180004</v>
      </c>
    </row>
    <row r="27" spans="1:12" x14ac:dyDescent="0.3">
      <c r="A27" s="11" t="s">
        <v>267</v>
      </c>
      <c r="B27" s="12">
        <f>B14+B15+B17+B18+B19</f>
        <v>7680693820.6100006</v>
      </c>
      <c r="C27" s="12">
        <f>C14+C15+C17+C18+C19</f>
        <v>6835938537.8000011</v>
      </c>
      <c r="D27" s="12">
        <f>D14+D15+D17+D18+D19</f>
        <v>5617784657.0599995</v>
      </c>
      <c r="E27" s="12">
        <f>E14+E15+E17+E18+E19</f>
        <v>5413521485.6700001</v>
      </c>
      <c r="F27" s="12">
        <f t="shared" ref="F27:G27" si="9">F14+F15+F17+F18+F19</f>
        <v>5698900202.2400007</v>
      </c>
      <c r="G27" s="12">
        <f t="shared" si="9"/>
        <v>6388950354.1000004</v>
      </c>
      <c r="H27" s="12">
        <f>H14+H15+H17+H18+H19</f>
        <v>6362795756.5</v>
      </c>
      <c r="I27" s="12">
        <f>I14+I15+I17+I18+I19</f>
        <v>6805651416.5</v>
      </c>
      <c r="J27" s="12">
        <f>J14+J15+J17+J18+J19</f>
        <v>7116495392.4300003</v>
      </c>
      <c r="K27" s="102"/>
    </row>
    <row r="28" spans="1:12" x14ac:dyDescent="0.3">
      <c r="B28" s="6">
        <f>B27/B26*100</f>
        <v>68.51433251884805</v>
      </c>
      <c r="C28" s="6">
        <f>C27/C26*100</f>
        <v>68.797797396513971</v>
      </c>
      <c r="D28" s="6">
        <f>D27/D26*100</f>
        <v>57.747846630180192</v>
      </c>
      <c r="E28" s="6">
        <f>E27/E26*100</f>
        <v>51.754351208839168</v>
      </c>
      <c r="F28" s="6">
        <f t="shared" ref="F28:J28" si="10">F27/F26*100</f>
        <v>54.027102210276176</v>
      </c>
      <c r="G28" s="6">
        <f t="shared" si="10"/>
        <v>56.148991631954857</v>
      </c>
      <c r="H28" s="6">
        <f t="shared" ref="H28:I28" si="11">H27/H26*100</f>
        <v>55.860443429420634</v>
      </c>
      <c r="I28" s="6">
        <f t="shared" si="11"/>
        <v>58.081625810337911</v>
      </c>
      <c r="J28" s="6">
        <f t="shared" si="10"/>
        <v>61.320665302591351</v>
      </c>
    </row>
    <row r="29" spans="1:12" x14ac:dyDescent="0.3">
      <c r="B29" s="1"/>
    </row>
    <row r="30" spans="1:12" x14ac:dyDescent="0.3">
      <c r="B30" s="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A86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4" max="6" width="7.44140625" bestFit="1" customWidth="1"/>
    <col min="7" max="11" width="8" bestFit="1" customWidth="1"/>
  </cols>
  <sheetData>
    <row r="1" spans="1:11" x14ac:dyDescent="0.3">
      <c r="A1" s="145" t="s">
        <v>210</v>
      </c>
      <c r="B1" s="145"/>
      <c r="C1" s="2" t="s">
        <v>211</v>
      </c>
      <c r="D1" s="2">
        <v>2016</v>
      </c>
      <c r="E1" s="2">
        <v>2017</v>
      </c>
      <c r="F1" s="2">
        <v>2018</v>
      </c>
      <c r="G1" s="109">
        <v>2019</v>
      </c>
      <c r="H1" s="117">
        <v>2020</v>
      </c>
      <c r="I1" s="121">
        <v>2021</v>
      </c>
      <c r="J1" s="138">
        <v>2022</v>
      </c>
      <c r="K1" s="105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38.409999999999997</v>
      </c>
      <c r="E3" s="7">
        <v>34.915178435862039</v>
      </c>
      <c r="F3" s="7">
        <v>41.13</v>
      </c>
      <c r="G3" s="7">
        <v>35.33</v>
      </c>
      <c r="H3" s="7">
        <v>38.19</v>
      </c>
      <c r="I3" s="7">
        <v>46.87</v>
      </c>
      <c r="J3" s="7">
        <v>42.62</v>
      </c>
      <c r="K3" s="7">
        <v>39.03</v>
      </c>
    </row>
    <row r="4" spans="1:11" x14ac:dyDescent="0.3">
      <c r="A4" t="s">
        <v>80</v>
      </c>
      <c r="D4" s="7"/>
      <c r="E4" s="7"/>
      <c r="F4" s="7"/>
    </row>
    <row r="5" spans="1:11" x14ac:dyDescent="0.3">
      <c r="A5" t="s">
        <v>81</v>
      </c>
      <c r="B5" t="s">
        <v>82</v>
      </c>
      <c r="D5" s="7">
        <v>93.47</v>
      </c>
      <c r="E5" s="7">
        <v>94.33</v>
      </c>
      <c r="F5" s="7">
        <v>90.46</v>
      </c>
      <c r="G5">
        <v>86.14</v>
      </c>
      <c r="H5">
        <v>89.92</v>
      </c>
      <c r="I5">
        <v>93.78</v>
      </c>
      <c r="J5">
        <v>90.73</v>
      </c>
      <c r="K5">
        <v>95.36</v>
      </c>
    </row>
    <row r="6" spans="1:11" x14ac:dyDescent="0.3">
      <c r="A6" t="s">
        <v>83</v>
      </c>
      <c r="B6" t="s">
        <v>84</v>
      </c>
      <c r="D6" s="7">
        <v>91.44</v>
      </c>
      <c r="E6" s="7">
        <v>92.64</v>
      </c>
      <c r="F6" s="7">
        <v>84.83</v>
      </c>
      <c r="G6">
        <v>85.38</v>
      </c>
      <c r="H6">
        <v>89.93</v>
      </c>
      <c r="I6">
        <v>89.42</v>
      </c>
      <c r="J6">
        <v>89.37</v>
      </c>
      <c r="K6">
        <v>96.5</v>
      </c>
    </row>
    <row r="7" spans="1:11" x14ac:dyDescent="0.3">
      <c r="A7" t="s">
        <v>85</v>
      </c>
      <c r="B7" t="s">
        <v>86</v>
      </c>
      <c r="D7" s="7">
        <v>57.09</v>
      </c>
      <c r="E7" s="7">
        <v>58.3</v>
      </c>
      <c r="F7" s="7">
        <v>57.97</v>
      </c>
      <c r="G7">
        <v>55.03</v>
      </c>
      <c r="H7">
        <v>50.9</v>
      </c>
      <c r="I7">
        <v>42.19</v>
      </c>
      <c r="J7">
        <v>45.14</v>
      </c>
      <c r="K7">
        <v>51.42</v>
      </c>
    </row>
    <row r="8" spans="1:11" x14ac:dyDescent="0.3">
      <c r="A8" t="s">
        <v>87</v>
      </c>
      <c r="B8" t="s">
        <v>88</v>
      </c>
      <c r="D8" s="7">
        <v>55.84</v>
      </c>
      <c r="E8" s="7">
        <v>57.26</v>
      </c>
      <c r="F8" s="7">
        <v>54.37</v>
      </c>
      <c r="G8">
        <v>54.54</v>
      </c>
      <c r="H8">
        <v>50.91</v>
      </c>
      <c r="I8">
        <v>40.229999999999997</v>
      </c>
      <c r="J8">
        <v>44.46</v>
      </c>
      <c r="K8">
        <v>52.04</v>
      </c>
    </row>
    <row r="9" spans="1:11" x14ac:dyDescent="0.3">
      <c r="A9" t="s">
        <v>89</v>
      </c>
      <c r="B9" t="s">
        <v>90</v>
      </c>
      <c r="D9" s="7">
        <v>94.35</v>
      </c>
      <c r="E9" s="7">
        <v>91.41</v>
      </c>
      <c r="F9" s="7">
        <v>75.709999999999994</v>
      </c>
      <c r="G9">
        <v>64.87</v>
      </c>
      <c r="H9">
        <v>81.44</v>
      </c>
      <c r="I9">
        <v>79.02</v>
      </c>
      <c r="J9">
        <v>73.41</v>
      </c>
      <c r="K9">
        <v>81.11</v>
      </c>
    </row>
    <row r="10" spans="1:11" x14ac:dyDescent="0.3">
      <c r="A10" t="s">
        <v>91</v>
      </c>
      <c r="B10" t="s">
        <v>92</v>
      </c>
      <c r="D10" s="7">
        <v>83.21</v>
      </c>
      <c r="E10" s="7">
        <v>75.98</v>
      </c>
      <c r="F10" s="7">
        <v>72.87</v>
      </c>
      <c r="G10">
        <v>67.849999999999994</v>
      </c>
      <c r="H10">
        <v>81.44</v>
      </c>
      <c r="I10">
        <v>79.849999999999994</v>
      </c>
      <c r="J10">
        <v>71.239999999999995</v>
      </c>
      <c r="K10">
        <v>79.69</v>
      </c>
    </row>
    <row r="11" spans="1:11" x14ac:dyDescent="0.3">
      <c r="A11" t="s">
        <v>93</v>
      </c>
      <c r="B11" t="s">
        <v>94</v>
      </c>
      <c r="D11" s="7">
        <v>51.33</v>
      </c>
      <c r="E11" s="7">
        <v>47.54</v>
      </c>
      <c r="F11" s="7">
        <v>41.51</v>
      </c>
      <c r="G11">
        <v>36.15</v>
      </c>
      <c r="H11">
        <v>35.75</v>
      </c>
      <c r="I11">
        <v>30.46</v>
      </c>
      <c r="J11">
        <v>36.880000000000003</v>
      </c>
      <c r="K11">
        <v>36.340000000000003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45.27</v>
      </c>
      <c r="E12" s="7">
        <v>39.520000000000003</v>
      </c>
      <c r="F12" s="7">
        <v>39.96</v>
      </c>
      <c r="G12">
        <v>37.82</v>
      </c>
      <c r="H12">
        <v>35.75</v>
      </c>
      <c r="I12">
        <v>30.78</v>
      </c>
      <c r="J12">
        <v>35.78</v>
      </c>
      <c r="K12">
        <v>35.71</v>
      </c>
    </row>
    <row r="13" spans="1:11" x14ac:dyDescent="0.3">
      <c r="A13" t="s">
        <v>97</v>
      </c>
      <c r="D13" s="7"/>
      <c r="E13" s="7"/>
      <c r="F13" s="7"/>
    </row>
    <row r="14" spans="1:11" x14ac:dyDescent="0.3">
      <c r="A14" t="s">
        <v>98</v>
      </c>
      <c r="B14" t="s">
        <v>99</v>
      </c>
      <c r="D14" s="7">
        <v>0.06</v>
      </c>
      <c r="E14" s="7">
        <v>0.06</v>
      </c>
      <c r="F14" s="7">
        <v>0</v>
      </c>
      <c r="G14">
        <v>0</v>
      </c>
      <c r="H14">
        <v>0.13</v>
      </c>
      <c r="I14">
        <v>0.13</v>
      </c>
      <c r="J14">
        <v>0</v>
      </c>
      <c r="K14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8.24</v>
      </c>
      <c r="E15" s="7">
        <v>0</v>
      </c>
      <c r="F15" s="7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1" x14ac:dyDescent="0.3">
      <c r="A16" t="s">
        <v>102</v>
      </c>
      <c r="D16" s="7"/>
      <c r="E16" s="7"/>
      <c r="F16" s="7"/>
    </row>
    <row r="17" spans="1:11" x14ac:dyDescent="0.3">
      <c r="A17" t="s">
        <v>103</v>
      </c>
      <c r="B17" t="s">
        <v>104</v>
      </c>
      <c r="D17" s="7">
        <v>26.94</v>
      </c>
      <c r="E17" s="7">
        <v>32.119999999999997</v>
      </c>
      <c r="F17" s="7">
        <v>39.54</v>
      </c>
      <c r="G17">
        <v>34.299999999999997</v>
      </c>
      <c r="H17">
        <v>32.700000000000003</v>
      </c>
      <c r="I17">
        <v>31.2</v>
      </c>
      <c r="J17">
        <v>29.08</v>
      </c>
      <c r="K17">
        <v>27.28</v>
      </c>
    </row>
    <row r="18" spans="1:11" x14ac:dyDescent="0.3">
      <c r="A18" t="s">
        <v>105</v>
      </c>
      <c r="B18" t="s">
        <v>106</v>
      </c>
      <c r="D18" s="7">
        <v>14.13</v>
      </c>
      <c r="E18" s="7">
        <v>13.81</v>
      </c>
      <c r="F18" s="7">
        <v>17.440000000000001</v>
      </c>
      <c r="G18">
        <v>13.57</v>
      </c>
      <c r="H18">
        <v>15.9</v>
      </c>
      <c r="I18">
        <v>14.356</v>
      </c>
      <c r="J18">
        <v>18.489999999999998</v>
      </c>
      <c r="K18">
        <v>21.35</v>
      </c>
    </row>
    <row r="19" spans="1:11" x14ac:dyDescent="0.3">
      <c r="A19" t="s">
        <v>107</v>
      </c>
      <c r="B19" t="s">
        <v>108</v>
      </c>
      <c r="D19" s="7">
        <v>0.78</v>
      </c>
      <c r="E19" s="7">
        <v>0.91</v>
      </c>
      <c r="F19" s="7">
        <v>1.79</v>
      </c>
      <c r="G19">
        <v>1.75</v>
      </c>
      <c r="H19">
        <v>0.71</v>
      </c>
      <c r="I19">
        <v>1.19</v>
      </c>
      <c r="J19">
        <v>0.8</v>
      </c>
      <c r="K19">
        <v>0.85</v>
      </c>
    </row>
    <row r="20" spans="1:11" x14ac:dyDescent="0.3">
      <c r="A20" t="s">
        <v>109</v>
      </c>
      <c r="B20" t="s">
        <v>110</v>
      </c>
      <c r="D20" s="7">
        <v>344.81</v>
      </c>
      <c r="E20" s="7">
        <v>314.91000000000003</v>
      </c>
      <c r="F20" s="7">
        <v>318.66000000000003</v>
      </c>
      <c r="G20">
        <v>278.76</v>
      </c>
      <c r="H20">
        <v>258.02999999999997</v>
      </c>
      <c r="I20">
        <v>228.31</v>
      </c>
      <c r="J20">
        <v>257.29000000000002</v>
      </c>
      <c r="K20">
        <v>256.43</v>
      </c>
    </row>
    <row r="21" spans="1:11" x14ac:dyDescent="0.3">
      <c r="A21" t="s">
        <v>111</v>
      </c>
      <c r="D21" s="7"/>
      <c r="E21" s="7"/>
      <c r="F21" s="7"/>
    </row>
    <row r="22" spans="1:11" x14ac:dyDescent="0.3">
      <c r="A22" t="s">
        <v>112</v>
      </c>
      <c r="B22" t="s">
        <v>113</v>
      </c>
      <c r="D22" s="7">
        <v>42.87</v>
      </c>
      <c r="E22" s="7">
        <v>41.12</v>
      </c>
      <c r="F22" s="7">
        <v>46.64</v>
      </c>
      <c r="G22">
        <v>44.29</v>
      </c>
      <c r="H22">
        <v>47.52</v>
      </c>
      <c r="I22">
        <v>47.13</v>
      </c>
      <c r="J22">
        <v>45.83</v>
      </c>
      <c r="K22">
        <v>47.53</v>
      </c>
    </row>
    <row r="23" spans="1:11" x14ac:dyDescent="0.3">
      <c r="A23" t="s">
        <v>114</v>
      </c>
      <c r="D23" s="7"/>
      <c r="E23" s="7"/>
      <c r="F23" s="7"/>
    </row>
    <row r="24" spans="1:11" x14ac:dyDescent="0.3">
      <c r="A24" t="s">
        <v>115</v>
      </c>
      <c r="B24" t="s">
        <v>116</v>
      </c>
      <c r="D24" s="7">
        <v>7.96</v>
      </c>
      <c r="E24" s="7">
        <v>7.12</v>
      </c>
      <c r="F24" s="7">
        <v>6.29</v>
      </c>
      <c r="G24">
        <v>5.99</v>
      </c>
      <c r="H24">
        <v>5.94</v>
      </c>
      <c r="I24">
        <v>5.28</v>
      </c>
      <c r="J24">
        <v>6.79</v>
      </c>
      <c r="K24">
        <v>6.59</v>
      </c>
    </row>
    <row r="25" spans="1:11" x14ac:dyDescent="0.3">
      <c r="A25" t="s">
        <v>117</v>
      </c>
      <c r="B25" t="s">
        <v>118</v>
      </c>
      <c r="D25" s="7">
        <v>0.01</v>
      </c>
      <c r="E25" s="7">
        <v>1.04</v>
      </c>
      <c r="F25" s="7">
        <v>0.83</v>
      </c>
      <c r="G25">
        <v>0</v>
      </c>
      <c r="H25">
        <v>0.42</v>
      </c>
      <c r="I25">
        <v>0</v>
      </c>
      <c r="J25">
        <v>0</v>
      </c>
      <c r="K25">
        <v>0</v>
      </c>
    </row>
    <row r="26" spans="1:11" x14ac:dyDescent="0.3">
      <c r="A26" t="s">
        <v>119</v>
      </c>
      <c r="B26" t="s">
        <v>120</v>
      </c>
      <c r="D26" s="7">
        <v>0.14000000000000001</v>
      </c>
      <c r="E26" s="7">
        <v>0.47</v>
      </c>
      <c r="F26" s="7">
        <v>0.11</v>
      </c>
      <c r="G26">
        <v>0.39</v>
      </c>
      <c r="H26">
        <v>0.57999999999999996</v>
      </c>
      <c r="I26">
        <v>0.45</v>
      </c>
      <c r="J26">
        <v>12.75</v>
      </c>
      <c r="K26">
        <v>18.760000000000002</v>
      </c>
    </row>
    <row r="27" spans="1:11" x14ac:dyDescent="0.3">
      <c r="A27" t="s">
        <v>121</v>
      </c>
      <c r="D27" s="7"/>
      <c r="E27" s="7"/>
      <c r="F27" s="7"/>
    </row>
    <row r="28" spans="1:11" x14ac:dyDescent="0.3">
      <c r="A28" t="s">
        <v>122</v>
      </c>
      <c r="B28" t="s">
        <v>123</v>
      </c>
      <c r="D28" s="7">
        <v>12.6</v>
      </c>
      <c r="E28" s="7">
        <v>17.420000000000002</v>
      </c>
      <c r="F28" s="7">
        <v>20.45</v>
      </c>
      <c r="G28">
        <v>19.54</v>
      </c>
      <c r="H28">
        <v>19.38</v>
      </c>
      <c r="I28">
        <v>11.24</v>
      </c>
      <c r="J28" s="7">
        <v>16.009432080574062</v>
      </c>
      <c r="K28" s="7">
        <v>19.809999999999999</v>
      </c>
    </row>
    <row r="29" spans="1:11" x14ac:dyDescent="0.3">
      <c r="A29" t="s">
        <v>124</v>
      </c>
      <c r="B29" t="s">
        <v>125</v>
      </c>
      <c r="D29" s="7">
        <v>186.61</v>
      </c>
      <c r="E29" s="7">
        <v>242.48</v>
      </c>
      <c r="F29" s="7">
        <v>289.06</v>
      </c>
      <c r="G29">
        <v>286.25</v>
      </c>
      <c r="H29">
        <v>269.76299999999998</v>
      </c>
      <c r="I29">
        <v>148.04</v>
      </c>
      <c r="J29" s="7">
        <v>232.60550219184447</v>
      </c>
      <c r="K29" s="7">
        <v>286.44</v>
      </c>
    </row>
    <row r="30" spans="1:11" x14ac:dyDescent="0.3">
      <c r="A30" t="s">
        <v>126</v>
      </c>
      <c r="B30" t="s">
        <v>127</v>
      </c>
      <c r="D30" s="7">
        <v>0.12</v>
      </c>
      <c r="E30" s="7">
        <v>0</v>
      </c>
      <c r="F30" s="7">
        <v>1.24</v>
      </c>
      <c r="G30">
        <v>10.199999999999999</v>
      </c>
      <c r="H30">
        <v>0</v>
      </c>
      <c r="I30">
        <v>0</v>
      </c>
      <c r="J30" s="7">
        <v>0.85979306122183119</v>
      </c>
      <c r="K30" s="7">
        <v>16.38</v>
      </c>
    </row>
    <row r="31" spans="1:11" x14ac:dyDescent="0.3">
      <c r="A31" t="s">
        <v>128</v>
      </c>
      <c r="B31" t="s">
        <v>129</v>
      </c>
      <c r="D31" s="7">
        <v>186.74</v>
      </c>
      <c r="E31" s="7">
        <v>242.48</v>
      </c>
      <c r="F31" s="7">
        <v>290.3</v>
      </c>
      <c r="G31">
        <v>296.45999999999998</v>
      </c>
      <c r="H31">
        <v>269.76</v>
      </c>
      <c r="I31">
        <v>148.04</v>
      </c>
      <c r="J31" s="7">
        <v>233.4652952530663</v>
      </c>
      <c r="K31" s="7">
        <v>302.82</v>
      </c>
    </row>
    <row r="32" spans="1:11" x14ac:dyDescent="0.3">
      <c r="A32" t="s">
        <v>130</v>
      </c>
      <c r="B32" t="s">
        <v>131</v>
      </c>
      <c r="D32" s="7">
        <v>24.4</v>
      </c>
      <c r="E32" s="7">
        <v>40.9</v>
      </c>
      <c r="F32" s="7">
        <v>85.28</v>
      </c>
      <c r="G32">
        <v>68.2</v>
      </c>
      <c r="H32">
        <v>61.63</v>
      </c>
      <c r="I32">
        <v>310.68</v>
      </c>
      <c r="J32">
        <v>165.51</v>
      </c>
      <c r="K32">
        <v>132.82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x14ac:dyDescent="0.3">
      <c r="A34" t="s">
        <v>134</v>
      </c>
      <c r="B34" t="s">
        <v>135</v>
      </c>
      <c r="D34" s="7">
        <v>6.49</v>
      </c>
      <c r="E34" s="7">
        <v>1.45</v>
      </c>
      <c r="F34" s="7">
        <v>12.62</v>
      </c>
      <c r="G34">
        <v>43.81</v>
      </c>
      <c r="H34">
        <v>81.569999999999993</v>
      </c>
      <c r="I34">
        <v>13.95</v>
      </c>
      <c r="J34">
        <v>17.86</v>
      </c>
      <c r="K34">
        <v>3.93</v>
      </c>
    </row>
    <row r="35" spans="1:11" x14ac:dyDescent="0.3">
      <c r="A35" t="s">
        <v>136</v>
      </c>
      <c r="D35" s="7"/>
      <c r="E35" s="7"/>
      <c r="F35" s="7"/>
    </row>
    <row r="36" spans="1:11" x14ac:dyDescent="0.3">
      <c r="A36" t="s">
        <v>137</v>
      </c>
      <c r="B36" t="s">
        <v>138</v>
      </c>
      <c r="D36" s="7">
        <v>59.05</v>
      </c>
      <c r="E36" s="7">
        <v>51.93</v>
      </c>
      <c r="F36" s="7">
        <v>45.66</v>
      </c>
      <c r="G36">
        <v>56.27</v>
      </c>
      <c r="H36">
        <v>53.88</v>
      </c>
      <c r="I36">
        <v>57.36</v>
      </c>
      <c r="J36">
        <v>54.95</v>
      </c>
      <c r="K36">
        <v>50.14</v>
      </c>
    </row>
    <row r="37" spans="1:11" x14ac:dyDescent="0.3">
      <c r="A37" t="s">
        <v>139</v>
      </c>
      <c r="B37" t="s">
        <v>140</v>
      </c>
      <c r="D37" s="7">
        <v>25.93</v>
      </c>
      <c r="E37" s="7">
        <v>40.659999999999997</v>
      </c>
      <c r="F37" s="7">
        <v>29.63</v>
      </c>
      <c r="G37">
        <v>39.799999999999997</v>
      </c>
      <c r="H37">
        <v>28.51</v>
      </c>
      <c r="I37">
        <v>21.92</v>
      </c>
      <c r="J37">
        <v>82.91</v>
      </c>
      <c r="K37">
        <v>37.76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23.53</v>
      </c>
      <c r="E39" s="7">
        <v>21.3</v>
      </c>
      <c r="F39" s="7">
        <v>19.59</v>
      </c>
      <c r="G39">
        <v>20.03</v>
      </c>
      <c r="H39">
        <v>18.079999999999998</v>
      </c>
      <c r="I39">
        <v>18.43</v>
      </c>
      <c r="J39">
        <v>18.579999999999998</v>
      </c>
      <c r="K39">
        <v>22.12</v>
      </c>
    </row>
    <row r="40" spans="1:11" x14ac:dyDescent="0.3">
      <c r="A40" t="s">
        <v>145</v>
      </c>
      <c r="B40" t="s">
        <v>146</v>
      </c>
      <c r="D40" s="7">
        <v>0</v>
      </c>
      <c r="E40" s="7">
        <v>47.93</v>
      </c>
      <c r="F40" s="7">
        <v>26.79</v>
      </c>
      <c r="G40">
        <v>30.9</v>
      </c>
      <c r="H40">
        <v>55.39</v>
      </c>
      <c r="I40">
        <v>19.5</v>
      </c>
      <c r="J40">
        <v>31.96</v>
      </c>
      <c r="K40">
        <v>20.12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7">
        <v>0.7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3">
      <c r="A42" t="s">
        <v>149</v>
      </c>
      <c r="D42" s="7"/>
      <c r="E42" s="7"/>
      <c r="F42" s="7"/>
    </row>
    <row r="43" spans="1:11" x14ac:dyDescent="0.3">
      <c r="A43" t="s">
        <v>150</v>
      </c>
      <c r="B43" t="s">
        <v>151</v>
      </c>
      <c r="D43" s="7">
        <v>29.79</v>
      </c>
      <c r="E43" s="7">
        <v>24.84</v>
      </c>
      <c r="F43" s="7">
        <v>40.83</v>
      </c>
      <c r="G43">
        <v>31.49</v>
      </c>
      <c r="H43">
        <v>43.7</v>
      </c>
      <c r="I43">
        <v>39.08</v>
      </c>
      <c r="J43">
        <v>24.63</v>
      </c>
      <c r="K43">
        <v>63.34</v>
      </c>
    </row>
    <row r="44" spans="1:11" x14ac:dyDescent="0.3">
      <c r="A44" t="s">
        <v>152</v>
      </c>
      <c r="B44" t="s">
        <v>153</v>
      </c>
      <c r="D44" s="7">
        <v>43.5</v>
      </c>
      <c r="E44" s="7">
        <v>39.31</v>
      </c>
      <c r="F44" s="7">
        <v>41.27</v>
      </c>
      <c r="G44">
        <v>47.43</v>
      </c>
      <c r="H44">
        <v>50.38</v>
      </c>
      <c r="I44">
        <v>50.36</v>
      </c>
      <c r="J44">
        <v>52.34</v>
      </c>
      <c r="K44">
        <v>61.11</v>
      </c>
    </row>
    <row r="45" spans="1:11" x14ac:dyDescent="0.3">
      <c r="A45" t="s">
        <v>154</v>
      </c>
      <c r="B45" t="s">
        <v>155</v>
      </c>
      <c r="D45" s="7">
        <v>30.32</v>
      </c>
      <c r="E45" s="7">
        <v>83.76</v>
      </c>
      <c r="F45" s="7">
        <v>64.069999999999993</v>
      </c>
      <c r="G45">
        <v>84.36</v>
      </c>
      <c r="H45">
        <v>53.87</v>
      </c>
      <c r="I45">
        <v>45.72</v>
      </c>
      <c r="J45">
        <v>48.73</v>
      </c>
      <c r="K45">
        <v>86.07</v>
      </c>
    </row>
    <row r="46" spans="1:11" x14ac:dyDescent="0.3">
      <c r="A46" t="s">
        <v>156</v>
      </c>
      <c r="B46" t="s">
        <v>157</v>
      </c>
      <c r="D46" s="7">
        <v>2.91</v>
      </c>
      <c r="E46" s="7">
        <v>3.27</v>
      </c>
      <c r="F46" s="7">
        <v>1.9</v>
      </c>
      <c r="G46">
        <v>41.43</v>
      </c>
      <c r="H46">
        <v>9.2799999999999994</v>
      </c>
      <c r="I46">
        <v>65.14</v>
      </c>
      <c r="J46">
        <v>63.86</v>
      </c>
      <c r="K46">
        <v>94.1</v>
      </c>
    </row>
    <row r="47" spans="1:11" x14ac:dyDescent="0.3">
      <c r="A47" t="s">
        <v>158</v>
      </c>
      <c r="B47" t="s">
        <v>159</v>
      </c>
      <c r="D47" s="7">
        <v>157.53</v>
      </c>
      <c r="E47" s="7">
        <v>310.45</v>
      </c>
      <c r="F47" s="7">
        <v>320.55</v>
      </c>
      <c r="G47">
        <v>395.94</v>
      </c>
      <c r="H47">
        <v>314.5</v>
      </c>
      <c r="I47">
        <v>228</v>
      </c>
      <c r="J47">
        <v>206.16</v>
      </c>
      <c r="K47">
        <v>143.06</v>
      </c>
    </row>
    <row r="48" spans="1:11" x14ac:dyDescent="0.3">
      <c r="A48" t="s">
        <v>160</v>
      </c>
      <c r="D48" s="7"/>
      <c r="E48" s="7"/>
      <c r="F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4.8</v>
      </c>
      <c r="E50" s="7">
        <v>4.8</v>
      </c>
      <c r="F50" s="7">
        <v>5.8</v>
      </c>
      <c r="G50">
        <v>2.76</v>
      </c>
      <c r="H50">
        <v>2.21</v>
      </c>
      <c r="I50">
        <v>4.2699999999999996</v>
      </c>
      <c r="J50">
        <v>4.67</v>
      </c>
      <c r="K50">
        <v>4.58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13.09</v>
      </c>
      <c r="E51" s="7">
        <v>13.09</v>
      </c>
      <c r="F51" s="7">
        <v>12</v>
      </c>
      <c r="G51">
        <v>10.9</v>
      </c>
      <c r="H51">
        <v>9.91</v>
      </c>
      <c r="I51">
        <v>12.87</v>
      </c>
      <c r="J51">
        <v>15.15</v>
      </c>
      <c r="K51">
        <v>13.81</v>
      </c>
    </row>
    <row r="52" spans="1:11" x14ac:dyDescent="0.3">
      <c r="A52" t="s">
        <v>167</v>
      </c>
      <c r="B52" t="s">
        <v>168</v>
      </c>
      <c r="D52" s="7">
        <v>2731.9131098150656</v>
      </c>
      <c r="E52" s="7">
        <v>2692.5412483083119</v>
      </c>
      <c r="F52" s="7">
        <v>2644.5613427190979</v>
      </c>
      <c r="G52">
        <v>2794.19</v>
      </c>
      <c r="H52">
        <v>3276.85</v>
      </c>
      <c r="I52">
        <v>3217.01</v>
      </c>
      <c r="J52">
        <v>3223.4160976266417</v>
      </c>
      <c r="K52">
        <v>3123.2233735109153</v>
      </c>
    </row>
    <row r="53" spans="1:11" x14ac:dyDescent="0.3">
      <c r="A53" t="s">
        <v>169</v>
      </c>
      <c r="D53" s="7"/>
      <c r="E53" s="7"/>
      <c r="F53" s="7"/>
      <c r="G53" s="7"/>
      <c r="H53" s="7">
        <v>0</v>
      </c>
      <c r="I53" s="7">
        <v>0</v>
      </c>
      <c r="J53" s="7">
        <v>0</v>
      </c>
      <c r="K53" s="7">
        <v>0</v>
      </c>
    </row>
    <row r="54" spans="1:11" x14ac:dyDescent="0.3">
      <c r="A54" t="s">
        <v>170</v>
      </c>
      <c r="B54" t="s">
        <v>171</v>
      </c>
      <c r="D54" s="7">
        <v>-144.91938435788592</v>
      </c>
      <c r="E54" s="7">
        <v>-129.65158306549057</v>
      </c>
      <c r="F54" s="7">
        <v>-98.767178077031815</v>
      </c>
      <c r="G54" s="7">
        <v>-148.4318289721792</v>
      </c>
      <c r="H54" s="7">
        <v>-97.225689768184779</v>
      </c>
      <c r="I54" s="7">
        <v>-78.912666718001873</v>
      </c>
      <c r="J54" s="7">
        <v>-62.869361580532548</v>
      </c>
      <c r="K54" s="7">
        <v>-60.922232414307018</v>
      </c>
    </row>
    <row r="55" spans="1:11" x14ac:dyDescent="0.3">
      <c r="A55" t="s">
        <v>172</v>
      </c>
      <c r="B55" t="s">
        <v>173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</row>
    <row r="56" spans="1:11" x14ac:dyDescent="0.3">
      <c r="A56" t="s">
        <v>174</v>
      </c>
      <c r="B56" t="s">
        <v>175</v>
      </c>
      <c r="D56" s="7">
        <v>119.19248392801656</v>
      </c>
      <c r="E56" s="7">
        <v>195.99114026594955</v>
      </c>
      <c r="F56" s="7">
        <v>169.28610563987533</v>
      </c>
      <c r="G56" s="7">
        <v>216.55930308753031</v>
      </c>
      <c r="H56" s="7">
        <v>172.59892828901584</v>
      </c>
      <c r="I56" s="7">
        <v>157.8112324576081</v>
      </c>
      <c r="J56" s="7">
        <v>140.5685777620877</v>
      </c>
      <c r="K56" s="7">
        <v>137.1628654533443</v>
      </c>
    </row>
    <row r="57" spans="1:11" x14ac:dyDescent="0.3">
      <c r="A57" t="s">
        <v>176</v>
      </c>
      <c r="B57" t="s">
        <v>177</v>
      </c>
      <c r="D57" s="7">
        <v>125.72690042986936</v>
      </c>
      <c r="E57" s="7">
        <v>33.660442799541023</v>
      </c>
      <c r="F57" s="7">
        <v>29.481072437156502</v>
      </c>
      <c r="G57" s="7">
        <v>31.872525884648901</v>
      </c>
      <c r="H57" s="7">
        <v>24.626761479168916</v>
      </c>
      <c r="I57" s="7">
        <v>21.101434260393756</v>
      </c>
      <c r="J57" s="7">
        <v>22.300783818444827</v>
      </c>
      <c r="K57" s="7">
        <v>23.759366960962751</v>
      </c>
    </row>
    <row r="58" spans="1:11" x14ac:dyDescent="0.3">
      <c r="A58" t="s">
        <v>178</v>
      </c>
      <c r="D58" s="7"/>
      <c r="E58" s="7"/>
      <c r="F58" s="7"/>
    </row>
    <row r="59" spans="1:11" x14ac:dyDescent="0.3">
      <c r="A59" t="s">
        <v>179</v>
      </c>
      <c r="B59" t="s">
        <v>180</v>
      </c>
      <c r="D59" s="7">
        <v>-175.1123636617109</v>
      </c>
      <c r="E59" s="7">
        <v>9.248772971086062</v>
      </c>
      <c r="F59" s="7">
        <v>5.4705994161883398</v>
      </c>
      <c r="G59" s="7">
        <v>-60.774597593137578</v>
      </c>
      <c r="H59" s="7">
        <v>5.6388986317932916</v>
      </c>
      <c r="I59" s="7">
        <v>10.275599777282238</v>
      </c>
      <c r="J59" s="7">
        <v>10.073166437588011</v>
      </c>
      <c r="K59" s="7">
        <v>7.2788787364698653</v>
      </c>
    </row>
    <row r="60" spans="1:11" x14ac:dyDescent="0.3">
      <c r="A60" t="s">
        <v>181</v>
      </c>
      <c r="B60" t="s">
        <v>182</v>
      </c>
      <c r="D60" s="7">
        <v>175.1123636617109</v>
      </c>
      <c r="E60" s="7">
        <v>-9.248772971086062</v>
      </c>
      <c r="F60" s="7">
        <v>-5.4705994161883398</v>
      </c>
      <c r="G60" s="7">
        <v>60.774597593137578</v>
      </c>
      <c r="H60" s="7">
        <v>-5.6388986317932916</v>
      </c>
      <c r="I60" s="7">
        <v>-10.275599777282238</v>
      </c>
      <c r="J60" s="7">
        <v>-10.073166437588011</v>
      </c>
      <c r="K60" s="7">
        <v>-7.2788787364698653</v>
      </c>
    </row>
    <row r="61" spans="1:11" x14ac:dyDescent="0.3">
      <c r="A61" t="s">
        <v>183</v>
      </c>
      <c r="B61" t="s">
        <v>184</v>
      </c>
      <c r="D61" s="7">
        <v>27.649356902911613</v>
      </c>
      <c r="E61" s="7">
        <v>30.325266087318532</v>
      </c>
      <c r="F61" s="7">
        <v>30.024439264210962</v>
      </c>
      <c r="G61" s="7">
        <v>45.85441419140593</v>
      </c>
      <c r="H61" s="7">
        <v>38.595412696196441</v>
      </c>
      <c r="I61" s="7">
        <v>34.771848891915916</v>
      </c>
      <c r="J61" s="7">
        <v>29.234479586425934</v>
      </c>
      <c r="K61" s="7">
        <v>25.922541023666458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13.07</v>
      </c>
      <c r="E62" s="7">
        <v>13.61</v>
      </c>
      <c r="F62" s="7">
        <v>6.75</v>
      </c>
      <c r="G62" s="7">
        <v>5.7</v>
      </c>
      <c r="H62" s="7">
        <v>11.4</v>
      </c>
      <c r="I62" s="7">
        <v>21.62</v>
      </c>
      <c r="J62" s="7">
        <v>10.94</v>
      </c>
      <c r="K62" s="7">
        <v>8.9</v>
      </c>
    </row>
    <row r="63" spans="1:11" x14ac:dyDescent="0.3">
      <c r="A63" t="s">
        <v>187</v>
      </c>
      <c r="D63" s="7"/>
      <c r="E63" s="7"/>
      <c r="F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</v>
      </c>
      <c r="E64" s="7">
        <v>0</v>
      </c>
      <c r="F64" s="7">
        <v>4.95</v>
      </c>
      <c r="G64" s="7">
        <v>5.91</v>
      </c>
      <c r="H64" s="7">
        <v>2.57</v>
      </c>
      <c r="I64" s="7">
        <v>2.94</v>
      </c>
      <c r="J64" s="7">
        <v>2.14</v>
      </c>
      <c r="K64" s="7">
        <v>2.16</v>
      </c>
    </row>
    <row r="65" spans="1:11" x14ac:dyDescent="0.3">
      <c r="A65" s="8" t="s">
        <v>190</v>
      </c>
      <c r="B65" s="8" t="s">
        <v>191</v>
      </c>
      <c r="C65" s="9"/>
      <c r="D65" s="7">
        <v>19.86</v>
      </c>
      <c r="E65" s="7">
        <v>1.83</v>
      </c>
      <c r="F65" s="7">
        <v>0.79</v>
      </c>
      <c r="G65" s="7">
        <v>0.94</v>
      </c>
      <c r="H65" s="7">
        <v>0.33</v>
      </c>
      <c r="I65" s="7">
        <v>0.27</v>
      </c>
      <c r="J65" s="7">
        <v>1.18</v>
      </c>
      <c r="K65" s="7">
        <v>0.42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19.86</v>
      </c>
      <c r="E66" s="7">
        <v>1.83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</row>
    <row r="68" spans="1:11" x14ac:dyDescent="0.3">
      <c r="A68" t="s">
        <v>195</v>
      </c>
      <c r="B68" t="s">
        <v>196</v>
      </c>
      <c r="D68" s="7">
        <v>100</v>
      </c>
      <c r="E68" s="7">
        <v>92.315193092912281</v>
      </c>
      <c r="F68" s="34">
        <v>58.81</v>
      </c>
      <c r="G68">
        <v>34.92</v>
      </c>
      <c r="H68">
        <v>16.03</v>
      </c>
      <c r="I68">
        <v>20.56</v>
      </c>
      <c r="J68" s="7">
        <v>22.034796718221628</v>
      </c>
      <c r="K68" s="7">
        <v>27.42</v>
      </c>
    </row>
    <row r="69" spans="1:11" x14ac:dyDescent="0.3">
      <c r="A69" t="s">
        <v>197</v>
      </c>
      <c r="D69" s="7"/>
      <c r="E69" s="7"/>
      <c r="F69" s="7"/>
      <c r="J69" s="7"/>
      <c r="K69" s="7"/>
    </row>
    <row r="70" spans="1:11" x14ac:dyDescent="0.3">
      <c r="A70" t="s">
        <v>198</v>
      </c>
      <c r="B70" t="s">
        <v>199</v>
      </c>
      <c r="D70" s="7">
        <v>13.31</v>
      </c>
      <c r="E70" s="34">
        <v>13.13</v>
      </c>
      <c r="F70" s="7">
        <v>13.85</v>
      </c>
      <c r="G70">
        <v>13.26</v>
      </c>
      <c r="H70">
        <v>11.95</v>
      </c>
      <c r="I70">
        <v>8.67</v>
      </c>
      <c r="J70" s="7">
        <v>9.2589710700431151</v>
      </c>
      <c r="K70" s="7">
        <v>10.85</v>
      </c>
    </row>
    <row r="71" spans="1:11" x14ac:dyDescent="0.3">
      <c r="A71" t="s">
        <v>200</v>
      </c>
      <c r="B71" t="s">
        <v>201</v>
      </c>
      <c r="D71" s="7">
        <v>14.02</v>
      </c>
      <c r="E71" s="34">
        <v>14.97</v>
      </c>
      <c r="F71" s="7">
        <v>17.52</v>
      </c>
      <c r="G71">
        <v>16.239999999999998</v>
      </c>
      <c r="H71">
        <v>16.329999999999998</v>
      </c>
      <c r="I71">
        <v>14.25</v>
      </c>
      <c r="J71" s="7">
        <v>12.914313800904303</v>
      </c>
      <c r="K71" s="7">
        <v>15.07</v>
      </c>
    </row>
    <row r="72" spans="1:11" x14ac:dyDescent="0.3">
      <c r="A72" t="s">
        <v>305</v>
      </c>
      <c r="D72" s="7"/>
      <c r="E72" s="7"/>
      <c r="F72" s="7"/>
    </row>
    <row r="73" spans="1:11" x14ac:dyDescent="0.3">
      <c r="B73" t="s">
        <v>202</v>
      </c>
      <c r="D73" s="7">
        <v>43.967692046674351</v>
      </c>
      <c r="E73" s="7">
        <v>40.5075337773564</v>
      </c>
      <c r="F73" s="7">
        <v>40.25</v>
      </c>
      <c r="G73" s="7">
        <v>39.207035499708198</v>
      </c>
      <c r="H73" s="7">
        <v>33.549999999999997</v>
      </c>
      <c r="I73" s="7">
        <v>38.974484415443392</v>
      </c>
      <c r="J73" s="7">
        <v>36.214571838308096</v>
      </c>
      <c r="K73" s="7">
        <v>44.640476231394729</v>
      </c>
    </row>
    <row r="74" spans="1:11" x14ac:dyDescent="0.3">
      <c r="B74" t="s">
        <v>203</v>
      </c>
      <c r="D74" s="7">
        <v>69.99970023884589</v>
      </c>
      <c r="E74" s="7">
        <v>68.516781908316489</v>
      </c>
      <c r="F74" s="7">
        <v>72.33</v>
      </c>
      <c r="G74">
        <v>71.34</v>
      </c>
      <c r="H74">
        <v>68.489999999999995</v>
      </c>
      <c r="I74" s="7">
        <v>69.142026759545843</v>
      </c>
      <c r="J74" s="7">
        <v>61.685045115879099</v>
      </c>
      <c r="K74" s="7">
        <v>66.788405317136935</v>
      </c>
    </row>
    <row r="75" spans="1:11" x14ac:dyDescent="0.3">
      <c r="B75" t="s">
        <v>204</v>
      </c>
      <c r="D75" s="7">
        <v>17.431969146343185</v>
      </c>
      <c r="E75" s="7">
        <v>15.678892544777693</v>
      </c>
      <c r="F75" s="7">
        <v>14.61</v>
      </c>
      <c r="G75" s="7">
        <v>10.8</v>
      </c>
      <c r="H75" s="7">
        <v>8.67</v>
      </c>
      <c r="I75" s="7">
        <v>15.148390146969943</v>
      </c>
      <c r="J75" s="7">
        <v>16.22383174804839</v>
      </c>
      <c r="K75" s="7">
        <v>26.934059686270178</v>
      </c>
    </row>
    <row r="76" spans="1:11" x14ac:dyDescent="0.3">
      <c r="A76" s="8" t="s">
        <v>37</v>
      </c>
      <c r="B76" s="8"/>
      <c r="C76" s="9">
        <v>47</v>
      </c>
      <c r="D76" s="7">
        <v>53.6</v>
      </c>
      <c r="E76" s="7">
        <v>41.76</v>
      </c>
      <c r="F76" s="7">
        <v>51.14</v>
      </c>
      <c r="G76" s="7">
        <v>49.245914337223354</v>
      </c>
      <c r="H76" s="7">
        <v>51.629627628792619</v>
      </c>
      <c r="I76" s="7">
        <v>49.320589298365007</v>
      </c>
      <c r="J76" s="7">
        <v>30.659163467895816</v>
      </c>
      <c r="K76" s="7">
        <v>38.62497668246624</v>
      </c>
    </row>
    <row r="77" spans="1:11" x14ac:dyDescent="0.3">
      <c r="A77" s="35" t="s">
        <v>338</v>
      </c>
      <c r="B77" s="35"/>
      <c r="C77" s="68"/>
      <c r="D77" s="7">
        <v>33.31</v>
      </c>
      <c r="E77" s="7">
        <v>35.159999999999997</v>
      </c>
      <c r="F77" s="7">
        <v>35.97</v>
      </c>
      <c r="G77" s="7">
        <v>29.729574399654496</v>
      </c>
      <c r="H77" s="7">
        <v>34.385191501228654</v>
      </c>
      <c r="I77" s="7">
        <v>30.809120092529042</v>
      </c>
      <c r="J77" s="7">
        <v>29.169065574523696</v>
      </c>
      <c r="K77" s="7">
        <v>36.644671027597191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3.0109245936584061</v>
      </c>
      <c r="E79" s="7">
        <v>2.985767326732673</v>
      </c>
      <c r="F79" s="7">
        <v>3.1914893617021276</v>
      </c>
      <c r="G79" s="7">
        <v>3.5201793721973096</v>
      </c>
      <c r="H79" s="7">
        <v>2.9386892177589852</v>
      </c>
      <c r="I79" s="7">
        <v>3.4384498480243164</v>
      </c>
      <c r="J79" s="7">
        <v>4.4897959183673466</v>
      </c>
      <c r="K79" s="7">
        <v>4.9811726734803656</v>
      </c>
    </row>
    <row r="80" spans="1:11" x14ac:dyDescent="0.3">
      <c r="A80">
        <v>9</v>
      </c>
      <c r="B80" t="s">
        <v>356</v>
      </c>
      <c r="D80" s="7">
        <v>15.774047428723687</v>
      </c>
      <c r="E80" s="7">
        <v>14.186262376237623</v>
      </c>
      <c r="F80" s="7">
        <v>14.851063829787234</v>
      </c>
      <c r="G80" s="7">
        <v>14.865470852017937</v>
      </c>
      <c r="H80" s="7">
        <v>14.101479915433405</v>
      </c>
      <c r="I80" s="7">
        <v>18.066109422492403</v>
      </c>
      <c r="J80" s="7">
        <v>15.27389903329753</v>
      </c>
      <c r="K80" s="7">
        <v>15.857988165680473</v>
      </c>
    </row>
    <row r="81" spans="1:11" x14ac:dyDescent="0.3">
      <c r="A81">
        <v>10</v>
      </c>
      <c r="B81" t="s">
        <v>206</v>
      </c>
      <c r="D81" s="7">
        <v>18.092192912336795</v>
      </c>
      <c r="E81" s="7">
        <v>15.16089108910891</v>
      </c>
      <c r="F81" s="7">
        <v>20.063829787234042</v>
      </c>
      <c r="G81" s="7">
        <v>23.228699551569505</v>
      </c>
      <c r="H81" s="7">
        <v>32.917547568710361</v>
      </c>
      <c r="I81" s="7">
        <v>36.588145896656535</v>
      </c>
      <c r="J81" s="7">
        <v>35.488721804511279</v>
      </c>
      <c r="K81" s="7">
        <v>33.501882732651964</v>
      </c>
    </row>
    <row r="82" spans="1:11" x14ac:dyDescent="0.3">
      <c r="A82">
        <v>12</v>
      </c>
      <c r="B82" t="s">
        <v>207</v>
      </c>
      <c r="D82" s="7">
        <v>5.3823607780442311</v>
      </c>
      <c r="E82" s="7">
        <v>4.3007425742574252</v>
      </c>
      <c r="F82" s="7">
        <v>4.8297872340425529</v>
      </c>
      <c r="G82" s="7">
        <v>5.0448430493273539</v>
      </c>
      <c r="H82" s="7">
        <v>5.07399577167019</v>
      </c>
      <c r="I82" s="7">
        <v>6.7249240121580556</v>
      </c>
      <c r="J82" s="7">
        <v>5.7142857142857144</v>
      </c>
      <c r="K82" s="7">
        <v>6.7670790747713827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37.343453448776692</v>
      </c>
      <c r="E84" s="7">
        <v>48.841647683664526</v>
      </c>
      <c r="F84" s="7">
        <v>47.109061477952977</v>
      </c>
      <c r="G84" s="7">
        <v>42.192808892849371</v>
      </c>
      <c r="H84" s="7">
        <v>60.0655185418983</v>
      </c>
      <c r="I84" s="7">
        <v>56.621300160898294</v>
      </c>
      <c r="J84" s="7">
        <v>52.447705163204674</v>
      </c>
      <c r="K84" s="7">
        <v>52.779474279611172</v>
      </c>
    </row>
    <row r="85" spans="1:11" x14ac:dyDescent="0.3">
      <c r="A85">
        <v>9</v>
      </c>
      <c r="B85" t="s">
        <v>356</v>
      </c>
      <c r="D85" s="7">
        <v>39.804972590530816</v>
      </c>
      <c r="E85" s="7">
        <v>38.791869992387227</v>
      </c>
      <c r="F85" s="7">
        <v>44.379569531631184</v>
      </c>
      <c r="G85" s="7">
        <v>41.338624456835376</v>
      </c>
      <c r="H85" s="7">
        <v>56.611370950666306</v>
      </c>
      <c r="I85" s="7">
        <v>52.247231668636431</v>
      </c>
      <c r="J85" s="7">
        <v>52.289100371140528</v>
      </c>
      <c r="K85" s="7">
        <v>78.266063641992773</v>
      </c>
    </row>
    <row r="86" spans="1:11" x14ac:dyDescent="0.3">
      <c r="A86">
        <v>10</v>
      </c>
      <c r="B86" t="s">
        <v>206</v>
      </c>
      <c r="D86" s="7">
        <v>52.124818262014692</v>
      </c>
      <c r="E86" s="7">
        <v>43.067910376067289</v>
      </c>
      <c r="F86" s="7">
        <v>53.626008241883369</v>
      </c>
      <c r="G86" s="7">
        <v>42.577201943122219</v>
      </c>
      <c r="H86" s="7">
        <v>59.060306556594021</v>
      </c>
      <c r="I86" s="7">
        <v>55.817534936791816</v>
      </c>
      <c r="J86" s="7">
        <v>62.743824007533156</v>
      </c>
      <c r="K86" s="7">
        <v>77.204948061656296</v>
      </c>
    </row>
    <row r="87" spans="1:11" x14ac:dyDescent="0.3">
      <c r="A87">
        <v>12</v>
      </c>
      <c r="B87" t="s">
        <v>207</v>
      </c>
      <c r="D87" s="7">
        <v>30.377937738239986</v>
      </c>
      <c r="E87" s="7">
        <v>33.642119966708989</v>
      </c>
      <c r="F87" s="7">
        <v>28.399838638790165</v>
      </c>
      <c r="G87" s="7">
        <v>41.088756696740397</v>
      </c>
      <c r="H87" s="7">
        <v>38.110175107479769</v>
      </c>
      <c r="I87" s="7">
        <v>33.362311316519069</v>
      </c>
      <c r="J87" s="7">
        <v>27.014718197882914</v>
      </c>
      <c r="K87" s="7">
        <v>37.256600605694672</v>
      </c>
    </row>
    <row r="88" spans="1:11" x14ac:dyDescent="0.3">
      <c r="B88" s="73" t="s">
        <v>306</v>
      </c>
      <c r="D88" s="7"/>
      <c r="E88" s="7"/>
      <c r="F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K93" s="7"/>
    </row>
    <row r="94" spans="1:11" x14ac:dyDescent="0.3">
      <c r="B94" s="44" t="s">
        <v>303</v>
      </c>
      <c r="D94" s="7"/>
      <c r="E94" s="7"/>
      <c r="F94" s="7"/>
    </row>
    <row r="95" spans="1:11" x14ac:dyDescent="0.3">
      <c r="D95" s="7"/>
      <c r="E95" s="7"/>
      <c r="F95" s="7"/>
    </row>
    <row r="96" spans="1:11" x14ac:dyDescent="0.3">
      <c r="D96" s="7"/>
      <c r="E96" s="7"/>
      <c r="F96" s="7"/>
    </row>
    <row r="97" spans="4:6" x14ac:dyDescent="0.3">
      <c r="D97" s="7"/>
      <c r="E97" s="7"/>
      <c r="F97" s="7"/>
    </row>
    <row r="98" spans="4:6" x14ac:dyDescent="0.3">
      <c r="D98" s="7"/>
      <c r="E98" s="7"/>
      <c r="F98" s="7"/>
    </row>
    <row r="99" spans="4:6" x14ac:dyDescent="0.3">
      <c r="D99" s="7"/>
      <c r="E99" s="7"/>
      <c r="F99" s="7"/>
    </row>
    <row r="100" spans="4:6" x14ac:dyDescent="0.3">
      <c r="D100" s="7"/>
      <c r="E100" s="7"/>
      <c r="F100" s="7"/>
    </row>
    <row r="101" spans="4:6" x14ac:dyDescent="0.3">
      <c r="D101" s="7"/>
      <c r="E101" s="7"/>
      <c r="F101" s="7"/>
    </row>
    <row r="102" spans="4:6" x14ac:dyDescent="0.3">
      <c r="D102" s="7"/>
      <c r="E102" s="7"/>
      <c r="F102" s="7"/>
    </row>
    <row r="103" spans="4:6" x14ac:dyDescent="0.3">
      <c r="D103" s="7"/>
      <c r="E103" s="7"/>
      <c r="F103" s="7"/>
    </row>
    <row r="104" spans="4:6" x14ac:dyDescent="0.3">
      <c r="D104" s="7"/>
      <c r="E104" s="7"/>
      <c r="F104" s="7"/>
    </row>
    <row r="105" spans="4:6" x14ac:dyDescent="0.3">
      <c r="D105" s="7"/>
      <c r="E105" s="7"/>
      <c r="F105" s="7"/>
    </row>
    <row r="106" spans="4:6" x14ac:dyDescent="0.3">
      <c r="D106" s="7"/>
      <c r="E106" s="7"/>
      <c r="F106" s="7"/>
    </row>
    <row r="107" spans="4:6" x14ac:dyDescent="0.3">
      <c r="D107" s="7"/>
      <c r="E107" s="7"/>
      <c r="F107" s="7"/>
    </row>
    <row r="108" spans="4:6" x14ac:dyDescent="0.3">
      <c r="D108" s="7"/>
      <c r="E108" s="7"/>
      <c r="F108" s="7"/>
    </row>
    <row r="109" spans="4:6" x14ac:dyDescent="0.3">
      <c r="D109" s="7"/>
      <c r="E109" s="7"/>
      <c r="F109" s="7"/>
    </row>
    <row r="110" spans="4:6" x14ac:dyDescent="0.3">
      <c r="D110" s="7"/>
      <c r="E110" s="7"/>
      <c r="F110" s="7"/>
    </row>
    <row r="111" spans="4:6" x14ac:dyDescent="0.3">
      <c r="D111" s="7"/>
      <c r="E111" s="7"/>
      <c r="F111" s="7"/>
    </row>
    <row r="112" spans="4:6" x14ac:dyDescent="0.3">
      <c r="D112" s="7"/>
      <c r="E112" s="7"/>
      <c r="F112" s="7"/>
    </row>
    <row r="113" spans="2:6" x14ac:dyDescent="0.3">
      <c r="D113" s="7"/>
      <c r="E113" s="7"/>
      <c r="F113" s="7"/>
    </row>
    <row r="114" spans="2:6" x14ac:dyDescent="0.3">
      <c r="D114" s="7"/>
      <c r="E114" s="7"/>
      <c r="F114" s="7"/>
    </row>
    <row r="115" spans="2:6" x14ac:dyDescent="0.3">
      <c r="B115" s="44" t="s">
        <v>304</v>
      </c>
      <c r="D115" s="7"/>
      <c r="E115" s="7"/>
      <c r="F115" s="7"/>
    </row>
    <row r="116" spans="2:6" x14ac:dyDescent="0.3">
      <c r="D116" s="7"/>
      <c r="E116" s="7"/>
      <c r="F116" s="7"/>
    </row>
    <row r="117" spans="2:6" x14ac:dyDescent="0.3">
      <c r="D117" s="7"/>
      <c r="E117" s="7"/>
      <c r="F117" s="7"/>
    </row>
    <row r="118" spans="2:6" x14ac:dyDescent="0.3">
      <c r="D118" s="7"/>
      <c r="E118" s="7"/>
      <c r="F118" s="7"/>
    </row>
    <row r="119" spans="2:6" x14ac:dyDescent="0.3">
      <c r="D119" s="7"/>
      <c r="E119" s="7"/>
      <c r="F119" s="7"/>
    </row>
    <row r="120" spans="2:6" x14ac:dyDescent="0.3">
      <c r="D120" s="7"/>
      <c r="E120" s="7"/>
      <c r="F120" s="7"/>
    </row>
    <row r="121" spans="2:6" x14ac:dyDescent="0.3">
      <c r="D121" s="7"/>
      <c r="E121" s="7"/>
      <c r="F121" s="7"/>
    </row>
    <row r="122" spans="2:6" x14ac:dyDescent="0.3">
      <c r="D122" s="7"/>
      <c r="E122" s="7"/>
      <c r="F122" s="7"/>
    </row>
    <row r="123" spans="2:6" x14ac:dyDescent="0.3">
      <c r="D123" s="7"/>
      <c r="E123" s="7"/>
      <c r="F123" s="7"/>
    </row>
    <row r="124" spans="2:6" x14ac:dyDescent="0.3">
      <c r="D124" s="7"/>
      <c r="E124" s="7"/>
      <c r="F124" s="7"/>
    </row>
    <row r="125" spans="2:6" x14ac:dyDescent="0.3">
      <c r="D125" s="7"/>
      <c r="E125" s="7"/>
      <c r="F125" s="7"/>
    </row>
    <row r="126" spans="2:6" x14ac:dyDescent="0.3">
      <c r="D126" s="7"/>
      <c r="E126" s="7"/>
      <c r="F126" s="7"/>
    </row>
    <row r="127" spans="2:6" x14ac:dyDescent="0.3">
      <c r="D127" s="7"/>
      <c r="E127" s="7"/>
      <c r="F127" s="7"/>
    </row>
    <row r="128" spans="2:6" x14ac:dyDescent="0.3">
      <c r="D128" s="7"/>
      <c r="E128" s="7"/>
      <c r="F128" s="7"/>
    </row>
    <row r="129" spans="2:6" x14ac:dyDescent="0.3">
      <c r="D129" s="7"/>
      <c r="E129" s="7"/>
      <c r="F129" s="7"/>
    </row>
    <row r="130" spans="2:6" x14ac:dyDescent="0.3">
      <c r="D130" s="7"/>
      <c r="E130" s="7"/>
      <c r="F130" s="7"/>
    </row>
    <row r="131" spans="2:6" x14ac:dyDescent="0.3">
      <c r="D131" s="7"/>
      <c r="E131" s="7"/>
      <c r="F131" s="7"/>
    </row>
    <row r="132" spans="2:6" x14ac:dyDescent="0.3">
      <c r="D132" s="7"/>
      <c r="E132" s="7"/>
      <c r="F132" s="7"/>
    </row>
    <row r="133" spans="2:6" x14ac:dyDescent="0.3">
      <c r="D133" s="7"/>
      <c r="E133" s="7"/>
      <c r="F133" s="7"/>
    </row>
    <row r="134" spans="2:6" x14ac:dyDescent="0.3">
      <c r="D134" s="7"/>
      <c r="E134" s="7"/>
      <c r="F134" s="7"/>
    </row>
    <row r="135" spans="2:6" x14ac:dyDescent="0.3">
      <c r="D135" s="7"/>
      <c r="E135" s="7"/>
      <c r="F135" s="7"/>
    </row>
    <row r="136" spans="2:6" x14ac:dyDescent="0.3">
      <c r="B136" s="44" t="s">
        <v>159</v>
      </c>
      <c r="D136" s="7"/>
      <c r="E136" s="7"/>
      <c r="F136" s="7"/>
    </row>
    <row r="137" spans="2:6" x14ac:dyDescent="0.3">
      <c r="D137" s="7"/>
      <c r="E137" s="7"/>
      <c r="F137" s="7"/>
    </row>
    <row r="138" spans="2:6" x14ac:dyDescent="0.3">
      <c r="D138" s="7"/>
      <c r="E138" s="7"/>
      <c r="F138" s="7"/>
    </row>
    <row r="139" spans="2:6" x14ac:dyDescent="0.3">
      <c r="D139" s="7"/>
      <c r="E139" s="7"/>
      <c r="F139" s="7"/>
    </row>
    <row r="140" spans="2:6" x14ac:dyDescent="0.3">
      <c r="D140" s="7"/>
      <c r="E140" s="7"/>
      <c r="F140" s="7"/>
    </row>
    <row r="141" spans="2:6" x14ac:dyDescent="0.3">
      <c r="D141" s="7"/>
      <c r="E141" s="7"/>
      <c r="F141" s="7"/>
    </row>
    <row r="142" spans="2:6" x14ac:dyDescent="0.3">
      <c r="D142" s="7"/>
      <c r="E142" s="7"/>
      <c r="F142" s="7"/>
    </row>
    <row r="143" spans="2:6" x14ac:dyDescent="0.3">
      <c r="D143" s="7"/>
      <c r="E143" s="7"/>
      <c r="F143" s="7"/>
    </row>
    <row r="144" spans="2:6" x14ac:dyDescent="0.3">
      <c r="D144" s="7"/>
      <c r="E144" s="7"/>
      <c r="F144" s="7"/>
    </row>
    <row r="145" spans="2:6" x14ac:dyDescent="0.3">
      <c r="D145" s="7"/>
      <c r="E145" s="7"/>
      <c r="F145" s="7"/>
    </row>
    <row r="146" spans="2:6" x14ac:dyDescent="0.3">
      <c r="D146" s="7"/>
      <c r="E146" s="7"/>
      <c r="F146" s="7"/>
    </row>
    <row r="147" spans="2:6" x14ac:dyDescent="0.3">
      <c r="D147" s="7"/>
      <c r="E147" s="7"/>
      <c r="F147" s="7"/>
    </row>
    <row r="148" spans="2:6" x14ac:dyDescent="0.3">
      <c r="D148" s="7"/>
      <c r="E148" s="7"/>
      <c r="F148" s="7"/>
    </row>
    <row r="149" spans="2:6" x14ac:dyDescent="0.3">
      <c r="D149" s="7"/>
      <c r="E149" s="7"/>
      <c r="F149" s="7"/>
    </row>
    <row r="150" spans="2:6" x14ac:dyDescent="0.3">
      <c r="D150" s="7"/>
      <c r="E150" s="7"/>
      <c r="F150" s="7"/>
    </row>
    <row r="151" spans="2:6" x14ac:dyDescent="0.3">
      <c r="D151" s="7"/>
      <c r="E151" s="7"/>
      <c r="F151" s="7"/>
    </row>
    <row r="152" spans="2:6" x14ac:dyDescent="0.3">
      <c r="D152" s="7"/>
      <c r="E152" s="7"/>
      <c r="F152" s="7"/>
    </row>
    <row r="153" spans="2:6" x14ac:dyDescent="0.3">
      <c r="D153" s="7"/>
      <c r="E153" s="7"/>
      <c r="F153" s="7"/>
    </row>
    <row r="154" spans="2:6" x14ac:dyDescent="0.3">
      <c r="D154" s="7"/>
      <c r="E154" s="7"/>
      <c r="F154" s="7"/>
    </row>
    <row r="155" spans="2:6" x14ac:dyDescent="0.3">
      <c r="D155" s="7"/>
      <c r="E155" s="7"/>
      <c r="F155" s="7"/>
    </row>
    <row r="156" spans="2:6" x14ac:dyDescent="0.3">
      <c r="D156" s="7"/>
      <c r="E156" s="7"/>
      <c r="F156" s="7"/>
    </row>
    <row r="157" spans="2:6" x14ac:dyDescent="0.3">
      <c r="B157" s="44" t="s">
        <v>168</v>
      </c>
      <c r="D157" s="7"/>
      <c r="E157" s="7"/>
      <c r="F157" s="7"/>
    </row>
    <row r="158" spans="2:6" x14ac:dyDescent="0.3">
      <c r="D158" s="7"/>
      <c r="E158" s="7"/>
      <c r="F158" s="7"/>
    </row>
    <row r="159" spans="2:6" x14ac:dyDescent="0.3">
      <c r="D159" s="7"/>
      <c r="E159" s="7"/>
      <c r="F159" s="7"/>
    </row>
    <row r="160" spans="2:6" x14ac:dyDescent="0.3">
      <c r="D160" s="7"/>
      <c r="E160" s="7"/>
      <c r="F160" s="7"/>
    </row>
    <row r="161" spans="4:6" x14ac:dyDescent="0.3">
      <c r="D161" s="7"/>
      <c r="E161" s="7"/>
      <c r="F161" s="7"/>
    </row>
    <row r="162" spans="4:6" x14ac:dyDescent="0.3">
      <c r="D162" s="7"/>
      <c r="E162" s="7"/>
      <c r="F162" s="7"/>
    </row>
    <row r="163" spans="4:6" x14ac:dyDescent="0.3">
      <c r="D163" s="7"/>
      <c r="E163" s="7"/>
      <c r="F163" s="7"/>
    </row>
    <row r="164" spans="4:6" x14ac:dyDescent="0.3">
      <c r="D164" s="7"/>
      <c r="E164" s="7"/>
      <c r="F164" s="7"/>
    </row>
    <row r="165" spans="4:6" x14ac:dyDescent="0.3">
      <c r="D165" s="7"/>
      <c r="E165" s="7"/>
      <c r="F165" s="7"/>
    </row>
    <row r="166" spans="4:6" x14ac:dyDescent="0.3">
      <c r="D166" s="7"/>
      <c r="E166" s="7"/>
      <c r="F166" s="7"/>
    </row>
    <row r="167" spans="4:6" x14ac:dyDescent="0.3">
      <c r="D167" s="7"/>
      <c r="E167" s="7"/>
      <c r="F167" s="7"/>
    </row>
    <row r="168" spans="4:6" x14ac:dyDescent="0.3">
      <c r="D168" s="7"/>
      <c r="E168" s="7"/>
      <c r="F168" s="7"/>
    </row>
    <row r="169" spans="4:6" x14ac:dyDescent="0.3">
      <c r="D169" s="7"/>
      <c r="E169" s="7"/>
      <c r="F169" s="7"/>
    </row>
    <row r="170" spans="4:6" x14ac:dyDescent="0.3">
      <c r="D170" s="7"/>
      <c r="E170" s="7"/>
      <c r="F170" s="7"/>
    </row>
    <row r="171" spans="4:6" x14ac:dyDescent="0.3">
      <c r="D171" s="7"/>
      <c r="E171" s="7"/>
      <c r="F171" s="7"/>
    </row>
    <row r="172" spans="4:6" x14ac:dyDescent="0.3">
      <c r="D172" s="7"/>
      <c r="E172" s="7"/>
      <c r="F172" s="7"/>
    </row>
    <row r="173" spans="4:6" x14ac:dyDescent="0.3">
      <c r="D173" s="7"/>
      <c r="E173" s="7"/>
      <c r="F173" s="7"/>
    </row>
    <row r="174" spans="4:6" x14ac:dyDescent="0.3">
      <c r="D174" s="7"/>
      <c r="E174" s="7"/>
      <c r="F174" s="7"/>
    </row>
    <row r="175" spans="4:6" x14ac:dyDescent="0.3">
      <c r="D175" s="7"/>
      <c r="E175" s="7"/>
      <c r="F175" s="7"/>
    </row>
    <row r="176" spans="4:6" x14ac:dyDescent="0.3">
      <c r="D176" s="7"/>
      <c r="E176" s="7"/>
      <c r="F176" s="7"/>
    </row>
    <row r="177" spans="2:6" x14ac:dyDescent="0.3">
      <c r="D177" s="7"/>
      <c r="E177" s="7"/>
      <c r="F177" s="7"/>
    </row>
    <row r="178" spans="2:6" x14ac:dyDescent="0.3">
      <c r="B178" s="44" t="s">
        <v>302</v>
      </c>
    </row>
    <row r="179" spans="2:6" x14ac:dyDescent="0.3">
      <c r="E179" s="35"/>
    </row>
    <row r="199" spans="2:2" x14ac:dyDescent="0.3">
      <c r="B199" s="44" t="s">
        <v>268</v>
      </c>
    </row>
    <row r="218" spans="2:2" x14ac:dyDescent="0.3">
      <c r="B218" s="44" t="s">
        <v>208</v>
      </c>
    </row>
  </sheetData>
  <mergeCells count="1">
    <mergeCell ref="A1:B1"/>
  </mergeCells>
  <conditionalFormatting sqref="D3">
    <cfRule type="cellIs" dxfId="87" priority="61" operator="greaterThan">
      <formula>$C3</formula>
    </cfRule>
  </conditionalFormatting>
  <conditionalFormatting sqref="D12">
    <cfRule type="cellIs" dxfId="86" priority="59" operator="lessThan">
      <formula>$C12</formula>
    </cfRule>
  </conditionalFormatting>
  <conditionalFormatting sqref="D15:G15">
    <cfRule type="cellIs" dxfId="85" priority="57" operator="greaterThan">
      <formula>$C$15</formula>
    </cfRule>
  </conditionalFormatting>
  <conditionalFormatting sqref="E3:G3">
    <cfRule type="cellIs" dxfId="84" priority="53" operator="greaterThan">
      <formula>$C3</formula>
    </cfRule>
  </conditionalFormatting>
  <conditionalFormatting sqref="D51:G51">
    <cfRule type="cellIs" dxfId="83" priority="52" operator="greaterThan">
      <formula>$C51</formula>
    </cfRule>
  </conditionalFormatting>
  <conditionalFormatting sqref="D62:G62">
    <cfRule type="cellIs" dxfId="82" priority="51" operator="greaterThan">
      <formula>$C62</formula>
    </cfRule>
  </conditionalFormatting>
  <conditionalFormatting sqref="D64:G64">
    <cfRule type="cellIs" dxfId="81" priority="50" operator="greaterThan">
      <formula>$C64</formula>
    </cfRule>
  </conditionalFormatting>
  <conditionalFormatting sqref="E12:G12">
    <cfRule type="cellIs" dxfId="80" priority="49" operator="lessThan">
      <formula>$C12</formula>
    </cfRule>
  </conditionalFormatting>
  <conditionalFormatting sqref="D76:E77">
    <cfRule type="cellIs" dxfId="79" priority="48" operator="lessThan">
      <formula>$C76</formula>
    </cfRule>
  </conditionalFormatting>
  <conditionalFormatting sqref="E76:G77 K76:K77">
    <cfRule type="cellIs" dxfId="78" priority="47" operator="lessThan">
      <formula>$C76</formula>
    </cfRule>
  </conditionalFormatting>
  <conditionalFormatting sqref="D65">
    <cfRule type="expression" dxfId="77" priority="46">
      <formula>$D65+$D66&gt;$C66</formula>
    </cfRule>
  </conditionalFormatting>
  <conditionalFormatting sqref="D66">
    <cfRule type="expression" dxfId="76" priority="45">
      <formula>$D65+$D66&gt;$C66</formula>
    </cfRule>
  </conditionalFormatting>
  <conditionalFormatting sqref="E65:G65">
    <cfRule type="expression" dxfId="75" priority="44">
      <formula>$D65+$D66&gt;$C66</formula>
    </cfRule>
  </conditionalFormatting>
  <conditionalFormatting sqref="E66:G66">
    <cfRule type="expression" dxfId="74" priority="43">
      <formula>$D65+$D66&gt;$C66</formula>
    </cfRule>
  </conditionalFormatting>
  <conditionalFormatting sqref="D65">
    <cfRule type="expression" dxfId="73" priority="42">
      <formula>D$65+D$66&gt;=$C$66</formula>
    </cfRule>
  </conditionalFormatting>
  <conditionalFormatting sqref="E65:G65">
    <cfRule type="expression" dxfId="72" priority="41">
      <formula>E$65+E$66&gt;=$C$66</formula>
    </cfRule>
  </conditionalFormatting>
  <conditionalFormatting sqref="D66">
    <cfRule type="expression" dxfId="71" priority="40">
      <formula>D$65+D$66&gt;=$C$66</formula>
    </cfRule>
  </conditionalFormatting>
  <conditionalFormatting sqref="E66:G66">
    <cfRule type="expression" dxfId="70" priority="39">
      <formula>E$65+E$66&gt;=$C$66</formula>
    </cfRule>
  </conditionalFormatting>
  <conditionalFormatting sqref="K65">
    <cfRule type="expression" dxfId="69" priority="38">
      <formula>$D65+$D66&gt;$C66</formula>
    </cfRule>
  </conditionalFormatting>
  <conditionalFormatting sqref="K66">
    <cfRule type="expression" dxfId="68" priority="37">
      <formula>$D65+$D66&gt;$C66</formula>
    </cfRule>
  </conditionalFormatting>
  <conditionalFormatting sqref="K65">
    <cfRule type="expression" dxfId="67" priority="36">
      <formula>K$65+K$66&gt;=$C$66</formula>
    </cfRule>
  </conditionalFormatting>
  <conditionalFormatting sqref="K66">
    <cfRule type="expression" dxfId="66" priority="35">
      <formula>K$65+K$66&gt;=$C$66</formula>
    </cfRule>
  </conditionalFormatting>
  <conditionalFormatting sqref="K64">
    <cfRule type="cellIs" dxfId="65" priority="34" operator="greaterThan">
      <formula>$C64</formula>
    </cfRule>
  </conditionalFormatting>
  <conditionalFormatting sqref="K3">
    <cfRule type="cellIs" dxfId="64" priority="33" operator="greaterThan">
      <formula>$C3</formula>
    </cfRule>
  </conditionalFormatting>
  <conditionalFormatting sqref="K62">
    <cfRule type="cellIs" dxfId="63" priority="32" operator="greaterThan">
      <formula>$C62</formula>
    </cfRule>
  </conditionalFormatting>
  <conditionalFormatting sqref="G65">
    <cfRule type="expression" dxfId="62" priority="31">
      <formula>$D65+$D66&gt;$C66</formula>
    </cfRule>
  </conditionalFormatting>
  <conditionalFormatting sqref="G66">
    <cfRule type="expression" dxfId="61" priority="30">
      <formula>$D65+$D66&gt;$C66</formula>
    </cfRule>
  </conditionalFormatting>
  <conditionalFormatting sqref="G65">
    <cfRule type="expression" dxfId="60" priority="29">
      <formula>G$65+G$66&gt;=$C$66</formula>
    </cfRule>
  </conditionalFormatting>
  <conditionalFormatting sqref="G66">
    <cfRule type="expression" dxfId="59" priority="28">
      <formula>G$65+G$66&gt;=$C$66</formula>
    </cfRule>
  </conditionalFormatting>
  <conditionalFormatting sqref="G64">
    <cfRule type="cellIs" dxfId="58" priority="27" operator="greaterThan">
      <formula>$C64</formula>
    </cfRule>
  </conditionalFormatting>
  <conditionalFormatting sqref="G3">
    <cfRule type="cellIs" dxfId="57" priority="26" operator="greaterThan">
      <formula>$C3</formula>
    </cfRule>
  </conditionalFormatting>
  <conditionalFormatting sqref="G62">
    <cfRule type="cellIs" dxfId="56" priority="25" operator="greaterThan">
      <formula>$C62</formula>
    </cfRule>
  </conditionalFormatting>
  <conditionalFormatting sqref="H76:H77">
    <cfRule type="cellIs" dxfId="55" priority="24" operator="lessThan">
      <formula>$C76</formula>
    </cfRule>
  </conditionalFormatting>
  <conditionalFormatting sqref="H65">
    <cfRule type="expression" dxfId="54" priority="23">
      <formula>$D65+$D66&gt;$C66</formula>
    </cfRule>
  </conditionalFormatting>
  <conditionalFormatting sqref="H66">
    <cfRule type="expression" dxfId="53" priority="22">
      <formula>$D65+$D66&gt;$C66</formula>
    </cfRule>
  </conditionalFormatting>
  <conditionalFormatting sqref="H65">
    <cfRule type="expression" dxfId="52" priority="21">
      <formula>H$65+H$66&gt;=$C$66</formula>
    </cfRule>
  </conditionalFormatting>
  <conditionalFormatting sqref="H66">
    <cfRule type="expression" dxfId="51" priority="20">
      <formula>H$65+H$66&gt;=$C$66</formula>
    </cfRule>
  </conditionalFormatting>
  <conditionalFormatting sqref="H64">
    <cfRule type="cellIs" dxfId="50" priority="19" operator="greaterThan">
      <formula>$C64</formula>
    </cfRule>
  </conditionalFormatting>
  <conditionalFormatting sqref="H3">
    <cfRule type="cellIs" dxfId="49" priority="18" operator="greaterThan">
      <formula>$C3</formula>
    </cfRule>
  </conditionalFormatting>
  <conditionalFormatting sqref="H62">
    <cfRule type="cellIs" dxfId="48" priority="17" operator="greaterThan">
      <formula>$C62</formula>
    </cfRule>
  </conditionalFormatting>
  <conditionalFormatting sqref="I76:I77">
    <cfRule type="cellIs" dxfId="47" priority="16" operator="lessThan">
      <formula>$C76</formula>
    </cfRule>
  </conditionalFormatting>
  <conditionalFormatting sqref="I65">
    <cfRule type="expression" dxfId="46" priority="15">
      <formula>$D65+$D66&gt;$C66</formula>
    </cfRule>
  </conditionalFormatting>
  <conditionalFormatting sqref="I66">
    <cfRule type="expression" dxfId="45" priority="14">
      <formula>$D65+$D66&gt;$C66</formula>
    </cfRule>
  </conditionalFormatting>
  <conditionalFormatting sqref="I65">
    <cfRule type="expression" dxfId="44" priority="13">
      <formula>I$65+I$66&gt;=$C$66</formula>
    </cfRule>
  </conditionalFormatting>
  <conditionalFormatting sqref="I66">
    <cfRule type="expression" dxfId="43" priority="12">
      <formula>I$65+I$66&gt;=$C$66</formula>
    </cfRule>
  </conditionalFormatting>
  <conditionalFormatting sqref="I64">
    <cfRule type="cellIs" dxfId="42" priority="11" operator="greaterThan">
      <formula>$C64</formula>
    </cfRule>
  </conditionalFormatting>
  <conditionalFormatting sqref="I3">
    <cfRule type="cellIs" dxfId="41" priority="10" operator="greaterThan">
      <formula>$C3</formula>
    </cfRule>
  </conditionalFormatting>
  <conditionalFormatting sqref="I62">
    <cfRule type="cellIs" dxfId="40" priority="9" operator="greaterThan">
      <formula>$C62</formula>
    </cfRule>
  </conditionalFormatting>
  <conditionalFormatting sqref="J76:J77">
    <cfRule type="cellIs" dxfId="39" priority="8" operator="lessThan">
      <formula>$C76</formula>
    </cfRule>
  </conditionalFormatting>
  <conditionalFormatting sqref="J65">
    <cfRule type="expression" dxfId="38" priority="7">
      <formula>$D65+$D66&gt;$C66</formula>
    </cfRule>
  </conditionalFormatting>
  <conditionalFormatting sqref="J66">
    <cfRule type="expression" dxfId="37" priority="6">
      <formula>$D65+$D66&gt;$C66</formula>
    </cfRule>
  </conditionalFormatting>
  <conditionalFormatting sqref="J65">
    <cfRule type="expression" dxfId="36" priority="5">
      <formula>J$65+J$66&gt;=$C$66</formula>
    </cfRule>
  </conditionalFormatting>
  <conditionalFormatting sqref="J66">
    <cfRule type="expression" dxfId="35" priority="4">
      <formula>J$65+J$66&gt;=$C$66</formula>
    </cfRule>
  </conditionalFormatting>
  <conditionalFormatting sqref="J64">
    <cfRule type="cellIs" dxfId="34" priority="3" operator="greaterThan">
      <formula>$C64</formula>
    </cfRule>
  </conditionalFormatting>
  <conditionalFormatting sqref="J3">
    <cfRule type="cellIs" dxfId="33" priority="2" operator="greaterThan">
      <formula>$C3</formula>
    </cfRule>
  </conditionalFormatting>
  <conditionalFormatting sqref="J62">
    <cfRule type="cellIs" dxfId="32" priority="1" operator="greaterThan">
      <formula>$C62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sqref="A1:L9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6.6640625" customWidth="1"/>
  </cols>
  <sheetData>
    <row r="1" spans="1:12" ht="23.25" customHeight="1" x14ac:dyDescent="0.3">
      <c r="A1" s="79" t="s">
        <v>311</v>
      </c>
      <c r="B1" s="79" t="s">
        <v>312</v>
      </c>
      <c r="C1" s="79" t="s">
        <v>322</v>
      </c>
      <c r="D1" s="47" t="s">
        <v>211</v>
      </c>
      <c r="E1" s="47">
        <v>2016</v>
      </c>
      <c r="F1" s="47">
        <v>2017</v>
      </c>
      <c r="G1" s="47">
        <v>2018</v>
      </c>
      <c r="H1" s="47">
        <v>2019</v>
      </c>
      <c r="I1" s="47">
        <v>2020</v>
      </c>
      <c r="J1" s="47">
        <v>2021</v>
      </c>
      <c r="K1" s="47">
        <v>2022</v>
      </c>
      <c r="L1" s="47">
        <v>2023</v>
      </c>
    </row>
    <row r="2" spans="1:12" ht="29.25" customHeight="1" x14ac:dyDescent="0.3">
      <c r="A2" s="80" t="s">
        <v>313</v>
      </c>
      <c r="B2" s="80" t="s">
        <v>78</v>
      </c>
      <c r="C2" s="82" t="s">
        <v>321</v>
      </c>
      <c r="D2" s="94" t="s">
        <v>328</v>
      </c>
      <c r="E2" s="87">
        <f>Piano_indicatori!D3</f>
        <v>38.409999999999997</v>
      </c>
      <c r="F2" s="87">
        <f>Piano_indicatori!E3</f>
        <v>34.915178435862039</v>
      </c>
      <c r="G2" s="87">
        <f>Piano_indicatori!F3</f>
        <v>41.13</v>
      </c>
      <c r="H2" s="87">
        <f>Piano_indicatori!G3</f>
        <v>35.33</v>
      </c>
      <c r="I2" s="87">
        <f>Piano_indicatori!H3</f>
        <v>38.19</v>
      </c>
      <c r="J2" s="87">
        <f>Piano_indicatori!I3</f>
        <v>46.87</v>
      </c>
      <c r="K2" s="87">
        <f>Piano_indicatori!J3</f>
        <v>42.62</v>
      </c>
      <c r="L2" s="87">
        <f>Piano_indicatori!K3</f>
        <v>39.03</v>
      </c>
    </row>
    <row r="3" spans="1:12" ht="29.25" customHeight="1" x14ac:dyDescent="0.3">
      <c r="A3" s="81" t="s">
        <v>314</v>
      </c>
      <c r="B3" s="81" t="s">
        <v>95</v>
      </c>
      <c r="C3" s="83" t="s">
        <v>96</v>
      </c>
      <c r="D3" s="95" t="s">
        <v>329</v>
      </c>
      <c r="E3" s="88">
        <f>Piano_indicatori!D12</f>
        <v>45.27</v>
      </c>
      <c r="F3" s="88">
        <f>Piano_indicatori!E12</f>
        <v>39.520000000000003</v>
      </c>
      <c r="G3" s="88">
        <f>Piano_indicatori!F12</f>
        <v>39.96</v>
      </c>
      <c r="H3" s="88">
        <f>Piano_indicatori!G12</f>
        <v>37.82</v>
      </c>
      <c r="I3" s="88">
        <f>Piano_indicatori!H12</f>
        <v>35.75</v>
      </c>
      <c r="J3" s="88">
        <f>Piano_indicatori!I12</f>
        <v>30.78</v>
      </c>
      <c r="K3" s="88">
        <f>Piano_indicatori!J12</f>
        <v>35.78</v>
      </c>
      <c r="L3" s="88">
        <f>Piano_indicatori!K12</f>
        <v>35.71</v>
      </c>
    </row>
    <row r="4" spans="1:12" ht="29.25" customHeight="1" x14ac:dyDescent="0.3">
      <c r="A4" s="80" t="s">
        <v>315</v>
      </c>
      <c r="B4" s="80" t="s">
        <v>100</v>
      </c>
      <c r="C4" s="84" t="s">
        <v>324</v>
      </c>
      <c r="D4" s="94" t="s">
        <v>330</v>
      </c>
      <c r="E4" s="89">
        <f>Piano_indicatori!D15</f>
        <v>8.24</v>
      </c>
      <c r="F4" s="89">
        <f>Piano_indicatori!E15</f>
        <v>0</v>
      </c>
      <c r="G4" s="89">
        <f>Piano_indicatori!F15</f>
        <v>0</v>
      </c>
      <c r="H4" s="89">
        <f>Piano_indicatori!G15</f>
        <v>0</v>
      </c>
      <c r="I4" s="89">
        <f>Piano_indicatori!H15</f>
        <v>0</v>
      </c>
      <c r="J4" s="89">
        <f>Piano_indicatori!I15</f>
        <v>0</v>
      </c>
      <c r="K4" s="89">
        <f>Piano_indicatori!J15</f>
        <v>0</v>
      </c>
      <c r="L4" s="89">
        <f>Piano_indicatori!K15</f>
        <v>0</v>
      </c>
    </row>
    <row r="5" spans="1:12" ht="29.25" customHeight="1" x14ac:dyDescent="0.3">
      <c r="A5" s="81" t="s">
        <v>316</v>
      </c>
      <c r="B5" s="81" t="s">
        <v>165</v>
      </c>
      <c r="C5" s="85" t="s">
        <v>325</v>
      </c>
      <c r="D5" s="96" t="s">
        <v>331</v>
      </c>
      <c r="E5" s="90">
        <f>Piano_indicatori!D51</f>
        <v>13.09</v>
      </c>
      <c r="F5" s="90">
        <f>Piano_indicatori!E51</f>
        <v>13.09</v>
      </c>
      <c r="G5" s="90">
        <f>Piano_indicatori!F51</f>
        <v>12</v>
      </c>
      <c r="H5" s="90">
        <f>Piano_indicatori!G51</f>
        <v>10.9</v>
      </c>
      <c r="I5" s="90">
        <f>Piano_indicatori!H51</f>
        <v>9.91</v>
      </c>
      <c r="J5" s="90">
        <f>Piano_indicatori!I51</f>
        <v>12.87</v>
      </c>
      <c r="K5" s="90">
        <f>Piano_indicatori!J51</f>
        <v>15.15</v>
      </c>
      <c r="L5" s="90">
        <f>Piano_indicatori!K51</f>
        <v>13.81</v>
      </c>
    </row>
    <row r="6" spans="1:12" ht="29.25" customHeight="1" x14ac:dyDescent="0.3">
      <c r="A6" s="80" t="s">
        <v>317</v>
      </c>
      <c r="B6" s="80" t="s">
        <v>185</v>
      </c>
      <c r="C6" s="98" t="s">
        <v>186</v>
      </c>
      <c r="D6" s="97" t="s">
        <v>332</v>
      </c>
      <c r="E6" s="91">
        <f>Piano_indicatori!D62</f>
        <v>13.07</v>
      </c>
      <c r="F6" s="91">
        <f>Piano_indicatori!E62</f>
        <v>13.61</v>
      </c>
      <c r="G6" s="91">
        <f>Piano_indicatori!F62</f>
        <v>6.75</v>
      </c>
      <c r="H6" s="91">
        <f>Piano_indicatori!G62</f>
        <v>5.7</v>
      </c>
      <c r="I6" s="91">
        <f>Piano_indicatori!H62</f>
        <v>11.4</v>
      </c>
      <c r="J6" s="91">
        <f>Piano_indicatori!I62</f>
        <v>21.62</v>
      </c>
      <c r="K6" s="91">
        <f>Piano_indicatori!J62</f>
        <v>10.94</v>
      </c>
      <c r="L6" s="91">
        <f>Piano_indicatori!K62</f>
        <v>8.9</v>
      </c>
    </row>
    <row r="7" spans="1:12" ht="29.25" customHeight="1" x14ac:dyDescent="0.3">
      <c r="A7" s="81" t="s">
        <v>318</v>
      </c>
      <c r="B7" s="81" t="s">
        <v>188</v>
      </c>
      <c r="C7" s="85" t="s">
        <v>189</v>
      </c>
      <c r="D7" s="95" t="s">
        <v>333</v>
      </c>
      <c r="E7" s="92">
        <f>Piano_indicatori!D64</f>
        <v>0</v>
      </c>
      <c r="F7" s="92">
        <f>Piano_indicatori!E64</f>
        <v>0</v>
      </c>
      <c r="G7" s="92">
        <f>Piano_indicatori!F64</f>
        <v>4.95</v>
      </c>
      <c r="H7" s="92">
        <f>Piano_indicatori!G64</f>
        <v>5.91</v>
      </c>
      <c r="I7" s="92">
        <f>Piano_indicatori!H64</f>
        <v>2.57</v>
      </c>
      <c r="J7" s="92">
        <f>Piano_indicatori!I64</f>
        <v>2.94</v>
      </c>
      <c r="K7" s="92">
        <f>Piano_indicatori!J64</f>
        <v>2.14</v>
      </c>
      <c r="L7" s="92">
        <f>Piano_indicatori!K64</f>
        <v>2.16</v>
      </c>
    </row>
    <row r="8" spans="1:12" ht="29.25" customHeight="1" x14ac:dyDescent="0.3">
      <c r="A8" s="80" t="s">
        <v>319</v>
      </c>
      <c r="B8" s="80" t="s">
        <v>323</v>
      </c>
      <c r="C8" s="84" t="s">
        <v>326</v>
      </c>
      <c r="D8" s="94" t="s">
        <v>334</v>
      </c>
      <c r="E8" s="89">
        <f>Piano_indicatori!D65+Piano_indicatori!D66</f>
        <v>39.72</v>
      </c>
      <c r="F8" s="89">
        <f>Piano_indicatori!E65+Piano_indicatori!E66</f>
        <v>3.66</v>
      </c>
      <c r="G8" s="118">
        <f>Piano_indicatori!F65+Piano_indicatori!F66</f>
        <v>0.79</v>
      </c>
      <c r="H8" s="118">
        <f>Piano_indicatori!G65+Piano_indicatori!G66</f>
        <v>0.94</v>
      </c>
      <c r="I8" s="118">
        <f>Piano_indicatori!H65+Piano_indicatori!H66</f>
        <v>0.33</v>
      </c>
      <c r="J8" s="118">
        <f>Piano_indicatori!I65+Piano_indicatori!I66</f>
        <v>0.27</v>
      </c>
      <c r="K8" s="118">
        <f>Piano_indicatori!J65+Piano_indicatori!J66</f>
        <v>1.18</v>
      </c>
      <c r="L8" s="118">
        <f>Piano_indicatori!K65+Piano_indicatori!K66</f>
        <v>0.42</v>
      </c>
    </row>
    <row r="9" spans="1:12" ht="29.25" customHeight="1" x14ac:dyDescent="0.3">
      <c r="A9" s="81" t="s">
        <v>320</v>
      </c>
      <c r="B9" s="81"/>
      <c r="C9" s="86" t="s">
        <v>327</v>
      </c>
      <c r="D9" s="96" t="s">
        <v>335</v>
      </c>
      <c r="E9" s="93">
        <f>Piano_indicatori!D76</f>
        <v>53.6</v>
      </c>
      <c r="F9" s="93">
        <f>Piano_indicatori!E76</f>
        <v>41.76</v>
      </c>
      <c r="G9" s="93">
        <f>Piano_indicatori!F76</f>
        <v>51.14</v>
      </c>
      <c r="H9" s="93">
        <f>Piano_indicatori!G76</f>
        <v>49.245914337223354</v>
      </c>
      <c r="I9" s="93">
        <f>Piano_indicatori!H76</f>
        <v>51.629627628792619</v>
      </c>
      <c r="J9" s="93">
        <f>Piano_indicatori!I76</f>
        <v>49.320589298365007</v>
      </c>
      <c r="K9" s="93">
        <f>Piano_indicatori!J76</f>
        <v>30.659163467895816</v>
      </c>
      <c r="L9" s="93">
        <f>Piano_indicatori!K76</f>
        <v>38.62497668246624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K9" sqref="K9"/>
    </sheetView>
  </sheetViews>
  <sheetFormatPr defaultRowHeight="14.4" x14ac:dyDescent="0.3"/>
  <cols>
    <col min="2" max="2" width="12.33203125" bestFit="1" customWidth="1"/>
    <col min="3" max="3" width="9.109375" bestFit="1" customWidth="1"/>
    <col min="5" max="6" width="10" customWidth="1"/>
    <col min="18" max="18" width="10" bestFit="1" customWidth="1"/>
  </cols>
  <sheetData>
    <row r="1" spans="1:20" ht="43.2" x14ac:dyDescent="0.3">
      <c r="A1" s="101" t="s">
        <v>336</v>
      </c>
      <c r="B1" s="101" t="s">
        <v>337</v>
      </c>
      <c r="C1" s="101" t="s">
        <v>350</v>
      </c>
      <c r="D1" s="101" t="s">
        <v>351</v>
      </c>
      <c r="E1" s="101" t="s">
        <v>352</v>
      </c>
      <c r="F1" s="101" t="s">
        <v>366</v>
      </c>
      <c r="G1" s="101" t="s">
        <v>353</v>
      </c>
    </row>
    <row r="2" spans="1:20" x14ac:dyDescent="0.3">
      <c r="A2">
        <v>2024</v>
      </c>
      <c r="B2" s="1">
        <v>911697</v>
      </c>
      <c r="C2" s="1">
        <v>2967736</v>
      </c>
    </row>
    <row r="3" spans="1:20" x14ac:dyDescent="0.3">
      <c r="A3">
        <v>2023</v>
      </c>
      <c r="B3" s="1">
        <v>917510</v>
      </c>
      <c r="C3" s="1">
        <v>2980338</v>
      </c>
      <c r="D3" s="1">
        <v>-3242</v>
      </c>
      <c r="E3" s="1">
        <f>-4823+2252</f>
        <v>-2571</v>
      </c>
      <c r="G3" s="1">
        <f>B2-B3-D3-E3-F3</f>
        <v>0</v>
      </c>
    </row>
    <row r="4" spans="1:20" x14ac:dyDescent="0.3">
      <c r="A4">
        <v>2022</v>
      </c>
      <c r="B4" s="1">
        <v>921142</v>
      </c>
      <c r="C4" s="1">
        <v>2988376</v>
      </c>
      <c r="D4" s="1">
        <v>-3785</v>
      </c>
      <c r="E4" s="1">
        <f>-5790+2287</f>
        <v>-3503</v>
      </c>
      <c r="F4" s="1">
        <v>3656</v>
      </c>
      <c r="G4" s="1">
        <f>B3-B4-D4-E4-F4</f>
        <v>0</v>
      </c>
    </row>
    <row r="5" spans="1:20" x14ac:dyDescent="0.3">
      <c r="A5">
        <v>2021</v>
      </c>
      <c r="B5" s="1">
        <v>922094</v>
      </c>
      <c r="C5" s="1">
        <v>2986745</v>
      </c>
      <c r="D5" s="1">
        <v>-3872</v>
      </c>
      <c r="E5" s="1">
        <v>-3648</v>
      </c>
      <c r="F5" s="1">
        <v>6568</v>
      </c>
      <c r="G5" s="1">
        <f>B4-B5-D5-E5-F5</f>
        <v>0</v>
      </c>
    </row>
    <row r="6" spans="1:20" x14ac:dyDescent="0.3">
      <c r="A6">
        <v>2020</v>
      </c>
      <c r="B6" s="1">
        <v>948850</v>
      </c>
      <c r="C6" s="1">
        <v>3034410</v>
      </c>
      <c r="D6" s="1">
        <v>-3538</v>
      </c>
      <c r="E6" s="1">
        <v>-5017</v>
      </c>
      <c r="F6" s="1">
        <v>-18201</v>
      </c>
      <c r="G6" s="1">
        <f t="shared" ref="G6:G11" si="0">B5-B6-D6-E6-F6</f>
        <v>0</v>
      </c>
    </row>
    <row r="7" spans="1:20" x14ac:dyDescent="0.3">
      <c r="A7">
        <v>2019</v>
      </c>
      <c r="B7" s="1">
        <v>954318</v>
      </c>
      <c r="C7" s="1">
        <v>3048194</v>
      </c>
      <c r="D7" s="1">
        <v>-2000</v>
      </c>
      <c r="E7" s="1">
        <v>-3635</v>
      </c>
      <c r="F7" s="1">
        <v>167</v>
      </c>
      <c r="G7" s="1">
        <f t="shared" si="0"/>
        <v>0</v>
      </c>
      <c r="J7" s="110"/>
      <c r="K7" s="111"/>
      <c r="L7" s="111"/>
      <c r="M7" s="111"/>
      <c r="N7" s="111"/>
      <c r="O7" s="111"/>
      <c r="P7" s="111"/>
      <c r="Q7" s="111"/>
      <c r="R7" s="111"/>
      <c r="S7" s="111"/>
      <c r="T7" s="1"/>
    </row>
    <row r="8" spans="1:20" x14ac:dyDescent="0.3">
      <c r="A8">
        <v>2018</v>
      </c>
      <c r="B8" s="1">
        <v>957571</v>
      </c>
      <c r="C8" s="1">
        <v>3060023</v>
      </c>
      <c r="D8" s="1">
        <v>-2004</v>
      </c>
      <c r="E8" s="1">
        <v>-1249</v>
      </c>
      <c r="F8" s="1"/>
      <c r="G8" s="1">
        <f t="shared" si="0"/>
        <v>0</v>
      </c>
      <c r="J8" s="110"/>
      <c r="K8" s="111"/>
      <c r="L8" s="111"/>
      <c r="M8" s="111"/>
      <c r="N8" s="111"/>
      <c r="O8" s="111"/>
      <c r="P8" s="111"/>
      <c r="Q8" s="111"/>
      <c r="R8" s="111"/>
      <c r="S8" s="111"/>
    </row>
    <row r="9" spans="1:20" x14ac:dyDescent="0.3">
      <c r="A9">
        <v>2017</v>
      </c>
      <c r="B9" s="1">
        <v>959433</v>
      </c>
      <c r="C9" s="1">
        <v>3065231</v>
      </c>
      <c r="D9" s="1">
        <v>-2303</v>
      </c>
      <c r="E9" s="1">
        <v>441</v>
      </c>
      <c r="F9" s="1"/>
      <c r="G9" s="1">
        <f t="shared" si="0"/>
        <v>0</v>
      </c>
      <c r="J9" s="110"/>
      <c r="K9" s="111"/>
      <c r="L9" s="111"/>
      <c r="M9" s="111"/>
      <c r="N9" s="111"/>
      <c r="O9" s="111"/>
      <c r="P9" s="111"/>
      <c r="Q9" s="111"/>
      <c r="R9" s="111"/>
      <c r="S9" s="111"/>
    </row>
    <row r="10" spans="1:20" x14ac:dyDescent="0.3">
      <c r="A10">
        <v>2016</v>
      </c>
      <c r="B10" s="1">
        <v>961011</v>
      </c>
      <c r="C10" s="1">
        <v>3071681</v>
      </c>
      <c r="D10" s="1">
        <v>-1518</v>
      </c>
      <c r="E10" s="1">
        <v>-60</v>
      </c>
      <c r="F10" s="1"/>
      <c r="G10" s="1">
        <f t="shared" si="0"/>
        <v>0</v>
      </c>
      <c r="J10" s="110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20" x14ac:dyDescent="0.3">
      <c r="A11">
        <v>2015</v>
      </c>
      <c r="B11" s="1">
        <v>963521</v>
      </c>
      <c r="C11" s="1">
        <v>3075600</v>
      </c>
      <c r="D11" s="1">
        <v>-2693</v>
      </c>
      <c r="E11" s="1">
        <v>183</v>
      </c>
      <c r="F11" s="1"/>
      <c r="G11" s="1">
        <f t="shared" si="0"/>
        <v>0</v>
      </c>
    </row>
    <row r="31" spans="1:6" x14ac:dyDescent="0.3">
      <c r="A31" s="112"/>
      <c r="B31" s="110"/>
      <c r="C31" s="110"/>
      <c r="D31" s="110"/>
    </row>
    <row r="32" spans="1:6" x14ac:dyDescent="0.3">
      <c r="F32" s="110"/>
    </row>
    <row r="33" spans="6:6" x14ac:dyDescent="0.3">
      <c r="F33" s="110"/>
    </row>
    <row r="34" spans="6:6" x14ac:dyDescent="0.3">
      <c r="F34" s="110"/>
    </row>
    <row r="35" spans="6:6" x14ac:dyDescent="0.3">
      <c r="F35" s="110"/>
    </row>
    <row r="36" spans="6:6" x14ac:dyDescent="0.3">
      <c r="F36" s="110"/>
    </row>
    <row r="37" spans="6:6" x14ac:dyDescent="0.3">
      <c r="F37" s="110"/>
    </row>
    <row r="38" spans="6:6" x14ac:dyDescent="0.3">
      <c r="F38" s="110"/>
    </row>
    <row r="39" spans="6:6" x14ac:dyDescent="0.3">
      <c r="F39" s="110"/>
    </row>
    <row r="40" spans="6:6" x14ac:dyDescent="0.3">
      <c r="F40" s="110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pane xSplit="1" topLeftCell="F1" activePane="topRight" state="frozen"/>
      <selection pane="topRight" activeCell="B1" sqref="B1:B1048576"/>
    </sheetView>
  </sheetViews>
  <sheetFormatPr defaultRowHeight="14.4" x14ac:dyDescent="0.3"/>
  <cols>
    <col min="1" max="1" width="55.6640625" bestFit="1" customWidth="1"/>
    <col min="2" max="9" width="14.109375" bestFit="1" customWidth="1"/>
    <col min="10" max="10" width="8.44140625" customWidth="1"/>
    <col min="11" max="11" width="7.44140625" bestFit="1" customWidth="1"/>
    <col min="12" max="12" width="14.33203125" bestFit="1" customWidth="1"/>
    <col min="13" max="13" width="7" bestFit="1" customWidth="1"/>
  </cols>
  <sheetData>
    <row r="1" spans="1:13" ht="28.8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59" t="s">
        <v>297</v>
      </c>
      <c r="K1" s="47" t="s">
        <v>233</v>
      </c>
      <c r="L1" s="59" t="s">
        <v>387</v>
      </c>
      <c r="M1" s="47" t="s">
        <v>269</v>
      </c>
    </row>
    <row r="2" spans="1:13" x14ac:dyDescent="0.3">
      <c r="A2" s="60" t="s">
        <v>20</v>
      </c>
      <c r="B2" s="61">
        <f>Entrate_Uscite!B3</f>
        <v>919146781.45000005</v>
      </c>
      <c r="C2" s="61">
        <f>Entrate_Uscite!E3</f>
        <v>905772422.5</v>
      </c>
      <c r="D2" s="61">
        <f>Entrate_Uscite!H3</f>
        <v>916582430.64999998</v>
      </c>
      <c r="E2" s="61">
        <f>Entrate_Uscite!K3</f>
        <v>933804197.13</v>
      </c>
      <c r="F2" s="61">
        <f>Entrate_Uscite!N3</f>
        <v>878332823.14999998</v>
      </c>
      <c r="G2" s="61">
        <f>Entrate_Uscite!Q3</f>
        <v>877200776.79999995</v>
      </c>
      <c r="H2" s="61">
        <f>Entrate_Uscite!T3</f>
        <v>878807389.92999995</v>
      </c>
      <c r="I2" s="61">
        <f>Entrate_Uscite!W3</f>
        <v>920410684.97000003</v>
      </c>
      <c r="J2" s="61">
        <f t="shared" ref="J2:J18" si="0">I2/I$21*100</f>
        <v>46.201709427406065</v>
      </c>
      <c r="K2" s="62">
        <f>IF(H2&gt;0,I2/H2*100-100,"-")</f>
        <v>4.7340629490284556</v>
      </c>
      <c r="L2" s="61">
        <f>Entrate_Uscite!X3</f>
        <v>614727618.86000001</v>
      </c>
      <c r="M2" s="63">
        <f t="shared" ref="M2:M21" si="1">IF(I2&gt;0,L2/I2*100,"-")</f>
        <v>66.788405317136935</v>
      </c>
    </row>
    <row r="3" spans="1:13" x14ac:dyDescent="0.3">
      <c r="A3" s="60" t="s">
        <v>21</v>
      </c>
      <c r="B3" s="61">
        <f>Entrate_Uscite!B4</f>
        <v>170743945.75999999</v>
      </c>
      <c r="C3" s="61">
        <f>Entrate_Uscite!E4</f>
        <v>148387953.93000001</v>
      </c>
      <c r="D3" s="61">
        <f>Entrate_Uscite!H4</f>
        <v>167039724.69999999</v>
      </c>
      <c r="E3" s="61">
        <f>Entrate_Uscite!K4</f>
        <v>188486676.53999999</v>
      </c>
      <c r="F3" s="61">
        <f>Entrate_Uscite!N4</f>
        <v>314473456.42000002</v>
      </c>
      <c r="G3" s="61">
        <f>Entrate_Uscite!Q4</f>
        <v>643772484.10000002</v>
      </c>
      <c r="H3" s="61">
        <f>Entrate_Uscite!T4</f>
        <v>451378477.62</v>
      </c>
      <c r="I3" s="61">
        <f>Entrate_Uscite!W4</f>
        <v>409586768.25999999</v>
      </c>
      <c r="J3" s="61">
        <f t="shared" si="0"/>
        <v>20.559962157627087</v>
      </c>
      <c r="K3" s="62">
        <f t="shared" ref="K3:K21" si="2">IF(H3&gt;0,I3/H3*100-100,"-")</f>
        <v>-9.2586845479112583</v>
      </c>
      <c r="L3" s="61">
        <f>Entrate_Uscite!X4</f>
        <v>344317049.02999997</v>
      </c>
      <c r="M3" s="63">
        <f t="shared" si="1"/>
        <v>84.06449517222498</v>
      </c>
    </row>
    <row r="4" spans="1:13" x14ac:dyDescent="0.3">
      <c r="A4" s="60" t="s">
        <v>22</v>
      </c>
      <c r="B4" s="61">
        <f>Entrate_Uscite!B5</f>
        <v>247315281.05000001</v>
      </c>
      <c r="C4" s="61">
        <f>Entrate_Uscite!E5</f>
        <v>230399329.66999999</v>
      </c>
      <c r="D4" s="61">
        <f>Entrate_Uscite!H5</f>
        <v>295871263.42000002</v>
      </c>
      <c r="E4" s="61">
        <f>Entrate_Uscite!K5</f>
        <v>306982052.02999997</v>
      </c>
      <c r="F4" s="61">
        <f>Entrate_Uscite!N5</f>
        <v>279625906.55000001</v>
      </c>
      <c r="G4" s="61">
        <f>Entrate_Uscite!Q5</f>
        <v>241271698</v>
      </c>
      <c r="H4" s="61">
        <f>Entrate_Uscite!T5</f>
        <v>240501261.72</v>
      </c>
      <c r="I4" s="61">
        <f>Entrate_Uscite!W5</f>
        <v>276753789.58999997</v>
      </c>
      <c r="J4" s="61">
        <f t="shared" si="0"/>
        <v>13.892166158400718</v>
      </c>
      <c r="K4" s="62">
        <f t="shared" si="2"/>
        <v>15.073737081764847</v>
      </c>
      <c r="L4" s="61">
        <f>Entrate_Uscite!X5</f>
        <v>92165552.659999996</v>
      </c>
      <c r="M4" s="63">
        <f t="shared" si="1"/>
        <v>33.302363373791451</v>
      </c>
    </row>
    <row r="5" spans="1:13" x14ac:dyDescent="0.3">
      <c r="A5" s="4" t="s">
        <v>31</v>
      </c>
      <c r="B5" s="48">
        <f>SUM(B2:B4)</f>
        <v>1337206008.26</v>
      </c>
      <c r="C5" s="48">
        <f>SUM(C2:C4)</f>
        <v>1284559706.1000001</v>
      </c>
      <c r="D5" s="48">
        <f>SUM(D2:D4)</f>
        <v>1379493418.77</v>
      </c>
      <c r="E5" s="48">
        <f t="shared" ref="E5:I5" si="3">SUM(E2:E4)</f>
        <v>1429272925.7</v>
      </c>
      <c r="F5" s="48">
        <f t="shared" si="3"/>
        <v>1472432186.1199999</v>
      </c>
      <c r="G5" s="48">
        <f t="shared" ref="G5:H5" si="4">SUM(G2:G4)</f>
        <v>1762244958.9000001</v>
      </c>
      <c r="H5" s="48">
        <f t="shared" si="4"/>
        <v>1570687129.27</v>
      </c>
      <c r="I5" s="48">
        <f t="shared" si="3"/>
        <v>1606751242.8199999</v>
      </c>
      <c r="J5" s="48">
        <f t="shared" si="0"/>
        <v>80.653837743433868</v>
      </c>
      <c r="K5" s="49">
        <f t="shared" si="2"/>
        <v>2.2960723926452005</v>
      </c>
      <c r="L5" s="48">
        <f>SUM(L2:L4)</f>
        <v>1051210220.55</v>
      </c>
      <c r="M5" s="50">
        <f t="shared" si="1"/>
        <v>65.424578026467046</v>
      </c>
    </row>
    <row r="6" spans="1:13" x14ac:dyDescent="0.3">
      <c r="A6" s="60" t="s">
        <v>23</v>
      </c>
      <c r="B6" s="61">
        <f>Entrate_Uscite!B6</f>
        <v>1136091.8600000001</v>
      </c>
      <c r="C6" s="61">
        <f>Entrate_Uscite!E6</f>
        <v>2689241.36</v>
      </c>
      <c r="D6" s="61">
        <f>Entrate_Uscite!H6</f>
        <v>1868686.97</v>
      </c>
      <c r="E6" s="61">
        <f>Entrate_Uscite!K6</f>
        <v>6346094.7999999998</v>
      </c>
      <c r="F6" s="61">
        <f>Entrate_Uscite!N6</f>
        <v>1964766.24</v>
      </c>
      <c r="G6" s="61">
        <f>Entrate_Uscite!Q6</f>
        <v>3311479.9</v>
      </c>
      <c r="H6" s="61">
        <f>Entrate_Uscite!T6</f>
        <v>2964356.04</v>
      </c>
      <c r="I6" s="61">
        <f>Entrate_Uscite!W6</f>
        <v>4827395.12</v>
      </c>
      <c r="J6" s="61">
        <f t="shared" si="0"/>
        <v>0.24231998853075859</v>
      </c>
      <c r="K6" s="62">
        <f t="shared" si="2"/>
        <v>62.848020104899405</v>
      </c>
      <c r="L6" s="61">
        <f>Entrate_Uscite!X6</f>
        <v>4786265.92</v>
      </c>
      <c r="M6" s="63">
        <f t="shared" si="1"/>
        <v>99.148004276061812</v>
      </c>
    </row>
    <row r="7" spans="1:13" x14ac:dyDescent="0.3">
      <c r="A7" s="60" t="s">
        <v>24</v>
      </c>
      <c r="B7" s="61">
        <f>Entrate_Uscite!B7</f>
        <v>249492651.22999999</v>
      </c>
      <c r="C7" s="61">
        <f>Entrate_Uscite!E7</f>
        <v>291428696.12</v>
      </c>
      <c r="D7" s="61">
        <f>Entrate_Uscite!H7</f>
        <v>268106606.31999999</v>
      </c>
      <c r="E7" s="61">
        <f>Entrate_Uscite!K7</f>
        <v>232380243.33000001</v>
      </c>
      <c r="F7" s="61">
        <f>Entrate_Uscite!N7</f>
        <v>649912611.95000005</v>
      </c>
      <c r="G7" s="61">
        <f>Entrate_Uscite!Q7</f>
        <v>198645593</v>
      </c>
      <c r="H7" s="61">
        <f>Entrate_Uscite!T7</f>
        <v>247708089.59</v>
      </c>
      <c r="I7" s="61">
        <f>Entrate_Uscite!W7</f>
        <v>348953529.31</v>
      </c>
      <c r="J7" s="61">
        <f t="shared" si="0"/>
        <v>17.516365061943993</v>
      </c>
      <c r="K7" s="62">
        <f t="shared" si="2"/>
        <v>40.872883839836987</v>
      </c>
      <c r="L7" s="61">
        <f>Entrate_Uscite!X7</f>
        <v>192049539.68000001</v>
      </c>
      <c r="M7" s="63">
        <f t="shared" si="1"/>
        <v>55.035849632971868</v>
      </c>
    </row>
    <row r="8" spans="1:13" x14ac:dyDescent="0.3">
      <c r="A8" s="60" t="s">
        <v>25</v>
      </c>
      <c r="B8" s="61">
        <f>Entrate_Uscite!B8</f>
        <v>123827.29</v>
      </c>
      <c r="C8" s="61">
        <f>Entrate_Uscite!E8</f>
        <v>17961458.949999999</v>
      </c>
      <c r="D8" s="61">
        <f>Entrate_Uscite!H8</f>
        <v>0</v>
      </c>
      <c r="E8" s="61">
        <f>Entrate_Uscite!K8</f>
        <v>8029.73</v>
      </c>
      <c r="F8" s="61">
        <f>Entrate_Uscite!N8</f>
        <v>116197.04</v>
      </c>
      <c r="G8" s="61">
        <f>Entrate_Uscite!Q8</f>
        <v>6422.02</v>
      </c>
      <c r="H8" s="61">
        <f>Entrate_Uscite!T8</f>
        <v>1156371.43</v>
      </c>
      <c r="I8" s="61">
        <f>Entrate_Uscite!W8</f>
        <v>1783227.27</v>
      </c>
      <c r="J8" s="61">
        <f t="shared" si="0"/>
        <v>8.9512376938835694E-2</v>
      </c>
      <c r="K8" s="62">
        <f t="shared" si="2"/>
        <v>54.208866090716214</v>
      </c>
      <c r="L8" s="61">
        <f>Entrate_Uscite!X8</f>
        <v>1783227.27</v>
      </c>
      <c r="M8" s="63">
        <f t="shared" si="1"/>
        <v>100</v>
      </c>
    </row>
    <row r="9" spans="1:13" x14ac:dyDescent="0.3">
      <c r="A9" s="60" t="s">
        <v>26</v>
      </c>
      <c r="B9" s="61">
        <f>Entrate_Uscite!B9</f>
        <v>3408936.89</v>
      </c>
      <c r="C9" s="61">
        <f>Entrate_Uscite!E9</f>
        <v>4710406.34</v>
      </c>
      <c r="D9" s="61">
        <f>Entrate_Uscite!H9</f>
        <v>5192225.8499999996</v>
      </c>
      <c r="E9" s="61">
        <f>Entrate_Uscite!K9</f>
        <v>6776950.3099999996</v>
      </c>
      <c r="F9" s="61">
        <f>Entrate_Uscite!N9</f>
        <v>5974252.7400000002</v>
      </c>
      <c r="G9" s="61">
        <f>Entrate_Uscite!Q9</f>
        <v>9672790.0999999996</v>
      </c>
      <c r="H9" s="61">
        <f>Entrate_Uscite!T9</f>
        <v>35086075.969999999</v>
      </c>
      <c r="I9" s="61">
        <f>Entrate_Uscite!W9</f>
        <v>11183584.640000001</v>
      </c>
      <c r="J9" s="61">
        <f t="shared" si="0"/>
        <v>0.56138062750860307</v>
      </c>
      <c r="K9" s="62">
        <f t="shared" si="2"/>
        <v>-68.125290928622476</v>
      </c>
      <c r="L9" s="61">
        <f>Entrate_Uscite!X9</f>
        <v>10519159.140000001</v>
      </c>
      <c r="M9" s="63">
        <f t="shared" si="1"/>
        <v>94.058921880703892</v>
      </c>
    </row>
    <row r="10" spans="1:13" x14ac:dyDescent="0.3">
      <c r="A10" s="60" t="s">
        <v>27</v>
      </c>
      <c r="B10" s="61">
        <f>Entrate_Uscite!B10</f>
        <v>3751390.94</v>
      </c>
      <c r="C10" s="61">
        <f>Entrate_Uscite!E10</f>
        <v>4967802.4800000004</v>
      </c>
      <c r="D10" s="61">
        <f>Entrate_Uscite!H10</f>
        <v>4559028.17</v>
      </c>
      <c r="E10" s="61">
        <f>Entrate_Uscite!K10</f>
        <v>5567276.5499999998</v>
      </c>
      <c r="F10" s="61">
        <f>Entrate_Uscite!N10</f>
        <v>4383134.34</v>
      </c>
      <c r="G10" s="61">
        <f>Entrate_Uscite!Q10</f>
        <v>5565460.5999999996</v>
      </c>
      <c r="H10" s="61">
        <f>Entrate_Uscite!T10</f>
        <v>5318286.82</v>
      </c>
      <c r="I10" s="61">
        <f>Entrate_Uscite!W10</f>
        <v>5122799.8099999996</v>
      </c>
      <c r="J10" s="61">
        <f t="shared" si="0"/>
        <v>0.25714837098409549</v>
      </c>
      <c r="K10" s="62">
        <f t="shared" si="2"/>
        <v>-3.6757515458709378</v>
      </c>
      <c r="L10" s="61">
        <f>Entrate_Uscite!X10</f>
        <v>4514224.57</v>
      </c>
      <c r="M10" s="63">
        <f t="shared" si="1"/>
        <v>88.120261135092065</v>
      </c>
    </row>
    <row r="11" spans="1:13" x14ac:dyDescent="0.3">
      <c r="A11" s="4" t="s">
        <v>32</v>
      </c>
      <c r="B11" s="51">
        <f>SUM(B6:B10)</f>
        <v>257912898.20999998</v>
      </c>
      <c r="C11" s="51">
        <f>SUM(C6:C10)</f>
        <v>321757605.25</v>
      </c>
      <c r="D11" s="51">
        <f>SUM(D6:D10)</f>
        <v>279726547.31000006</v>
      </c>
      <c r="E11" s="51">
        <f t="shared" ref="E11:I11" si="5">SUM(E6:E10)</f>
        <v>251078594.72000003</v>
      </c>
      <c r="F11" s="51">
        <f t="shared" si="5"/>
        <v>662350962.31000006</v>
      </c>
      <c r="G11" s="51">
        <f t="shared" ref="G11:H11" si="6">SUM(G6:G10)</f>
        <v>217201745.62</v>
      </c>
      <c r="H11" s="51">
        <f t="shared" si="6"/>
        <v>292233179.84999996</v>
      </c>
      <c r="I11" s="51">
        <f t="shared" si="5"/>
        <v>371870536.14999998</v>
      </c>
      <c r="J11" s="51">
        <f t="shared" si="0"/>
        <v>18.666726425906287</v>
      </c>
      <c r="K11" s="49">
        <f t="shared" si="2"/>
        <v>27.251305392795231</v>
      </c>
      <c r="L11" s="51">
        <f>SUM(L6:L10)</f>
        <v>213652416.57999998</v>
      </c>
      <c r="M11" s="50">
        <f t="shared" si="1"/>
        <v>57.453440326829188</v>
      </c>
    </row>
    <row r="12" spans="1:13" x14ac:dyDescent="0.3">
      <c r="A12" s="60" t="s">
        <v>28</v>
      </c>
      <c r="B12" s="61">
        <f>Entrate_Uscite!B11</f>
        <v>0</v>
      </c>
      <c r="C12" s="61">
        <f>Entrate_Uscite!E11</f>
        <v>0</v>
      </c>
      <c r="D12" s="61">
        <f>Entrate_Uscite!H11</f>
        <v>35550000</v>
      </c>
      <c r="E12" s="61">
        <f>Entrate_Uscite!K11</f>
        <v>1390000</v>
      </c>
      <c r="F12" s="61">
        <f>Entrate_Uscite!N11</f>
        <v>572638.59</v>
      </c>
      <c r="G12" s="61">
        <f>Entrate_Uscite!Q11</f>
        <v>0</v>
      </c>
      <c r="H12" s="61">
        <f>Entrate_Uscite!T11</f>
        <v>19516.46</v>
      </c>
      <c r="I12" s="61">
        <f>Entrate_Uscite!W11</f>
        <v>0</v>
      </c>
      <c r="J12" s="61">
        <f t="shared" si="0"/>
        <v>0</v>
      </c>
      <c r="K12" s="62">
        <f t="shared" si="2"/>
        <v>-100</v>
      </c>
      <c r="L12" s="61">
        <f>Entrate_Uscite!X11</f>
        <v>0</v>
      </c>
      <c r="M12" s="63" t="str">
        <f t="shared" si="1"/>
        <v>-</v>
      </c>
    </row>
    <row r="13" spans="1:13" x14ac:dyDescent="0.3">
      <c r="A13" s="60" t="s">
        <v>29</v>
      </c>
      <c r="B13" s="61">
        <f>Entrate_Uscite!B12</f>
        <v>0</v>
      </c>
      <c r="C13" s="61">
        <f>Entrate_Uscite!E12</f>
        <v>0</v>
      </c>
      <c r="D13" s="61">
        <f>Entrate_Uscite!H12</f>
        <v>0</v>
      </c>
      <c r="E13" s="61">
        <f>Entrate_Uscite!K12</f>
        <v>0</v>
      </c>
      <c r="F13" s="61">
        <f>Entrate_Uscite!N12</f>
        <v>0</v>
      </c>
      <c r="G13" s="61">
        <f>Entrate_Uscite!Q12</f>
        <v>0</v>
      </c>
      <c r="H13" s="61">
        <f>Entrate_Uscite!T12</f>
        <v>0</v>
      </c>
      <c r="I13" s="61">
        <f>Entrate_Uscite!W12</f>
        <v>208137.12</v>
      </c>
      <c r="J13" s="61">
        <f t="shared" si="0"/>
        <v>1.0447826058875644E-2</v>
      </c>
      <c r="K13" s="62" t="str">
        <f t="shared" si="2"/>
        <v>-</v>
      </c>
      <c r="L13" s="61">
        <f>Entrate_Uscite!X12</f>
        <v>208137.12</v>
      </c>
      <c r="M13" s="63">
        <f t="shared" si="1"/>
        <v>100</v>
      </c>
    </row>
    <row r="14" spans="1:13" x14ac:dyDescent="0.3">
      <c r="A14" s="60" t="s">
        <v>30</v>
      </c>
      <c r="B14" s="61">
        <f>Entrate_Uscite!B13</f>
        <v>17460992.02</v>
      </c>
      <c r="C14" s="61">
        <f>Entrate_Uscite!E13</f>
        <v>0</v>
      </c>
      <c r="D14" s="61">
        <f>Entrate_Uscite!H13</f>
        <v>278883.74</v>
      </c>
      <c r="E14" s="61">
        <f>Entrate_Uscite!K13</f>
        <v>0</v>
      </c>
      <c r="F14" s="61">
        <f>Entrate_Uscite!N13</f>
        <v>0</v>
      </c>
      <c r="G14" s="61">
        <f>Entrate_Uscite!Q13</f>
        <v>0</v>
      </c>
      <c r="H14" s="61">
        <f>Entrate_Uscite!T13</f>
        <v>0</v>
      </c>
      <c r="I14" s="61">
        <f>Entrate_Uscite!W13</f>
        <v>0</v>
      </c>
      <c r="J14" s="61">
        <f t="shared" si="0"/>
        <v>0</v>
      </c>
      <c r="K14" s="62" t="str">
        <f t="shared" si="2"/>
        <v>-</v>
      </c>
      <c r="L14" s="61">
        <f>Entrate_Uscite!X13</f>
        <v>0</v>
      </c>
      <c r="M14" s="63" t="str">
        <f t="shared" si="1"/>
        <v>-</v>
      </c>
    </row>
    <row r="15" spans="1:13" x14ac:dyDescent="0.3">
      <c r="A15" s="4" t="s">
        <v>33</v>
      </c>
      <c r="B15" s="48">
        <f>SUM(B12:B14)</f>
        <v>17460992.02</v>
      </c>
      <c r="C15" s="48">
        <f>SUM(C12:C14)</f>
        <v>0</v>
      </c>
      <c r="D15" s="48">
        <f>SUM(D12:D14)</f>
        <v>35828883.740000002</v>
      </c>
      <c r="E15" s="48">
        <f t="shared" ref="E15:I15" si="7">SUM(E12:E14)</f>
        <v>1390000</v>
      </c>
      <c r="F15" s="48">
        <f t="shared" si="7"/>
        <v>572638.59</v>
      </c>
      <c r="G15" s="48">
        <f t="shared" ref="G15:H15" si="8">SUM(G12:G14)</f>
        <v>0</v>
      </c>
      <c r="H15" s="48">
        <f t="shared" si="8"/>
        <v>19516.46</v>
      </c>
      <c r="I15" s="48">
        <f t="shared" si="7"/>
        <v>208137.12</v>
      </c>
      <c r="J15" s="48">
        <f t="shared" si="0"/>
        <v>1.0447826058875644E-2</v>
      </c>
      <c r="K15" s="49">
        <f t="shared" si="2"/>
        <v>966.4696363992241</v>
      </c>
      <c r="L15" s="48">
        <f>SUM(L12:L14)</f>
        <v>208137.12</v>
      </c>
      <c r="M15" s="50">
        <f t="shared" si="1"/>
        <v>100</v>
      </c>
    </row>
    <row r="16" spans="1:13" x14ac:dyDescent="0.3">
      <c r="A16" s="52" t="s">
        <v>348</v>
      </c>
      <c r="B16" s="53">
        <f>B5+B11+B15</f>
        <v>1612579898.49</v>
      </c>
      <c r="C16" s="53">
        <f>C5+C11+C15</f>
        <v>1606317311.3500001</v>
      </c>
      <c r="D16" s="53">
        <f>D5+D11+D15</f>
        <v>1695048849.8199999</v>
      </c>
      <c r="E16" s="53">
        <f t="shared" ref="E16:H16" si="9">E5+E11+E15</f>
        <v>1681741520.4200001</v>
      </c>
      <c r="F16" s="53">
        <f t="shared" si="9"/>
        <v>2135355787.0199997</v>
      </c>
      <c r="G16" s="53">
        <f t="shared" si="9"/>
        <v>1979446704.52</v>
      </c>
      <c r="H16" s="53">
        <f t="shared" si="9"/>
        <v>1862939825.5799999</v>
      </c>
      <c r="I16" s="53">
        <f t="shared" ref="I16" si="10">I5+I11+I15</f>
        <v>1978829916.0899997</v>
      </c>
      <c r="J16" s="53">
        <f t="shared" si="0"/>
        <v>99.331011995399024</v>
      </c>
      <c r="K16" s="54">
        <f t="shared" si="2"/>
        <v>6.2208177053662439</v>
      </c>
      <c r="L16" s="53">
        <f t="shared" ref="L16" si="11">L5+L11+L15</f>
        <v>1265070774.2499998</v>
      </c>
      <c r="M16" s="55">
        <f t="shared" si="1"/>
        <v>63.930243017028587</v>
      </c>
    </row>
    <row r="17" spans="1:13" x14ac:dyDescent="0.3">
      <c r="A17" s="4" t="s">
        <v>34</v>
      </c>
      <c r="B17" s="48">
        <f>Entrate_Uscite!B17</f>
        <v>17853246.530000001</v>
      </c>
      <c r="C17" s="48">
        <f>Entrate_Uscite!E17</f>
        <v>6559852.7400000002</v>
      </c>
      <c r="D17" s="48">
        <f>Entrate_Uscite!H17</f>
        <v>42769996.990000002</v>
      </c>
      <c r="E17" s="48">
        <f>Entrate_Uscite!K17</f>
        <v>350050476</v>
      </c>
      <c r="F17" s="48">
        <f>Entrate_Uscite!N17</f>
        <v>523157544.76999998</v>
      </c>
      <c r="G17" s="48">
        <f>Entrate_Uscite!Q17</f>
        <v>50963007.399999999</v>
      </c>
      <c r="H17" s="48">
        <f>Entrate_Uscite!T17</f>
        <v>43335480.799999997</v>
      </c>
      <c r="I17" s="48">
        <f>Entrate_Uscite!W17</f>
        <v>13327292.76</v>
      </c>
      <c r="J17" s="48">
        <f t="shared" si="0"/>
        <v>0.6689880046009703</v>
      </c>
      <c r="K17" s="49">
        <f t="shared" si="2"/>
        <v>-69.24623307744632</v>
      </c>
      <c r="L17" s="48">
        <f>Entrate_Uscite!X17</f>
        <v>0</v>
      </c>
      <c r="M17" s="50">
        <f t="shared" si="1"/>
        <v>0</v>
      </c>
    </row>
    <row r="18" spans="1:13" x14ac:dyDescent="0.3">
      <c r="A18" s="4" t="s">
        <v>35</v>
      </c>
      <c r="B18" s="48">
        <f>Entrate_Uscite!B18</f>
        <v>131262704.41</v>
      </c>
      <c r="C18" s="48">
        <f>Entrate_Uscite!E18</f>
        <v>408118642.26999998</v>
      </c>
      <c r="D18" s="48">
        <f>Entrate_Uscite!H18</f>
        <v>250347262.09999999</v>
      </c>
      <c r="E18" s="48">
        <f>Entrate_Uscite!K18</f>
        <v>0</v>
      </c>
      <c r="F18" s="48">
        <f>Entrate_Uscite!N18</f>
        <v>273759990.27999997</v>
      </c>
      <c r="G18" s="48">
        <f>Entrate_Uscite!Q18</f>
        <v>0</v>
      </c>
      <c r="H18" s="48">
        <f>Entrate_Uscite!T18</f>
        <v>0</v>
      </c>
      <c r="I18" s="48">
        <f>Entrate_Uscite!W18</f>
        <v>0</v>
      </c>
      <c r="J18" s="48">
        <f t="shared" si="0"/>
        <v>0</v>
      </c>
      <c r="K18" s="49" t="str">
        <f t="shared" si="2"/>
        <v>-</v>
      </c>
      <c r="L18" s="48">
        <f>Entrate_Uscite!X18</f>
        <v>0</v>
      </c>
      <c r="M18" s="50" t="str">
        <f t="shared" si="1"/>
        <v>-</v>
      </c>
    </row>
    <row r="19" spans="1:13" x14ac:dyDescent="0.3">
      <c r="A19" s="4" t="s">
        <v>36</v>
      </c>
      <c r="B19" s="48">
        <f>Entrate_Uscite!B19</f>
        <v>2821504130.5799999</v>
      </c>
      <c r="C19" s="48">
        <f>Entrate_Uscite!E19</f>
        <v>1096570944.6099999</v>
      </c>
      <c r="D19" s="48">
        <f>Entrate_Uscite!H19</f>
        <v>2110514884.7</v>
      </c>
      <c r="E19" s="48">
        <f>Entrate_Uscite!K19</f>
        <v>2394302056.1999998</v>
      </c>
      <c r="F19" s="48">
        <f>Entrate_Uscite!N19</f>
        <v>2539945474.5300002</v>
      </c>
      <c r="G19" s="48">
        <f>Entrate_Uscite!Q19</f>
        <v>1875742483.0999999</v>
      </c>
      <c r="H19" s="48">
        <f>Entrate_Uscite!T19</f>
        <v>161746497.65000001</v>
      </c>
      <c r="I19" s="48">
        <f>Entrate_Uscite!W19</f>
        <v>174314554.31</v>
      </c>
      <c r="J19" s="48"/>
      <c r="K19" s="49">
        <f t="shared" si="2"/>
        <v>7.7702187327701893</v>
      </c>
      <c r="L19" s="48">
        <f>Entrate_Uscite!X19</f>
        <v>173491611.69999999</v>
      </c>
      <c r="M19" s="50">
        <f t="shared" si="1"/>
        <v>99.527897935282851</v>
      </c>
    </row>
    <row r="20" spans="1:13" x14ac:dyDescent="0.3">
      <c r="A20" s="52" t="s">
        <v>37</v>
      </c>
      <c r="B20" s="53">
        <f>B5+B11+B15+B17+B18+B19</f>
        <v>4583199980.0100002</v>
      </c>
      <c r="C20" s="53">
        <f>C5+C11+C15+C17+C18+C19</f>
        <v>3117566750.9700003</v>
      </c>
      <c r="D20" s="53">
        <f>D5+D11+D15+D17+D18+D19</f>
        <v>4098680993.6099997</v>
      </c>
      <c r="E20" s="53">
        <f t="shared" ref="E20:I20" si="12">E5+E11+E15+E17+E18+E19</f>
        <v>4426094052.6199999</v>
      </c>
      <c r="F20" s="53">
        <f t="shared" si="12"/>
        <v>5472218796.6000004</v>
      </c>
      <c r="G20" s="53">
        <f t="shared" ref="G20:H20" si="13">G5+G11+G15+G17+G18+G19</f>
        <v>3906152195.02</v>
      </c>
      <c r="H20" s="53">
        <f t="shared" si="13"/>
        <v>2068021804.03</v>
      </c>
      <c r="I20" s="53">
        <f t="shared" si="12"/>
        <v>2166471763.1599998</v>
      </c>
      <c r="J20" s="53"/>
      <c r="K20" s="54">
        <f t="shared" si="2"/>
        <v>4.7605861281611226</v>
      </c>
      <c r="L20" s="53">
        <f>L5+L11+L15+L17+L18+L19</f>
        <v>1438562385.9499998</v>
      </c>
      <c r="M20" s="55">
        <f t="shared" si="1"/>
        <v>66.401160191062132</v>
      </c>
    </row>
    <row r="21" spans="1:13" x14ac:dyDescent="0.3">
      <c r="A21" s="43" t="s">
        <v>38</v>
      </c>
      <c r="B21" s="56">
        <f>B20-B19</f>
        <v>1761695849.4300003</v>
      </c>
      <c r="C21" s="56">
        <f>C20-C19</f>
        <v>2020995806.3600004</v>
      </c>
      <c r="D21" s="56">
        <f>D20-D19</f>
        <v>1988166108.9099996</v>
      </c>
      <c r="E21" s="56">
        <f t="shared" ref="E21:I21" si="14">E20-E19</f>
        <v>2031791996.4200001</v>
      </c>
      <c r="F21" s="56">
        <f t="shared" si="14"/>
        <v>2932273322.0700002</v>
      </c>
      <c r="G21" s="56">
        <f t="shared" ref="G21:H21" si="15">G20-G19</f>
        <v>2030409711.9200001</v>
      </c>
      <c r="H21" s="56">
        <f t="shared" si="15"/>
        <v>1906275306.3799999</v>
      </c>
      <c r="I21" s="56">
        <f t="shared" si="14"/>
        <v>1992157208.8499999</v>
      </c>
      <c r="J21" s="56">
        <f>I21/I$21*100</f>
        <v>100</v>
      </c>
      <c r="K21" s="57">
        <f t="shared" si="2"/>
        <v>4.5052203206203671</v>
      </c>
      <c r="L21" s="56">
        <f>L20-L19</f>
        <v>1265070774.2499998</v>
      </c>
      <c r="M21" s="58">
        <f t="shared" si="1"/>
        <v>63.50255735993241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K15" sqref="K15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9" width="14.33203125" bestFit="1" customWidth="1"/>
    <col min="10" max="10" width="8.5546875" customWidth="1"/>
    <col min="11" max="11" width="6.5546875" bestFit="1" customWidth="1"/>
    <col min="12" max="12" width="14.109375" bestFit="1" customWidth="1"/>
    <col min="13" max="13" width="7" bestFit="1" customWidth="1"/>
  </cols>
  <sheetData>
    <row r="1" spans="1:13" ht="28.8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59" t="s">
        <v>297</v>
      </c>
      <c r="K1" s="47" t="s">
        <v>233</v>
      </c>
      <c r="L1" s="59" t="s">
        <v>388</v>
      </c>
      <c r="M1" s="47" t="s">
        <v>339</v>
      </c>
    </row>
    <row r="2" spans="1:13" x14ac:dyDescent="0.3">
      <c r="A2" s="64" t="s">
        <v>270</v>
      </c>
      <c r="B2" s="61">
        <f>Entrate_Uscite!B23</f>
        <v>333425880.81</v>
      </c>
      <c r="C2" s="61">
        <f>Entrate_Uscite!E23</f>
        <v>299001263.81999999</v>
      </c>
      <c r="D2" s="61">
        <f>Entrate_Uscite!H23</f>
        <v>281891800.48000002</v>
      </c>
      <c r="E2" s="61">
        <f>Entrate_Uscite!K23</f>
        <v>259403196.28</v>
      </c>
      <c r="F2" s="61">
        <f>Entrate_Uscite!N23</f>
        <v>228099358.46000001</v>
      </c>
      <c r="G2" s="61">
        <f>Entrate_Uscite!Q23</f>
        <v>208457622.08000001</v>
      </c>
      <c r="H2" s="61">
        <f>Entrate_Uscite!T23</f>
        <v>210358836.15000001</v>
      </c>
      <c r="I2" s="61">
        <f>Entrate_Uscite!W23</f>
        <v>220146362.53</v>
      </c>
      <c r="J2" s="61">
        <f t="shared" ref="J2:J28" si="0">I2/I$31*100</f>
        <v>13.923538734930846</v>
      </c>
      <c r="K2" s="62">
        <f>IF(H2&gt;0,I2/H2*100-100,"-")</f>
        <v>4.6527764457780165</v>
      </c>
      <c r="L2" s="61">
        <f>Entrate_Uscite!X23</f>
        <v>202371764.12</v>
      </c>
      <c r="M2" s="63">
        <f t="shared" ref="M2:M31" si="1">IF(I2&gt;0,L2/I2*100,"-")</f>
        <v>91.926008585502842</v>
      </c>
    </row>
    <row r="3" spans="1:13" x14ac:dyDescent="0.3">
      <c r="A3" s="64" t="s">
        <v>271</v>
      </c>
      <c r="B3" s="61">
        <f>Entrate_Uscite!B24</f>
        <v>20007479.75</v>
      </c>
      <c r="C3" s="61">
        <f>Entrate_Uscite!E24</f>
        <v>18217020.129999999</v>
      </c>
      <c r="D3" s="61">
        <f>Entrate_Uscite!H24</f>
        <v>17089221.960000001</v>
      </c>
      <c r="E3" s="61">
        <f>Entrate_Uscite!K24</f>
        <v>16056627.460000001</v>
      </c>
      <c r="F3" s="61">
        <f>Entrate_Uscite!N24</f>
        <v>14386924.27</v>
      </c>
      <c r="G3" s="61">
        <f>Entrate_Uscite!Q24</f>
        <v>13266615.720000001</v>
      </c>
      <c r="H3" s="61">
        <f>Entrate_Uscite!T24</f>
        <v>17182432.449999999</v>
      </c>
      <c r="I3" s="61">
        <f>Entrate_Uscite!W24</f>
        <v>18144451.100000001</v>
      </c>
      <c r="J3" s="61">
        <f t="shared" si="0"/>
        <v>1.1475772972650469</v>
      </c>
      <c r="K3" s="62">
        <f t="shared" ref="K3:K31" si="2">IF(H3&gt;0,I3/H3*100-100,"-")</f>
        <v>5.5988501790967433</v>
      </c>
      <c r="L3" s="61">
        <f>Entrate_Uscite!X24</f>
        <v>14124049.699999999</v>
      </c>
      <c r="M3" s="63">
        <f t="shared" si="1"/>
        <v>77.8422539329393</v>
      </c>
    </row>
    <row r="4" spans="1:13" x14ac:dyDescent="0.3">
      <c r="A4" s="64" t="s">
        <v>272</v>
      </c>
      <c r="B4" s="61">
        <f>Entrate_Uscite!B25</f>
        <v>602555641.12</v>
      </c>
      <c r="C4" s="61">
        <f>Entrate_Uscite!E25</f>
        <v>562800197.28999996</v>
      </c>
      <c r="D4" s="61">
        <f>Entrate_Uscite!H25</f>
        <v>559870350.44000006</v>
      </c>
      <c r="E4" s="61">
        <f>Entrate_Uscite!K25</f>
        <v>566394462.28999996</v>
      </c>
      <c r="F4" s="61">
        <f>Entrate_Uscite!N25</f>
        <v>576435224.71000004</v>
      </c>
      <c r="G4" s="61">
        <f>Entrate_Uscite!Q25</f>
        <v>587726647.85000002</v>
      </c>
      <c r="H4" s="61">
        <f>Entrate_Uscite!T25</f>
        <v>650978126.73000002</v>
      </c>
      <c r="I4" s="61">
        <f>Entrate_Uscite!W25</f>
        <v>678742445.89999998</v>
      </c>
      <c r="J4" s="61">
        <f t="shared" si="0"/>
        <v>42.928243864317793</v>
      </c>
      <c r="K4" s="62">
        <f t="shared" si="2"/>
        <v>4.2650156787088918</v>
      </c>
      <c r="L4" s="61">
        <f>Entrate_Uscite!X25</f>
        <v>407937369.97000003</v>
      </c>
      <c r="M4" s="63">
        <f t="shared" si="1"/>
        <v>60.101938877431273</v>
      </c>
    </row>
    <row r="5" spans="1:13" x14ac:dyDescent="0.3">
      <c r="A5" s="64" t="s">
        <v>273</v>
      </c>
      <c r="B5" s="61">
        <f>Entrate_Uscite!B26</f>
        <v>100848731.27</v>
      </c>
      <c r="C5" s="61">
        <f>Entrate_Uscite!E26</f>
        <v>19300514.780000001</v>
      </c>
      <c r="D5" s="61">
        <f>Entrate_Uscite!H26</f>
        <v>72921125.079999998</v>
      </c>
      <c r="E5" s="61">
        <f>Entrate_Uscite!K26</f>
        <v>74421850.030000001</v>
      </c>
      <c r="F5" s="61">
        <f>Entrate_Uscite!N26</f>
        <v>89458961.549999997</v>
      </c>
      <c r="G5" s="61">
        <f>Entrate_Uscite!Q26</f>
        <v>89595485.400000006</v>
      </c>
      <c r="H5" s="61">
        <f>Entrate_Uscite!T26</f>
        <v>87639193.109999999</v>
      </c>
      <c r="I5" s="61">
        <f>Entrate_Uscite!W26</f>
        <v>81121093.150000006</v>
      </c>
      <c r="J5" s="61">
        <f t="shared" si="0"/>
        <v>5.1306443118724658</v>
      </c>
      <c r="K5" s="62">
        <f t="shared" si="2"/>
        <v>-7.4374258008272847</v>
      </c>
      <c r="L5" s="61">
        <f>Entrate_Uscite!X26</f>
        <v>65033470.590000004</v>
      </c>
      <c r="M5" s="63">
        <f t="shared" si="1"/>
        <v>80.168385391142877</v>
      </c>
    </row>
    <row r="6" spans="1:13" x14ac:dyDescent="0.3">
      <c r="A6" s="64" t="s">
        <v>274</v>
      </c>
      <c r="B6" s="61">
        <f>Entrate_Uscite!B27</f>
        <v>106517698.95</v>
      </c>
      <c r="C6" s="61">
        <f>Entrate_Uscite!E27</f>
        <v>91529831.709999993</v>
      </c>
      <c r="D6" s="61">
        <f>Entrate_Uscite!H27</f>
        <v>86884949.659999996</v>
      </c>
      <c r="E6" s="61">
        <f>Entrate_Uscite!K27</f>
        <v>85615163.629999995</v>
      </c>
      <c r="F6" s="61">
        <f>Entrate_Uscite!N27</f>
        <v>87529721.799999997</v>
      </c>
      <c r="G6" s="61">
        <f>Entrate_Uscite!Q27</f>
        <v>92989995.920000002</v>
      </c>
      <c r="H6" s="61">
        <f>Entrate_Uscite!T27</f>
        <v>105433144.59999999</v>
      </c>
      <c r="I6" s="61">
        <f>Entrate_Uscite!W27</f>
        <v>105813094.26000001</v>
      </c>
      <c r="J6" s="61">
        <f t="shared" si="0"/>
        <v>6.6923327719813175</v>
      </c>
      <c r="K6" s="62">
        <f t="shared" si="2"/>
        <v>0.36037022460205037</v>
      </c>
      <c r="L6" s="61">
        <f>Entrate_Uscite!X27</f>
        <v>105696967.12</v>
      </c>
      <c r="M6" s="63">
        <f t="shared" si="1"/>
        <v>99.890252580919096</v>
      </c>
    </row>
    <row r="7" spans="1:13" x14ac:dyDescent="0.3">
      <c r="A7" s="64" t="s">
        <v>275</v>
      </c>
      <c r="B7" s="61">
        <f>Entrate_Uscite!B28</f>
        <v>0</v>
      </c>
      <c r="C7" s="61">
        <f>Entrate_Uscite!E28</f>
        <v>0</v>
      </c>
      <c r="D7" s="61">
        <f>Entrate_Uscite!H28</f>
        <v>0</v>
      </c>
      <c r="E7" s="61">
        <f>Entrate_Uscite!K28</f>
        <v>0</v>
      </c>
      <c r="F7" s="61">
        <f>Entrate_Uscite!N28</f>
        <v>0</v>
      </c>
      <c r="G7" s="61">
        <f>Entrate_Uscite!Q28</f>
        <v>0</v>
      </c>
      <c r="H7" s="61">
        <f>Entrate_Uscite!T28</f>
        <v>0</v>
      </c>
      <c r="I7" s="61">
        <f>Entrate_Uscite!W28</f>
        <v>0</v>
      </c>
      <c r="J7" s="61">
        <f t="shared" si="0"/>
        <v>0</v>
      </c>
      <c r="K7" s="62" t="str">
        <f t="shared" si="2"/>
        <v>-</v>
      </c>
      <c r="L7" s="61">
        <f>Entrate_Uscite!X28</f>
        <v>0</v>
      </c>
      <c r="M7" s="63" t="str">
        <f t="shared" si="1"/>
        <v>-</v>
      </c>
    </row>
    <row r="8" spans="1:13" x14ac:dyDescent="0.3">
      <c r="A8" s="64" t="s">
        <v>276</v>
      </c>
      <c r="B8" s="61">
        <f>Entrate_Uscite!B29</f>
        <v>2055745.03</v>
      </c>
      <c r="C8" s="61">
        <f>Entrate_Uscite!E29</f>
        <v>567123.05000000005</v>
      </c>
      <c r="D8" s="61">
        <f>Entrate_Uscite!H29</f>
        <v>720452.93</v>
      </c>
      <c r="E8" s="61">
        <f>Entrate_Uscite!K29</f>
        <v>731520.28</v>
      </c>
      <c r="F8" s="61">
        <f>Entrate_Uscite!N29</f>
        <v>923298.6</v>
      </c>
      <c r="G8" s="61">
        <f>Entrate_Uscite!Q29</f>
        <v>2733958.21</v>
      </c>
      <c r="H8" s="61">
        <f>Entrate_Uscite!T29</f>
        <v>1660520.02</v>
      </c>
      <c r="I8" s="61">
        <f>Entrate_Uscite!W29</f>
        <v>1067488.8600000001</v>
      </c>
      <c r="J8" s="61">
        <f t="shared" si="0"/>
        <v>6.7515185445281733E-2</v>
      </c>
      <c r="K8" s="62">
        <f t="shared" si="2"/>
        <v>-35.713580857640011</v>
      </c>
      <c r="L8" s="61">
        <f>Entrate_Uscite!X29</f>
        <v>672076.83</v>
      </c>
      <c r="M8" s="63">
        <f t="shared" si="1"/>
        <v>62.958673873186818</v>
      </c>
    </row>
    <row r="9" spans="1:13" x14ac:dyDescent="0.3">
      <c r="A9" s="64" t="s">
        <v>277</v>
      </c>
      <c r="B9" s="61">
        <f>Entrate_Uscite!B30</f>
        <v>104682180.73</v>
      </c>
      <c r="C9" s="61">
        <f>Entrate_Uscite!E30</f>
        <v>135665069.27000001</v>
      </c>
      <c r="D9" s="61">
        <f>Entrate_Uscite!H30</f>
        <v>71637438.709999993</v>
      </c>
      <c r="E9" s="61">
        <f>Entrate_Uscite!K30</f>
        <v>164253862.81999999</v>
      </c>
      <c r="F9" s="61">
        <f>Entrate_Uscite!N30</f>
        <v>80335929.030000001</v>
      </c>
      <c r="G9" s="61">
        <f>Entrate_Uscite!Q30</f>
        <v>77772935</v>
      </c>
      <c r="H9" s="61">
        <f>Entrate_Uscite!T30</f>
        <v>52858426.469999999</v>
      </c>
      <c r="I9" s="61">
        <f>Entrate_Uscite!W30</f>
        <v>51813146.159999996</v>
      </c>
      <c r="J9" s="61">
        <f t="shared" si="0"/>
        <v>3.2770123441811716</v>
      </c>
      <c r="K9" s="62">
        <f t="shared" si="2"/>
        <v>-1.9775093202845397</v>
      </c>
      <c r="L9" s="61">
        <f>Entrate_Uscite!X30</f>
        <v>23832047.170000002</v>
      </c>
      <c r="M9" s="63">
        <f t="shared" si="1"/>
        <v>45.996139853013709</v>
      </c>
    </row>
    <row r="10" spans="1:13" x14ac:dyDescent="0.3">
      <c r="A10" s="4" t="s">
        <v>282</v>
      </c>
      <c r="B10" s="48">
        <f>SUM(B2:B9)</f>
        <v>1270093357.6600001</v>
      </c>
      <c r="C10" s="48">
        <f>SUM(C2:C9)</f>
        <v>1127081020.05</v>
      </c>
      <c r="D10" s="48">
        <f>SUM(D2:D9)</f>
        <v>1091015339.26</v>
      </c>
      <c r="E10" s="48">
        <f t="shared" ref="E10:I10" si="3">SUM(E2:E9)</f>
        <v>1166876682.79</v>
      </c>
      <c r="F10" s="48">
        <f t="shared" si="3"/>
        <v>1077169418.4200001</v>
      </c>
      <c r="G10" s="48">
        <f t="shared" ref="G10:H10" si="4">SUM(G2:G9)</f>
        <v>1072543260.1800001</v>
      </c>
      <c r="H10" s="48">
        <f t="shared" si="4"/>
        <v>1126110679.53</v>
      </c>
      <c r="I10" s="48">
        <f t="shared" si="3"/>
        <v>1156848081.96</v>
      </c>
      <c r="J10" s="48">
        <f t="shared" si="0"/>
        <v>73.166864509993928</v>
      </c>
      <c r="K10" s="49">
        <f t="shared" si="2"/>
        <v>2.729518775439459</v>
      </c>
      <c r="L10" s="48">
        <f>SUM(L2:L9)</f>
        <v>819667745.5</v>
      </c>
      <c r="M10" s="50">
        <f t="shared" si="1"/>
        <v>70.853533690549128</v>
      </c>
    </row>
    <row r="11" spans="1:13" x14ac:dyDescent="0.3">
      <c r="A11" s="64" t="s">
        <v>278</v>
      </c>
      <c r="B11" s="61">
        <f>Entrate_Uscite!B32</f>
        <v>183142253.41</v>
      </c>
      <c r="C11" s="61">
        <f>Entrate_Uscite!E32</f>
        <v>237964957.61000001</v>
      </c>
      <c r="D11" s="61">
        <f>Entrate_Uscite!H32</f>
        <v>279275501.07999998</v>
      </c>
      <c r="E11" s="61">
        <f>Entrate_Uscite!K32</f>
        <v>274572338.83999997</v>
      </c>
      <c r="F11" s="61">
        <f>Entrate_Uscite!N32</f>
        <v>258963635.09</v>
      </c>
      <c r="G11" s="61">
        <f>Entrate_Uscite!Q32</f>
        <v>141168534.84</v>
      </c>
      <c r="H11" s="61">
        <f>Entrate_Uscite!T32</f>
        <v>214262697.5</v>
      </c>
      <c r="I11" s="61">
        <f>Entrate_Uscite!W32</f>
        <v>270798885.26999998</v>
      </c>
      <c r="J11" s="61">
        <f t="shared" si="0"/>
        <v>17.127145436796052</v>
      </c>
      <c r="K11" s="62">
        <f t="shared" si="2"/>
        <v>26.386388498632613</v>
      </c>
      <c r="L11" s="61">
        <f>Entrate_Uscite!X32</f>
        <v>193506493.94999999</v>
      </c>
      <c r="M11" s="63">
        <f t="shared" si="1"/>
        <v>71.457640513203884</v>
      </c>
    </row>
    <row r="12" spans="1:13" x14ac:dyDescent="0.3">
      <c r="A12" s="64" t="s">
        <v>279</v>
      </c>
      <c r="B12" s="61">
        <f>Entrate_Uscite!B33</f>
        <v>125000</v>
      </c>
      <c r="C12" s="61">
        <f>Entrate_Uscite!E33</f>
        <v>0</v>
      </c>
      <c r="D12" s="61">
        <f>Entrate_Uscite!H33</f>
        <v>1202869.3999999999</v>
      </c>
      <c r="E12" s="61">
        <f>Entrate_Uscite!K33</f>
        <v>9791090.25</v>
      </c>
      <c r="F12" s="61">
        <f>Entrate_Uscite!N33</f>
        <v>0</v>
      </c>
      <c r="G12" s="61">
        <f>Entrate_Uscite!Q33</f>
        <v>0</v>
      </c>
      <c r="H12" s="61">
        <f>Entrate_Uscite!T33</f>
        <v>791991.5</v>
      </c>
      <c r="I12" s="61">
        <f>Entrate_Uscite!W33</f>
        <v>15488413.68</v>
      </c>
      <c r="J12" s="61">
        <f t="shared" si="0"/>
        <v>0.97959160141346902</v>
      </c>
      <c r="K12" s="62">
        <f t="shared" si="2"/>
        <v>1855.6287763189378</v>
      </c>
      <c r="L12" s="61">
        <f>Entrate_Uscite!X33</f>
        <v>15488413.68</v>
      </c>
      <c r="M12" s="63">
        <f t="shared" si="1"/>
        <v>100</v>
      </c>
    </row>
    <row r="13" spans="1:13" x14ac:dyDescent="0.3">
      <c r="A13" s="64" t="s">
        <v>280</v>
      </c>
      <c r="B13" s="61">
        <f>Entrate_Uscite!B34</f>
        <v>328310.90000000002</v>
      </c>
      <c r="C13" s="61">
        <f>Entrate_Uscite!E34</f>
        <v>0</v>
      </c>
      <c r="D13" s="61">
        <f>Entrate_Uscite!H34</f>
        <v>0</v>
      </c>
      <c r="E13" s="61">
        <f>Entrate_Uscite!K34</f>
        <v>4118309.22</v>
      </c>
      <c r="F13" s="61">
        <f>Entrate_Uscite!N34</f>
        <v>370030.95</v>
      </c>
      <c r="G13" s="61">
        <f>Entrate_Uscite!Q34</f>
        <v>1063912.02</v>
      </c>
      <c r="H13" s="61">
        <f>Entrate_Uscite!T34</f>
        <v>2134555.65</v>
      </c>
      <c r="I13" s="61">
        <f>Entrate_Uscite!W34</f>
        <v>1965102.28</v>
      </c>
      <c r="J13" s="61">
        <f t="shared" si="0"/>
        <v>0.12428630388999651</v>
      </c>
      <c r="K13" s="62">
        <f t="shared" si="2"/>
        <v>-7.9385782235286229</v>
      </c>
      <c r="L13" s="61">
        <f>Entrate_Uscite!X34</f>
        <v>1252368.83</v>
      </c>
      <c r="M13" s="63">
        <f t="shared" si="1"/>
        <v>63.730465469715917</v>
      </c>
    </row>
    <row r="14" spans="1:13" x14ac:dyDescent="0.3">
      <c r="A14" s="64" t="s">
        <v>281</v>
      </c>
      <c r="B14" s="61">
        <f>Entrate_Uscite!B35</f>
        <v>28510.55</v>
      </c>
      <c r="C14" s="61">
        <f>Entrate_Uscite!E35</f>
        <v>850452.33</v>
      </c>
      <c r="D14" s="61">
        <f>Entrate_Uscite!H35</f>
        <v>0</v>
      </c>
      <c r="E14" s="61">
        <f>Entrate_Uscite!K35</f>
        <v>0</v>
      </c>
      <c r="F14" s="61">
        <f>Entrate_Uscite!N35</f>
        <v>0</v>
      </c>
      <c r="G14" s="61">
        <f>Entrate_Uscite!Q35</f>
        <v>40806400.700000003</v>
      </c>
      <c r="H14" s="61">
        <f>Entrate_Uscite!T35</f>
        <v>0</v>
      </c>
      <c r="I14" s="61">
        <f>Entrate_Uscite!W35</f>
        <v>0</v>
      </c>
      <c r="J14" s="61">
        <f t="shared" si="0"/>
        <v>0</v>
      </c>
      <c r="K14" s="62" t="str">
        <f t="shared" si="2"/>
        <v>-</v>
      </c>
      <c r="L14" s="61">
        <f>Entrate_Uscite!X35</f>
        <v>0</v>
      </c>
      <c r="M14" s="63" t="str">
        <f t="shared" si="1"/>
        <v>-</v>
      </c>
    </row>
    <row r="15" spans="1:13" x14ac:dyDescent="0.3">
      <c r="A15" s="4" t="s">
        <v>283</v>
      </c>
      <c r="B15" s="51">
        <f>SUM(B11:B14)</f>
        <v>183624074.86000001</v>
      </c>
      <c r="C15" s="51">
        <f>SUM(C11:C14)</f>
        <v>238815409.94000003</v>
      </c>
      <c r="D15" s="51">
        <f>SUM(D11:D14)</f>
        <v>280478370.47999996</v>
      </c>
      <c r="E15" s="51">
        <f t="shared" ref="E15:I15" si="5">SUM(E11:E14)</f>
        <v>288481738.31</v>
      </c>
      <c r="F15" s="51">
        <f t="shared" si="5"/>
        <v>259333666.03999999</v>
      </c>
      <c r="G15" s="51">
        <f t="shared" ref="G15:H15" si="6">SUM(G11:G14)</f>
        <v>183038847.56</v>
      </c>
      <c r="H15" s="51">
        <f t="shared" si="6"/>
        <v>217189244.65000001</v>
      </c>
      <c r="I15" s="51">
        <f t="shared" si="5"/>
        <v>288252401.22999996</v>
      </c>
      <c r="J15" s="51">
        <f t="shared" si="0"/>
        <v>18.231023342099515</v>
      </c>
      <c r="K15" s="49">
        <f t="shared" si="2"/>
        <v>32.719463937782962</v>
      </c>
      <c r="L15" s="51">
        <f>SUM(L11:L14)</f>
        <v>210247276.46000001</v>
      </c>
      <c r="M15" s="50">
        <f t="shared" si="1"/>
        <v>72.938603655287935</v>
      </c>
    </row>
    <row r="16" spans="1:13" x14ac:dyDescent="0.3">
      <c r="A16" s="64" t="s">
        <v>284</v>
      </c>
      <c r="B16" s="61">
        <f>Entrate_Uscite!B36</f>
        <v>0</v>
      </c>
      <c r="C16" s="61">
        <f>Entrate_Uscite!E36</f>
        <v>0</v>
      </c>
      <c r="D16" s="61">
        <f>Entrate_Uscite!H36</f>
        <v>0</v>
      </c>
      <c r="E16" s="61">
        <f>Entrate_Uscite!K36</f>
        <v>0</v>
      </c>
      <c r="F16" s="61">
        <f>Entrate_Uscite!N36</f>
        <v>0</v>
      </c>
      <c r="G16" s="61">
        <f>Entrate_Uscite!Q36</f>
        <v>0</v>
      </c>
      <c r="H16" s="61">
        <f>Entrate_Uscite!T36</f>
        <v>0</v>
      </c>
      <c r="I16" s="61">
        <f>Entrate_Uscite!W36</f>
        <v>0</v>
      </c>
      <c r="J16" s="61">
        <f t="shared" si="0"/>
        <v>0</v>
      </c>
      <c r="K16" s="62" t="str">
        <f t="shared" si="2"/>
        <v>-</v>
      </c>
      <c r="L16" s="61">
        <f>Entrate_Uscite!X36</f>
        <v>0</v>
      </c>
      <c r="M16" s="63" t="str">
        <f t="shared" si="1"/>
        <v>-</v>
      </c>
    </row>
    <row r="17" spans="1:13" x14ac:dyDescent="0.3">
      <c r="A17" s="64" t="s">
        <v>285</v>
      </c>
      <c r="B17" s="61">
        <f>Entrate_Uscite!B37</f>
        <v>0</v>
      </c>
      <c r="C17" s="61">
        <f>Entrate_Uscite!E37</f>
        <v>0</v>
      </c>
      <c r="D17" s="61">
        <f>Entrate_Uscite!H37</f>
        <v>0</v>
      </c>
      <c r="E17" s="61">
        <f>Entrate_Uscite!K37</f>
        <v>0</v>
      </c>
      <c r="F17" s="61">
        <f>Entrate_Uscite!N37</f>
        <v>0</v>
      </c>
      <c r="G17" s="61">
        <f>Entrate_Uscite!Q37</f>
        <v>0</v>
      </c>
      <c r="H17" s="61">
        <f>Entrate_Uscite!T37</f>
        <v>0</v>
      </c>
      <c r="I17" s="61">
        <f>Entrate_Uscite!W37</f>
        <v>0</v>
      </c>
      <c r="J17" s="61">
        <f t="shared" si="0"/>
        <v>0</v>
      </c>
      <c r="K17" s="62" t="str">
        <f t="shared" si="2"/>
        <v>-</v>
      </c>
      <c r="L17" s="61">
        <f>Entrate_Uscite!X37</f>
        <v>0</v>
      </c>
      <c r="M17" s="63" t="str">
        <f t="shared" si="1"/>
        <v>-</v>
      </c>
    </row>
    <row r="18" spans="1:13" x14ac:dyDescent="0.3">
      <c r="A18" s="64" t="s">
        <v>286</v>
      </c>
      <c r="B18" s="61">
        <f>Entrate_Uscite!B38</f>
        <v>0</v>
      </c>
      <c r="C18" s="61">
        <f>Entrate_Uscite!E38</f>
        <v>0</v>
      </c>
      <c r="D18" s="61">
        <f>Entrate_Uscite!H38</f>
        <v>0</v>
      </c>
      <c r="E18" s="61">
        <f>Entrate_Uscite!K38</f>
        <v>0</v>
      </c>
      <c r="F18" s="61">
        <f>Entrate_Uscite!N38</f>
        <v>0</v>
      </c>
      <c r="G18" s="61">
        <f>Entrate_Uscite!Q38</f>
        <v>0</v>
      </c>
      <c r="H18" s="61">
        <f>Entrate_Uscite!T38</f>
        <v>0</v>
      </c>
      <c r="I18" s="61">
        <f>Entrate_Uscite!W38</f>
        <v>0</v>
      </c>
      <c r="J18" s="61">
        <f t="shared" si="0"/>
        <v>0</v>
      </c>
      <c r="K18" s="62" t="str">
        <f t="shared" si="2"/>
        <v>-</v>
      </c>
      <c r="L18" s="61">
        <f>Entrate_Uscite!X38</f>
        <v>0</v>
      </c>
      <c r="M18" s="63" t="str">
        <f t="shared" si="1"/>
        <v>-</v>
      </c>
    </row>
    <row r="19" spans="1:13" x14ac:dyDescent="0.3">
      <c r="A19" s="64" t="s">
        <v>287</v>
      </c>
      <c r="B19" s="61">
        <f>Entrate_Uscite!B39</f>
        <v>17460992.02</v>
      </c>
      <c r="C19" s="61">
        <f>Entrate_Uscite!E39</f>
        <v>0</v>
      </c>
      <c r="D19" s="61">
        <f>Entrate_Uscite!H39</f>
        <v>0</v>
      </c>
      <c r="E19" s="61">
        <f>Entrate_Uscite!K39</f>
        <v>0</v>
      </c>
      <c r="F19" s="61">
        <f>Entrate_Uscite!N39</f>
        <v>0</v>
      </c>
      <c r="G19" s="61">
        <f>Entrate_Uscite!Q39</f>
        <v>0</v>
      </c>
      <c r="H19" s="61">
        <f>Entrate_Uscite!T39</f>
        <v>0</v>
      </c>
      <c r="I19" s="61">
        <f>Entrate_Uscite!W39</f>
        <v>0</v>
      </c>
      <c r="J19" s="61">
        <f t="shared" si="0"/>
        <v>0</v>
      </c>
      <c r="K19" s="62" t="str">
        <f t="shared" si="2"/>
        <v>-</v>
      </c>
      <c r="L19" s="61">
        <f>Entrate_Uscite!X39</f>
        <v>0</v>
      </c>
      <c r="M19" s="63" t="str">
        <f t="shared" si="1"/>
        <v>-</v>
      </c>
    </row>
    <row r="20" spans="1:13" x14ac:dyDescent="0.3">
      <c r="A20" s="4" t="s">
        <v>288</v>
      </c>
      <c r="B20" s="48">
        <f>SUM(B16:B19)</f>
        <v>17460992.02</v>
      </c>
      <c r="C20" s="48">
        <f>SUM(C16:C19)</f>
        <v>0</v>
      </c>
      <c r="D20" s="48">
        <f>SUM(D16:D19)</f>
        <v>0</v>
      </c>
      <c r="E20" s="48">
        <f t="shared" ref="E20:I20" si="7">SUM(E16:E19)</f>
        <v>0</v>
      </c>
      <c r="F20" s="48">
        <f t="shared" si="7"/>
        <v>0</v>
      </c>
      <c r="G20" s="48">
        <f t="shared" ref="G20:H20" si="8">SUM(G16:G19)</f>
        <v>0</v>
      </c>
      <c r="H20" s="48">
        <f t="shared" si="8"/>
        <v>0</v>
      </c>
      <c r="I20" s="48">
        <f t="shared" si="7"/>
        <v>0</v>
      </c>
      <c r="J20" s="48">
        <f t="shared" si="0"/>
        <v>0</v>
      </c>
      <c r="K20" s="49" t="str">
        <f t="shared" si="2"/>
        <v>-</v>
      </c>
      <c r="L20" s="48">
        <f>SUM(L16:L19)</f>
        <v>0</v>
      </c>
      <c r="M20" s="45" t="str">
        <f t="shared" si="1"/>
        <v>-</v>
      </c>
    </row>
    <row r="21" spans="1:13" x14ac:dyDescent="0.3">
      <c r="A21" s="52" t="s">
        <v>349</v>
      </c>
      <c r="B21" s="53">
        <f>B10+B15+B20</f>
        <v>1471178424.54</v>
      </c>
      <c r="C21" s="53">
        <f>C10+C15+C20</f>
        <v>1365896429.99</v>
      </c>
      <c r="D21" s="53">
        <f>D10+D15+D20</f>
        <v>1371493709.74</v>
      </c>
      <c r="E21" s="53">
        <f t="shared" ref="E21:I21" si="9">E10+E15+E20</f>
        <v>1455358421.0999999</v>
      </c>
      <c r="F21" s="53">
        <f t="shared" si="9"/>
        <v>1336503084.46</v>
      </c>
      <c r="G21" s="53">
        <f t="shared" ref="G21:H21" si="10">G10+G15+G20</f>
        <v>1255582107.74</v>
      </c>
      <c r="H21" s="53">
        <f t="shared" si="10"/>
        <v>1343299924.1800001</v>
      </c>
      <c r="I21" s="53">
        <f t="shared" si="9"/>
        <v>1445100483.1900001</v>
      </c>
      <c r="J21" s="53">
        <f t="shared" si="0"/>
        <v>91.397887852093447</v>
      </c>
      <c r="K21" s="54">
        <f t="shared" si="2"/>
        <v>7.5783938625726393</v>
      </c>
      <c r="L21" s="53">
        <f>L10+L15+L20</f>
        <v>1029915021.96</v>
      </c>
      <c r="M21" s="55">
        <f t="shared" si="1"/>
        <v>71.269440010600846</v>
      </c>
    </row>
    <row r="22" spans="1:13" x14ac:dyDescent="0.3">
      <c r="A22" s="64" t="s">
        <v>289</v>
      </c>
      <c r="B22" s="65">
        <f>Entrate_Uscite!B40</f>
        <v>8124000</v>
      </c>
      <c r="C22" s="65">
        <f>Entrate_Uscite!E40</f>
        <v>0</v>
      </c>
      <c r="D22" s="65">
        <f>Entrate_Uscite!H40</f>
        <v>0</v>
      </c>
      <c r="E22" s="65">
        <f>Entrate_Uscite!K40</f>
        <v>9408000</v>
      </c>
      <c r="F22" s="65">
        <f>Entrate_Uscite!N40</f>
        <v>9876000</v>
      </c>
      <c r="G22" s="65">
        <f>Entrate_Uscite!Q40</f>
        <v>10372000</v>
      </c>
      <c r="H22" s="65">
        <f>Entrate_Uscite!T40</f>
        <v>10888000</v>
      </c>
      <c r="I22" s="65">
        <f>Entrate_Uscite!W40</f>
        <v>11432000</v>
      </c>
      <c r="J22" s="65">
        <f t="shared" si="0"/>
        <v>0.72303667881879419</v>
      </c>
      <c r="K22" s="66">
        <f t="shared" si="2"/>
        <v>4.996326230712711</v>
      </c>
      <c r="L22" s="65">
        <f>Entrate_Uscite!X40</f>
        <v>0</v>
      </c>
      <c r="M22" s="63">
        <f t="shared" si="1"/>
        <v>0</v>
      </c>
    </row>
    <row r="23" spans="1:13" x14ac:dyDescent="0.3">
      <c r="A23" s="64" t="s">
        <v>290</v>
      </c>
      <c r="B23" s="65">
        <f>Entrate_Uscite!B41</f>
        <v>165391.65</v>
      </c>
      <c r="C23" s="65">
        <f>Entrate_Uscite!E41</f>
        <v>6304631.75</v>
      </c>
      <c r="D23" s="65">
        <f>Entrate_Uscite!H41</f>
        <v>6598228.29</v>
      </c>
      <c r="E23" s="65">
        <f>Entrate_Uscite!K41</f>
        <v>188293890.97</v>
      </c>
      <c r="F23" s="65">
        <f>Entrate_Uscite!N41</f>
        <v>6500267.9800000004</v>
      </c>
      <c r="G23" s="65">
        <f>Entrate_Uscite!Q41</f>
        <v>9071692.1799999997</v>
      </c>
      <c r="H23" s="65">
        <f>Entrate_Uscite!T41</f>
        <v>46485491.68</v>
      </c>
      <c r="I23" s="65">
        <f>Entrate_Uscite!W41</f>
        <v>46897814.310000002</v>
      </c>
      <c r="J23" s="65">
        <f t="shared" si="0"/>
        <v>2.9661336513788417</v>
      </c>
      <c r="K23" s="66">
        <f t="shared" si="2"/>
        <v>0.8869920809666354</v>
      </c>
      <c r="L23" s="65">
        <f>Entrate_Uscite!X41</f>
        <v>0</v>
      </c>
      <c r="M23" s="63">
        <f t="shared" si="1"/>
        <v>0</v>
      </c>
    </row>
    <row r="24" spans="1:13" x14ac:dyDescent="0.3">
      <c r="A24" s="64" t="s">
        <v>291</v>
      </c>
      <c r="B24" s="65">
        <f>Entrate_Uscite!B42</f>
        <v>60481629.390000001</v>
      </c>
      <c r="C24" s="65">
        <f>Entrate_Uscite!E42</f>
        <v>63056509.759999998</v>
      </c>
      <c r="D24" s="65">
        <f>Entrate_Uscite!H42</f>
        <v>72903573.650000006</v>
      </c>
      <c r="E24" s="65">
        <f>Entrate_Uscite!K42</f>
        <v>54288952.450000003</v>
      </c>
      <c r="F24" s="65">
        <f>Entrate_Uscite!N42</f>
        <v>42946118.530000001</v>
      </c>
      <c r="G24" s="65">
        <f>Entrate_Uscite!Q42</f>
        <v>114799030.3</v>
      </c>
      <c r="H24" s="65">
        <f>Entrate_Uscite!T42</f>
        <v>85826910.599999994</v>
      </c>
      <c r="I24" s="65">
        <f>Entrate_Uscite!W42</f>
        <v>77678978.819999993</v>
      </c>
      <c r="J24" s="65">
        <f t="shared" si="0"/>
        <v>4.9129418177089086</v>
      </c>
      <c r="K24" s="66">
        <f t="shared" si="2"/>
        <v>-9.4934464296096905</v>
      </c>
      <c r="L24" s="65">
        <f>Entrate_Uscite!X42</f>
        <v>0</v>
      </c>
      <c r="M24" s="63">
        <f t="shared" si="1"/>
        <v>0</v>
      </c>
    </row>
    <row r="25" spans="1:13" x14ac:dyDescent="0.3">
      <c r="A25" s="64" t="s">
        <v>292</v>
      </c>
      <c r="B25" s="65">
        <f>Entrate_Uscite!B43</f>
        <v>0</v>
      </c>
      <c r="C25" s="65">
        <f>Entrate_Uscite!E43</f>
        <v>0</v>
      </c>
      <c r="D25" s="65">
        <f>Entrate_Uscite!H43</f>
        <v>0</v>
      </c>
      <c r="E25" s="65">
        <f>Entrate_Uscite!K43</f>
        <v>0</v>
      </c>
      <c r="F25" s="65">
        <f>Entrate_Uscite!N43</f>
        <v>0</v>
      </c>
      <c r="G25" s="65">
        <f>Entrate_Uscite!Q43</f>
        <v>0</v>
      </c>
      <c r="H25" s="65">
        <f>Entrate_Uscite!T43</f>
        <v>0</v>
      </c>
      <c r="I25" s="65">
        <f>Entrate_Uscite!W43</f>
        <v>0</v>
      </c>
      <c r="J25" s="65">
        <f t="shared" si="0"/>
        <v>0</v>
      </c>
      <c r="K25" s="66" t="str">
        <f t="shared" si="2"/>
        <v>-</v>
      </c>
      <c r="L25" s="65">
        <f>Entrate_Uscite!X43</f>
        <v>0</v>
      </c>
      <c r="M25" s="63" t="str">
        <f t="shared" si="1"/>
        <v>-</v>
      </c>
    </row>
    <row r="26" spans="1:13" x14ac:dyDescent="0.3">
      <c r="A26" s="64" t="s">
        <v>293</v>
      </c>
      <c r="B26" s="65">
        <f>Entrate_Uscite!B44</f>
        <v>0</v>
      </c>
      <c r="C26" s="65">
        <f>Entrate_Uscite!E44</f>
        <v>0</v>
      </c>
      <c r="D26" s="65">
        <f>Entrate_Uscite!H44</f>
        <v>0</v>
      </c>
      <c r="E26" s="65">
        <f>Entrate_Uscite!K44</f>
        <v>0</v>
      </c>
      <c r="F26" s="65">
        <f>Entrate_Uscite!N44</f>
        <v>0</v>
      </c>
      <c r="G26" s="65">
        <f>Entrate_Uscite!Q44</f>
        <v>0</v>
      </c>
      <c r="H26" s="65">
        <f>Entrate_Uscite!T44</f>
        <v>0</v>
      </c>
      <c r="I26" s="65">
        <f>Entrate_Uscite!W44</f>
        <v>0</v>
      </c>
      <c r="J26" s="65">
        <f t="shared" si="0"/>
        <v>0</v>
      </c>
      <c r="K26" s="66" t="str">
        <f t="shared" si="2"/>
        <v>-</v>
      </c>
      <c r="L26" s="65">
        <f>Entrate_Uscite!X44</f>
        <v>0</v>
      </c>
      <c r="M26" s="63" t="str">
        <f t="shared" si="1"/>
        <v>-</v>
      </c>
    </row>
    <row r="27" spans="1:13" x14ac:dyDescent="0.3">
      <c r="A27" s="4" t="s">
        <v>294</v>
      </c>
      <c r="B27" s="48">
        <f>SUM(B22:B26)</f>
        <v>68771021.040000007</v>
      </c>
      <c r="C27" s="48">
        <f>SUM(C22:C26)</f>
        <v>69361141.50999999</v>
      </c>
      <c r="D27" s="48">
        <f>SUM(D22:D26)</f>
        <v>79501801.940000013</v>
      </c>
      <c r="E27" s="48">
        <f t="shared" ref="E27:I27" si="11">SUM(E22:E26)</f>
        <v>251990843.42000002</v>
      </c>
      <c r="F27" s="48">
        <f t="shared" si="11"/>
        <v>59322386.510000005</v>
      </c>
      <c r="G27" s="48">
        <f t="shared" ref="G27" si="12">SUM(G22:G26)</f>
        <v>134242722.47999999</v>
      </c>
      <c r="H27" s="48">
        <f t="shared" ref="H27" si="13">SUM(H22:H26)</f>
        <v>143200402.28</v>
      </c>
      <c r="I27" s="48">
        <f t="shared" si="11"/>
        <v>136008793.13</v>
      </c>
      <c r="J27" s="48">
        <f t="shared" si="0"/>
        <v>8.6021121479065439</v>
      </c>
      <c r="K27" s="49">
        <f t="shared" si="2"/>
        <v>-5.0220593207121311</v>
      </c>
      <c r="L27" s="48">
        <f>SUM(L22:L26)</f>
        <v>0</v>
      </c>
      <c r="M27" s="50">
        <f t="shared" si="1"/>
        <v>0</v>
      </c>
    </row>
    <row r="28" spans="1:13" x14ac:dyDescent="0.3">
      <c r="A28" s="4" t="s">
        <v>295</v>
      </c>
      <c r="B28" s="48">
        <f>Entrate_Uscite!B52</f>
        <v>154761276.59</v>
      </c>
      <c r="C28" s="48">
        <f>Entrate_Uscite!E52</f>
        <v>408118642.26999998</v>
      </c>
      <c r="D28" s="48">
        <f>Entrate_Uscite!H52</f>
        <v>250347262.09999999</v>
      </c>
      <c r="E28" s="48">
        <f>Entrate_Uscite!K52</f>
        <v>0</v>
      </c>
      <c r="F28" s="48">
        <f>Entrate_Uscite!N52</f>
        <v>273759990.27999997</v>
      </c>
      <c r="G28" s="48">
        <f>Entrate_Uscite!Q52</f>
        <v>0</v>
      </c>
      <c r="H28" s="48">
        <f>Entrate_Uscite!T52</f>
        <v>0</v>
      </c>
      <c r="I28" s="48">
        <f>Entrate_Uscite!W52</f>
        <v>0</v>
      </c>
      <c r="J28" s="48">
        <f t="shared" si="0"/>
        <v>0</v>
      </c>
      <c r="K28" s="49" t="str">
        <f t="shared" si="2"/>
        <v>-</v>
      </c>
      <c r="L28" s="48">
        <f>Entrate_Uscite!X52</f>
        <v>0</v>
      </c>
      <c r="M28" s="50" t="str">
        <f t="shared" si="1"/>
        <v>-</v>
      </c>
    </row>
    <row r="29" spans="1:13" x14ac:dyDescent="0.3">
      <c r="A29" s="4" t="s">
        <v>296</v>
      </c>
      <c r="B29" s="48">
        <f>Entrate_Uscite!B53</f>
        <v>2821504430.5500002</v>
      </c>
      <c r="C29" s="48">
        <f>Entrate_Uscite!E53</f>
        <v>1096570944.6099999</v>
      </c>
      <c r="D29" s="48">
        <f>Entrate_Uscite!H53</f>
        <v>2110514884.7</v>
      </c>
      <c r="E29" s="48">
        <f>Entrate_Uscite!K53</f>
        <v>2394302056.21</v>
      </c>
      <c r="F29" s="48">
        <f>Entrate_Uscite!N53</f>
        <v>2539945474.5299997</v>
      </c>
      <c r="G29" s="48">
        <f>Entrate_Uscite!Q53</f>
        <v>1875742483.0999999</v>
      </c>
      <c r="H29" s="48">
        <f>Entrate_Uscite!T53</f>
        <v>161746497.65000001</v>
      </c>
      <c r="I29" s="48">
        <f>Entrate_Uscite!W53</f>
        <v>174314554.25999999</v>
      </c>
      <c r="J29" s="48"/>
      <c r="K29" s="49">
        <f t="shared" si="2"/>
        <v>7.7702187018576154</v>
      </c>
      <c r="L29" s="48">
        <f>Entrate_Uscite!X53</f>
        <v>170271964.97999999</v>
      </c>
      <c r="M29" s="50">
        <f t="shared" si="1"/>
        <v>97.680865320075199</v>
      </c>
    </row>
    <row r="30" spans="1:13" x14ac:dyDescent="0.3">
      <c r="A30" s="52" t="s">
        <v>69</v>
      </c>
      <c r="B30" s="53">
        <f>B10+B15+B20+B27+B28+B29</f>
        <v>4516215152.7200003</v>
      </c>
      <c r="C30" s="53">
        <f>C10+C15+C20+C27+C28+C29</f>
        <v>2939947158.3800001</v>
      </c>
      <c r="D30" s="53">
        <f>D10+D15+D20+D27+D28+D29</f>
        <v>3811857658.48</v>
      </c>
      <c r="E30" s="53">
        <f t="shared" ref="E30:I30" si="14">E10+E15+E20+E27+E28+E29</f>
        <v>4101651320.73</v>
      </c>
      <c r="F30" s="53">
        <f t="shared" si="14"/>
        <v>4209530935.7799997</v>
      </c>
      <c r="G30" s="53">
        <f t="shared" ref="G30:H30" si="15">G10+G15+G20+G27+G28+G29</f>
        <v>3265567313.3199997</v>
      </c>
      <c r="H30" s="53">
        <f t="shared" si="15"/>
        <v>1648246824.1100001</v>
      </c>
      <c r="I30" s="53">
        <f t="shared" si="14"/>
        <v>1755423830.5800002</v>
      </c>
      <c r="J30" s="53"/>
      <c r="K30" s="54">
        <f t="shared" si="2"/>
        <v>6.5024852408177622</v>
      </c>
      <c r="L30" s="53">
        <f>L10+L15+L20+L27+L28+L29</f>
        <v>1200186986.9400001</v>
      </c>
      <c r="M30" s="55">
        <f t="shared" si="1"/>
        <v>68.370211571267816</v>
      </c>
    </row>
    <row r="31" spans="1:13" x14ac:dyDescent="0.3">
      <c r="A31" s="43" t="s">
        <v>70</v>
      </c>
      <c r="B31" s="56">
        <f>B30-B29</f>
        <v>1694710722.1700001</v>
      </c>
      <c r="C31" s="56">
        <f>C30-C29</f>
        <v>1843376213.7700002</v>
      </c>
      <c r="D31" s="56">
        <f>D30-D29</f>
        <v>1701342773.78</v>
      </c>
      <c r="E31" s="56">
        <f t="shared" ref="E31:I31" si="16">E30-E29</f>
        <v>1707349264.52</v>
      </c>
      <c r="F31" s="56">
        <f t="shared" si="16"/>
        <v>1669585461.25</v>
      </c>
      <c r="G31" s="56">
        <f t="shared" ref="G31:H31" si="17">G30-G29</f>
        <v>1389824830.2199998</v>
      </c>
      <c r="H31" s="56">
        <f t="shared" si="17"/>
        <v>1486500326.46</v>
      </c>
      <c r="I31" s="56">
        <f t="shared" si="16"/>
        <v>1581109276.3200002</v>
      </c>
      <c r="J31" s="56">
        <f>I31/I$31*100</f>
        <v>100</v>
      </c>
      <c r="K31" s="57">
        <f t="shared" si="2"/>
        <v>6.3645428242390665</v>
      </c>
      <c r="L31" s="56">
        <f>L30-L29</f>
        <v>1029915021.96</v>
      </c>
      <c r="M31" s="58">
        <f t="shared" si="1"/>
        <v>65.13876285370398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pane xSplit="1" topLeftCell="B1" activePane="topRight" state="frozen"/>
      <selection pane="topRight" activeCell="B1" sqref="B1:D1048576"/>
    </sheetView>
  </sheetViews>
  <sheetFormatPr defaultRowHeight="14.4" x14ac:dyDescent="0.3"/>
  <cols>
    <col min="1" max="1" width="50.6640625" bestFit="1" customWidth="1"/>
    <col min="2" max="5" width="12.5546875" bestFit="1" customWidth="1"/>
    <col min="6" max="9" width="13.33203125" bestFit="1" customWidth="1"/>
    <col min="10" max="10" width="12.21875" bestFit="1" customWidth="1"/>
    <col min="11" max="11" width="12.5546875" bestFit="1" customWidth="1"/>
  </cols>
  <sheetData>
    <row r="1" spans="1:11" x14ac:dyDescent="0.3">
      <c r="A1" s="46"/>
      <c r="B1" s="47">
        <v>2016</v>
      </c>
      <c r="C1" s="47">
        <v>2017</v>
      </c>
      <c r="D1" s="47">
        <v>2018</v>
      </c>
      <c r="E1" s="47">
        <v>2019</v>
      </c>
      <c r="F1" s="47">
        <v>2020</v>
      </c>
      <c r="G1" s="47">
        <v>2021</v>
      </c>
      <c r="H1" s="47">
        <v>2022</v>
      </c>
      <c r="I1" s="47">
        <v>2023</v>
      </c>
      <c r="J1" s="47" t="s">
        <v>266</v>
      </c>
      <c r="K1" s="47" t="s">
        <v>340</v>
      </c>
    </row>
    <row r="2" spans="1:11" x14ac:dyDescent="0.3">
      <c r="A2" s="67" t="s">
        <v>298</v>
      </c>
      <c r="B2" s="69">
        <f>Entrate_Uscite!B56</f>
        <v>67112650.599999905</v>
      </c>
      <c r="C2" s="69">
        <f>Entrate_Uscite!E56</f>
        <v>157478686.05000019</v>
      </c>
      <c r="D2" s="69">
        <f>Entrate_Uscite!H56</f>
        <v>288478079.50999999</v>
      </c>
      <c r="E2" s="69">
        <f>Entrate_Uscite!K56</f>
        <v>262396242.91000009</v>
      </c>
      <c r="F2" s="69">
        <f>Entrate_Uscite!N56</f>
        <v>395262767.69999981</v>
      </c>
      <c r="G2" s="69">
        <f>Entrate_Uscite!Q56</f>
        <v>689701698.72000003</v>
      </c>
      <c r="H2" s="69">
        <f>Entrate_Uscite!T56</f>
        <v>444576449.74000001</v>
      </c>
      <c r="I2" s="69">
        <f>Entrate_Uscite!W56</f>
        <v>449903160.8599999</v>
      </c>
      <c r="J2" s="69">
        <f t="shared" ref="J2:J6" si="0">I2-H2</f>
        <v>5326711.1199998856</v>
      </c>
      <c r="K2" s="69">
        <f>Entrate_Uscite!X56</f>
        <v>231542475.04999995</v>
      </c>
    </row>
    <row r="3" spans="1:11" x14ac:dyDescent="0.3">
      <c r="A3" s="67" t="s">
        <v>72</v>
      </c>
      <c r="B3" s="70">
        <f>Entrate_Uscite!B57</f>
        <v>74288823.349999964</v>
      </c>
      <c r="C3" s="70">
        <f>Entrate_Uscite!E57</f>
        <v>82942195.309999973</v>
      </c>
      <c r="D3" s="70">
        <f>Entrate_Uscite!H57</f>
        <v>-751823.16999989748</v>
      </c>
      <c r="E3" s="70">
        <f>Entrate_Uscite!K57</f>
        <v>-37403143.589999974</v>
      </c>
      <c r="F3" s="70">
        <f>Entrate_Uscite!N57</f>
        <v>403017296.2700001</v>
      </c>
      <c r="G3" s="70">
        <f>Entrate_Uscite!Q57</f>
        <v>34162898.060000002</v>
      </c>
      <c r="H3" s="70">
        <f>Entrate_Uscite!T57</f>
        <v>75043935.199999958</v>
      </c>
      <c r="I3" s="70">
        <f>Entrate_Uscite!W57</f>
        <v>83618134.920000017</v>
      </c>
      <c r="J3" s="69">
        <f t="shared" si="0"/>
        <v>8574199.7200000584</v>
      </c>
      <c r="K3" s="70">
        <f>Entrate_Uscite!X57</f>
        <v>3405140.119999975</v>
      </c>
    </row>
    <row r="4" spans="1:11" x14ac:dyDescent="0.3">
      <c r="A4" s="67" t="s">
        <v>301</v>
      </c>
      <c r="B4" s="70">
        <f>Entrate_Uscite!B16-Entrate_Uscite!B50</f>
        <v>0</v>
      </c>
      <c r="C4" s="70">
        <f>Entrate_Uscite!E16-Entrate_Uscite!E50</f>
        <v>0</v>
      </c>
      <c r="D4" s="70">
        <f>Entrate_Uscite!H16-Entrate_Uscite!H50</f>
        <v>35828883.740000002</v>
      </c>
      <c r="E4" s="70">
        <f>Entrate_Uscite!K16-Entrate_Uscite!K50</f>
        <v>1390000</v>
      </c>
      <c r="F4" s="70">
        <f>Entrate_Uscite!N16-Entrate_Uscite!N50</f>
        <v>572638.59</v>
      </c>
      <c r="G4" s="70">
        <f>Entrate_Uscite!Q16-Entrate_Uscite!Q50</f>
        <v>0</v>
      </c>
      <c r="H4" s="70">
        <f>Entrate_Uscite!T16-Entrate_Uscite!T50</f>
        <v>19516.46</v>
      </c>
      <c r="I4" s="70">
        <f>Entrate_Uscite!W16-Entrate_Uscite!W50</f>
        <v>208137.12</v>
      </c>
      <c r="J4" s="69">
        <f t="shared" si="0"/>
        <v>188620.66</v>
      </c>
      <c r="K4" s="70">
        <f>Entrate_Uscite!X16-Entrate_Uscite!X50</f>
        <v>208137.12</v>
      </c>
    </row>
    <row r="5" spans="1:11" x14ac:dyDescent="0.3">
      <c r="A5" s="52" t="s">
        <v>299</v>
      </c>
      <c r="B5" s="71">
        <f>Entrate_Uscite!B58</f>
        <v>141401473.95000005</v>
      </c>
      <c r="C5" s="71">
        <f>Entrate_Uscite!E58</f>
        <v>240420881.36000013</v>
      </c>
      <c r="D5" s="71">
        <f>Entrate_Uscite!H58</f>
        <v>323555140.07999992</v>
      </c>
      <c r="E5" s="71">
        <f>Entrate_Uscite!K58</f>
        <v>226383099.32000017</v>
      </c>
      <c r="F5" s="71">
        <f>Entrate_Uscite!N58</f>
        <v>798852702.5599997</v>
      </c>
      <c r="G5" s="71">
        <f>Entrate_Uscite!Q58</f>
        <v>723864596.77999997</v>
      </c>
      <c r="H5" s="71">
        <f>Entrate_Uscite!T58</f>
        <v>519639901.39999986</v>
      </c>
      <c r="I5" s="71">
        <f>Entrate_Uscite!W58</f>
        <v>533729432.89999962</v>
      </c>
      <c r="J5" s="71">
        <f t="shared" si="0"/>
        <v>14089531.499999762</v>
      </c>
      <c r="K5" s="71">
        <f>Entrate_Uscite!X58</f>
        <v>235155752.28999972</v>
      </c>
    </row>
    <row r="6" spans="1:11" x14ac:dyDescent="0.3">
      <c r="A6" s="43" t="s">
        <v>300</v>
      </c>
      <c r="B6" s="72">
        <f>Entrate_Uscite!B59</f>
        <v>66985127.260000229</v>
      </c>
      <c r="C6" s="72">
        <f>Entrate_Uscite!E59</f>
        <v>177619592.59000015</v>
      </c>
      <c r="D6" s="72">
        <f>Entrate_Uscite!H59</f>
        <v>286823335.12999964</v>
      </c>
      <c r="E6" s="72">
        <f>Entrate_Uscite!K59</f>
        <v>324442731.9000001</v>
      </c>
      <c r="F6" s="72">
        <f>Entrate_Uscite!N59</f>
        <v>1262687860.8200002</v>
      </c>
      <c r="G6" s="72">
        <f>Entrate_Uscite!Q59</f>
        <v>640584881.70000029</v>
      </c>
      <c r="H6" s="72">
        <f>Entrate_Uscite!T59</f>
        <v>419774979.91999984</v>
      </c>
      <c r="I6" s="72">
        <f>Entrate_Uscite!W59</f>
        <v>411047932.52999973</v>
      </c>
      <c r="J6" s="72">
        <f t="shared" si="0"/>
        <v>-8727047.3900001049</v>
      </c>
      <c r="K6" s="72">
        <f>Entrate_Uscite!X59</f>
        <v>118275808.02999973</v>
      </c>
    </row>
    <row r="7" spans="1:11" x14ac:dyDescent="0.3">
      <c r="K7" s="6"/>
    </row>
    <row r="8" spans="1:11" x14ac:dyDescent="0.3">
      <c r="K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activeCell="C5" sqref="C5"/>
    </sheetView>
  </sheetViews>
  <sheetFormatPr defaultRowHeight="14.4" x14ac:dyDescent="0.3"/>
  <cols>
    <col min="1" max="1" width="33.44140625" bestFit="1" customWidth="1"/>
    <col min="2" max="2" width="13.77734375" bestFit="1" customWidth="1"/>
    <col min="3" max="4" width="12.5546875" bestFit="1" customWidth="1"/>
    <col min="5" max="5" width="11.88671875" customWidth="1"/>
    <col min="6" max="6" width="10.88671875" customWidth="1"/>
    <col min="7" max="7" width="11.109375" bestFit="1" customWidth="1"/>
    <col min="8" max="8" width="11.109375" customWidth="1"/>
    <col min="9" max="9" width="12" bestFit="1" customWidth="1"/>
  </cols>
  <sheetData>
    <row r="1" spans="1:6" x14ac:dyDescent="0.3">
      <c r="A1" s="13">
        <v>2023</v>
      </c>
      <c r="B1" s="13" t="s">
        <v>367</v>
      </c>
      <c r="C1" s="13" t="s">
        <v>368</v>
      </c>
      <c r="D1" s="13" t="s">
        <v>369</v>
      </c>
      <c r="E1" s="13" t="s">
        <v>370</v>
      </c>
      <c r="F1" s="13" t="s">
        <v>371</v>
      </c>
    </row>
    <row r="2" spans="1:6" x14ac:dyDescent="0.3">
      <c r="A2" t="s">
        <v>372</v>
      </c>
      <c r="B2" s="1">
        <v>31265057.899999999</v>
      </c>
      <c r="C2" s="1">
        <v>1445766.2</v>
      </c>
      <c r="D2" s="1">
        <f>B2-C2</f>
        <v>29819291.699999999</v>
      </c>
      <c r="E2" s="6">
        <f>IF(B2&gt;0,C2/B2*100,"-")</f>
        <v>4.6242236448888843</v>
      </c>
      <c r="F2" s="6">
        <f>B2/B$11*100</f>
        <v>26.598533743607934</v>
      </c>
    </row>
    <row r="3" spans="1:6" x14ac:dyDescent="0.3">
      <c r="A3" t="s">
        <v>373</v>
      </c>
      <c r="B3" s="1">
        <v>12385688.57</v>
      </c>
      <c r="C3" s="1">
        <v>10491755.33</v>
      </c>
      <c r="D3" s="1">
        <f t="shared" ref="D3:D11" si="0">B3-C3</f>
        <v>1893933.2400000002</v>
      </c>
      <c r="E3" s="6">
        <f t="shared" ref="E3:E11" si="1">IF(B3&gt;0,C3/B3*100,"-")</f>
        <v>84.708696417675228</v>
      </c>
      <c r="F3" s="6">
        <f t="shared" ref="F3:F11" si="2">B3/B$11*100</f>
        <v>10.537039669674307</v>
      </c>
    </row>
    <row r="4" spans="1:6" x14ac:dyDescent="0.3">
      <c r="A4" t="s">
        <v>374</v>
      </c>
      <c r="B4" s="1">
        <v>1707611.57</v>
      </c>
      <c r="C4" s="1">
        <v>383615.37</v>
      </c>
      <c r="D4" s="1">
        <f t="shared" si="0"/>
        <v>1323996.2000000002</v>
      </c>
      <c r="E4" s="6">
        <f t="shared" si="1"/>
        <v>22.465025228190505</v>
      </c>
      <c r="F4" s="6">
        <f t="shared" si="2"/>
        <v>1.4527388406218278</v>
      </c>
    </row>
    <row r="5" spans="1:6" x14ac:dyDescent="0.3">
      <c r="A5" t="s">
        <v>375</v>
      </c>
      <c r="B5" s="1">
        <v>41222856.299999997</v>
      </c>
      <c r="C5" s="1">
        <v>20561667.809999999</v>
      </c>
      <c r="D5" s="1">
        <f t="shared" si="0"/>
        <v>20661188.489999998</v>
      </c>
      <c r="E5" s="6">
        <f t="shared" si="1"/>
        <v>49.879289441668313</v>
      </c>
      <c r="F5" s="6">
        <f t="shared" si="2"/>
        <v>35.070062489903492</v>
      </c>
    </row>
    <row r="6" spans="1:6" x14ac:dyDescent="0.3">
      <c r="A6" t="s">
        <v>376</v>
      </c>
      <c r="B6" s="1">
        <v>6000</v>
      </c>
      <c r="C6" s="1">
        <v>6000</v>
      </c>
      <c r="D6" s="1">
        <f t="shared" si="0"/>
        <v>0</v>
      </c>
      <c r="E6" s="6">
        <f t="shared" si="1"/>
        <v>100</v>
      </c>
      <c r="F6" s="6">
        <f t="shared" si="2"/>
        <v>5.1044588809684432E-3</v>
      </c>
    </row>
    <row r="7" spans="1:6" x14ac:dyDescent="0.3">
      <c r="A7" t="s">
        <v>377</v>
      </c>
      <c r="B7" s="1">
        <v>25714.03</v>
      </c>
      <c r="C7" s="1">
        <v>10649.43</v>
      </c>
      <c r="D7" s="1">
        <f t="shared" si="0"/>
        <v>15064.599999999999</v>
      </c>
      <c r="E7" s="123">
        <f t="shared" si="1"/>
        <v>41.414861847792821</v>
      </c>
      <c r="F7" s="6">
        <f t="shared" si="2"/>
        <v>2.1876034799831495E-2</v>
      </c>
    </row>
    <row r="8" spans="1:6" x14ac:dyDescent="0.3">
      <c r="A8" t="s">
        <v>378</v>
      </c>
      <c r="B8" s="1">
        <v>17291163.460000001</v>
      </c>
      <c r="C8" s="1">
        <v>2353003.5699999998</v>
      </c>
      <c r="D8" s="1">
        <f t="shared" si="0"/>
        <v>14938159.890000001</v>
      </c>
      <c r="E8" s="123">
        <f t="shared" si="1"/>
        <v>13.608127500750605</v>
      </c>
      <c r="F8" s="6">
        <f t="shared" si="2"/>
        <v>14.710338814279005</v>
      </c>
    </row>
    <row r="9" spans="1:6" x14ac:dyDescent="0.3">
      <c r="A9" t="s">
        <v>379</v>
      </c>
      <c r="B9" s="1">
        <v>2153.73</v>
      </c>
      <c r="C9" s="1">
        <v>0</v>
      </c>
      <c r="D9" s="1">
        <f t="shared" si="0"/>
        <v>2153.73</v>
      </c>
      <c r="E9" s="123">
        <f t="shared" si="1"/>
        <v>0</v>
      </c>
      <c r="F9" s="6">
        <f t="shared" si="2"/>
        <v>1.8322710376180275E-3</v>
      </c>
    </row>
    <row r="10" spans="1:6" x14ac:dyDescent="0.3">
      <c r="A10" t="s">
        <v>380</v>
      </c>
      <c r="B10" s="1">
        <v>13638045.42</v>
      </c>
      <c r="C10" s="1">
        <v>6426823.8600000003</v>
      </c>
      <c r="D10" s="1">
        <f t="shared" si="0"/>
        <v>7211221.5599999996</v>
      </c>
      <c r="E10" s="6">
        <f t="shared" si="1"/>
        <v>47.124229771042955</v>
      </c>
      <c r="F10" s="6">
        <f t="shared" si="2"/>
        <v>11.602473677195</v>
      </c>
    </row>
    <row r="11" spans="1:6" x14ac:dyDescent="0.3">
      <c r="A11" s="4" t="s">
        <v>207</v>
      </c>
      <c r="B11" s="3">
        <f>SUM(B2:B10)</f>
        <v>117544290.98000002</v>
      </c>
      <c r="C11" s="3">
        <f>SUM(C2:C10)</f>
        <v>41679281.569999993</v>
      </c>
      <c r="D11" s="3">
        <f t="shared" si="0"/>
        <v>75865009.410000026</v>
      </c>
      <c r="E11" s="124">
        <f t="shared" si="1"/>
        <v>35.458363160395137</v>
      </c>
      <c r="F11" s="124">
        <f t="shared" si="2"/>
        <v>100</v>
      </c>
    </row>
    <row r="12" spans="1:6" x14ac:dyDescent="0.3">
      <c r="A12" s="125" t="s">
        <v>381</v>
      </c>
      <c r="B12" s="126">
        <v>1445100483.1900001</v>
      </c>
      <c r="C12" s="127"/>
      <c r="D12" s="127"/>
      <c r="E12" s="127"/>
      <c r="F12" s="128">
        <f>B11/B12*100</f>
        <v>8.1339873833912097</v>
      </c>
    </row>
    <row r="14" spans="1:6" x14ac:dyDescent="0.3">
      <c r="A14" s="13">
        <v>2022</v>
      </c>
      <c r="B14" s="13" t="s">
        <v>367</v>
      </c>
      <c r="C14" s="13" t="s">
        <v>368</v>
      </c>
      <c r="D14" s="13" t="s">
        <v>369</v>
      </c>
      <c r="E14" s="13" t="s">
        <v>370</v>
      </c>
      <c r="F14" s="13" t="s">
        <v>371</v>
      </c>
    </row>
    <row r="15" spans="1:6" x14ac:dyDescent="0.3">
      <c r="A15" t="s">
        <v>372</v>
      </c>
      <c r="B15" s="122">
        <v>25239379.859999999</v>
      </c>
      <c r="C15" s="122">
        <v>3920734.98</v>
      </c>
      <c r="D15" s="1">
        <f>B15-C15</f>
        <v>21318644.879999999</v>
      </c>
      <c r="E15" s="6">
        <f>IF(B15&gt;0,C15/B15*100,"-")</f>
        <v>15.534196964219706</v>
      </c>
      <c r="F15" s="6">
        <f>B15/B$11*100</f>
        <v>21.47222944608551</v>
      </c>
    </row>
    <row r="16" spans="1:6" x14ac:dyDescent="0.3">
      <c r="A16" t="s">
        <v>373</v>
      </c>
      <c r="B16" s="122">
        <v>11495558.18</v>
      </c>
      <c r="C16" s="122">
        <v>9266421.1799999997</v>
      </c>
      <c r="D16" s="1">
        <f t="shared" ref="D16:D24" si="3">B16-C16</f>
        <v>2229137</v>
      </c>
      <c r="E16" s="6">
        <f t="shared" ref="E16:E24" si="4">IF(B16&gt;0,C16/B16*100,"-")</f>
        <v>80.608710207058436</v>
      </c>
      <c r="F16" s="6">
        <f t="shared" ref="F16:F24" si="5">B16/B$11*100</f>
        <v>9.779767340598406</v>
      </c>
    </row>
    <row r="17" spans="1:6" x14ac:dyDescent="0.3">
      <c r="A17" t="s">
        <v>374</v>
      </c>
      <c r="B17" s="122">
        <v>1846884.77</v>
      </c>
      <c r="C17" s="122">
        <v>520082.73</v>
      </c>
      <c r="D17" s="1">
        <f t="shared" si="3"/>
        <v>1326802.04</v>
      </c>
      <c r="E17" s="6">
        <f t="shared" si="4"/>
        <v>28.159998850388483</v>
      </c>
      <c r="F17" s="6">
        <f t="shared" si="5"/>
        <v>1.5712245610586435</v>
      </c>
    </row>
    <row r="18" spans="1:6" x14ac:dyDescent="0.3">
      <c r="A18" t="s">
        <v>375</v>
      </c>
      <c r="B18" s="122">
        <v>30178011.609999999</v>
      </c>
      <c r="C18" s="122">
        <v>13039578.189999999</v>
      </c>
      <c r="D18" s="1">
        <f t="shared" si="3"/>
        <v>17138433.420000002</v>
      </c>
      <c r="E18" s="6">
        <f t="shared" si="4"/>
        <v>43.208871275266894</v>
      </c>
      <c r="F18" s="6">
        <f t="shared" si="5"/>
        <v>25.67373656210555</v>
      </c>
    </row>
    <row r="19" spans="1:6" x14ac:dyDescent="0.3">
      <c r="A19" t="s">
        <v>376</v>
      </c>
      <c r="B19" s="122">
        <v>49120</v>
      </c>
      <c r="C19" s="122">
        <v>41120</v>
      </c>
      <c r="D19" s="1">
        <f t="shared" si="3"/>
        <v>8000</v>
      </c>
      <c r="E19" s="6">
        <f t="shared" si="4"/>
        <v>83.713355048859938</v>
      </c>
      <c r="F19" s="6">
        <f t="shared" si="5"/>
        <v>4.1788503372194995E-2</v>
      </c>
    </row>
    <row r="20" spans="1:6" x14ac:dyDescent="0.3">
      <c r="A20" t="s">
        <v>377</v>
      </c>
      <c r="B20" s="122">
        <v>147471.01</v>
      </c>
      <c r="C20" s="122">
        <v>0</v>
      </c>
      <c r="D20" s="1">
        <f t="shared" si="3"/>
        <v>147471.01</v>
      </c>
      <c r="E20" s="123">
        <f t="shared" si="4"/>
        <v>0</v>
      </c>
      <c r="F20" s="6">
        <f t="shared" si="5"/>
        <v>0.12545995111331437</v>
      </c>
    </row>
    <row r="21" spans="1:6" x14ac:dyDescent="0.3">
      <c r="A21" t="s">
        <v>378</v>
      </c>
      <c r="B21" s="122">
        <v>19523421.82</v>
      </c>
      <c r="C21" s="122">
        <v>2016703.54</v>
      </c>
      <c r="D21" s="1">
        <f t="shared" si="3"/>
        <v>17506718.280000001</v>
      </c>
      <c r="E21" s="123">
        <f t="shared" si="4"/>
        <v>10.329662282531167</v>
      </c>
      <c r="F21" s="6">
        <f t="shared" si="5"/>
        <v>16.60941731599868</v>
      </c>
    </row>
    <row r="22" spans="1:6" x14ac:dyDescent="0.3">
      <c r="A22" t="s">
        <v>379</v>
      </c>
      <c r="B22" s="122">
        <v>810.49</v>
      </c>
      <c r="C22" s="122">
        <v>0</v>
      </c>
      <c r="D22" s="1">
        <f t="shared" si="3"/>
        <v>810.49</v>
      </c>
      <c r="E22" s="123">
        <f t="shared" si="4"/>
        <v>0</v>
      </c>
      <c r="F22" s="6">
        <f t="shared" si="5"/>
        <v>6.8951881307268564E-4</v>
      </c>
    </row>
    <row r="23" spans="1:6" x14ac:dyDescent="0.3">
      <c r="A23" t="s">
        <v>380</v>
      </c>
      <c r="B23" s="122">
        <v>11353782.539999999</v>
      </c>
      <c r="C23" s="122">
        <v>5282329.03</v>
      </c>
      <c r="D23" s="1">
        <f t="shared" si="3"/>
        <v>6071453.5099999988</v>
      </c>
      <c r="E23" s="6">
        <f t="shared" si="4"/>
        <v>46.52483884899209</v>
      </c>
      <c r="F23" s="6">
        <f t="shared" si="5"/>
        <v>9.6591526864812405</v>
      </c>
    </row>
    <row r="24" spans="1:6" x14ac:dyDescent="0.3">
      <c r="A24" s="4" t="s">
        <v>207</v>
      </c>
      <c r="B24" s="3">
        <f>SUM(B15:B23)</f>
        <v>99834440.280000001</v>
      </c>
      <c r="C24" s="3">
        <f>SUM(C15:C23)</f>
        <v>34086969.649999999</v>
      </c>
      <c r="D24" s="3">
        <f t="shared" si="3"/>
        <v>65747470.630000003</v>
      </c>
      <c r="E24" s="124">
        <f t="shared" si="4"/>
        <v>34.143497528907062</v>
      </c>
      <c r="F24" s="124">
        <f t="shared" si="5"/>
        <v>84.933465885626617</v>
      </c>
    </row>
    <row r="25" spans="1:6" x14ac:dyDescent="0.3">
      <c r="A25" s="125" t="s">
        <v>381</v>
      </c>
      <c r="B25" s="126">
        <v>1343299924.1800001</v>
      </c>
      <c r="C25" s="127"/>
      <c r="D25" s="127"/>
      <c r="E25" s="127"/>
      <c r="F25" s="128">
        <f>B24/B25*100</f>
        <v>7.4320290266481361</v>
      </c>
    </row>
    <row r="27" spans="1:6" x14ac:dyDescent="0.3">
      <c r="A27" s="13">
        <v>2021</v>
      </c>
      <c r="B27" s="13" t="s">
        <v>367</v>
      </c>
      <c r="C27" s="13" t="s">
        <v>368</v>
      </c>
      <c r="D27" s="13" t="s">
        <v>369</v>
      </c>
      <c r="E27" s="13" t="s">
        <v>370</v>
      </c>
      <c r="F27" s="13" t="s">
        <v>371</v>
      </c>
    </row>
    <row r="28" spans="1:6" x14ac:dyDescent="0.3">
      <c r="A28" t="s">
        <v>372</v>
      </c>
      <c r="B28" s="122">
        <v>23363908.699999999</v>
      </c>
      <c r="C28" s="122">
        <v>6439016</v>
      </c>
      <c r="D28" s="1">
        <f>B28-C28</f>
        <v>16924892.699999999</v>
      </c>
      <c r="E28" s="6">
        <f>IF(B28&gt;0,C28/B28*100,"-")</f>
        <v>27.55966941439041</v>
      </c>
      <c r="F28" s="6">
        <f>B28/B$11*100</f>
        <v>19.876685209641813</v>
      </c>
    </row>
    <row r="29" spans="1:6" x14ac:dyDescent="0.3">
      <c r="A29" t="s">
        <v>373</v>
      </c>
      <c r="B29" s="122">
        <v>9623706.5999999996</v>
      </c>
      <c r="C29" s="122">
        <v>6356665.2999999998</v>
      </c>
      <c r="D29" s="1">
        <f t="shared" ref="D29:D37" si="6">B29-C29</f>
        <v>3267041.3</v>
      </c>
      <c r="E29" s="6">
        <f t="shared" ref="E29:E37" si="7">IF(B29&gt;0,C29/B29*100,"-")</f>
        <v>66.052151880856385</v>
      </c>
      <c r="F29" s="6">
        <f t="shared" ref="F29:F37" si="8">B29/B$11*100</f>
        <v>8.1873024370341039</v>
      </c>
    </row>
    <row r="30" spans="1:6" x14ac:dyDescent="0.3">
      <c r="A30" t="s">
        <v>374</v>
      </c>
      <c r="B30" s="122">
        <v>5653.8</v>
      </c>
      <c r="C30" s="122">
        <v>0</v>
      </c>
      <c r="D30" s="1">
        <f t="shared" si="6"/>
        <v>5653.8</v>
      </c>
      <c r="E30" s="6">
        <f t="shared" si="7"/>
        <v>0</v>
      </c>
      <c r="F30" s="6">
        <f t="shared" si="8"/>
        <v>4.8099316035365644E-3</v>
      </c>
    </row>
    <row r="31" spans="1:6" x14ac:dyDescent="0.3">
      <c r="A31" t="s">
        <v>375</v>
      </c>
      <c r="B31" s="122">
        <v>32943225.5</v>
      </c>
      <c r="C31" s="122">
        <v>15817774.699999999</v>
      </c>
      <c r="D31" s="1">
        <f t="shared" si="6"/>
        <v>17125450.800000001</v>
      </c>
      <c r="E31" s="6">
        <f t="shared" si="7"/>
        <v>48.015257947343379</v>
      </c>
      <c r="F31" s="6">
        <f t="shared" si="8"/>
        <v>28.026223328536847</v>
      </c>
    </row>
    <row r="32" spans="1:6" x14ac:dyDescent="0.3">
      <c r="A32" t="s">
        <v>376</v>
      </c>
      <c r="B32" s="122">
        <v>10069.6</v>
      </c>
      <c r="C32" s="122">
        <v>0</v>
      </c>
      <c r="D32" s="1">
        <f t="shared" si="6"/>
        <v>10069.6</v>
      </c>
      <c r="E32" s="6">
        <f t="shared" si="7"/>
        <v>0</v>
      </c>
      <c r="F32" s="6">
        <f t="shared" si="8"/>
        <v>8.5666431912999746E-3</v>
      </c>
    </row>
    <row r="33" spans="1:6" x14ac:dyDescent="0.3">
      <c r="A33" t="s">
        <v>377</v>
      </c>
      <c r="B33" s="122">
        <v>0</v>
      </c>
      <c r="C33" s="122">
        <v>0</v>
      </c>
      <c r="D33" s="1">
        <f t="shared" si="6"/>
        <v>0</v>
      </c>
      <c r="E33" s="123" t="str">
        <f t="shared" si="7"/>
        <v>-</v>
      </c>
      <c r="F33" s="6">
        <f t="shared" si="8"/>
        <v>0</v>
      </c>
    </row>
    <row r="34" spans="1:6" x14ac:dyDescent="0.3">
      <c r="A34" t="s">
        <v>378</v>
      </c>
      <c r="B34" s="122">
        <v>14269556.6</v>
      </c>
      <c r="C34" s="122">
        <v>548867</v>
      </c>
      <c r="D34" s="1">
        <f t="shared" si="6"/>
        <v>13720689.6</v>
      </c>
      <c r="E34" s="123">
        <f t="shared" si="7"/>
        <v>3.8464194465579964</v>
      </c>
      <c r="F34" s="6">
        <f t="shared" si="8"/>
        <v>12.139727485725309</v>
      </c>
    </row>
    <row r="35" spans="1:6" x14ac:dyDescent="0.3">
      <c r="A35" t="s">
        <v>379</v>
      </c>
      <c r="B35" s="122">
        <v>2625.1</v>
      </c>
      <c r="C35" s="122">
        <v>0</v>
      </c>
      <c r="D35" s="1">
        <f t="shared" si="6"/>
        <v>2625.1</v>
      </c>
      <c r="E35" s="123">
        <f t="shared" si="7"/>
        <v>0</v>
      </c>
      <c r="F35" s="6">
        <f t="shared" si="8"/>
        <v>2.2332858347383767E-3</v>
      </c>
    </row>
    <row r="36" spans="1:6" x14ac:dyDescent="0.3">
      <c r="A36" t="s">
        <v>380</v>
      </c>
      <c r="B36" s="122">
        <v>11398672.699999999</v>
      </c>
      <c r="C36" s="122">
        <v>5616905.5999999996</v>
      </c>
      <c r="D36" s="1">
        <f t="shared" si="6"/>
        <v>5781767.0999999996</v>
      </c>
      <c r="E36" s="6">
        <f t="shared" si="7"/>
        <v>49.276839048111277</v>
      </c>
      <c r="F36" s="6">
        <f t="shared" si="8"/>
        <v>9.6973426824612581</v>
      </c>
    </row>
    <row r="37" spans="1:6" x14ac:dyDescent="0.3">
      <c r="A37" s="4" t="s">
        <v>207</v>
      </c>
      <c r="B37" s="3">
        <f>SUM(B28:B36)</f>
        <v>91617418.599999994</v>
      </c>
      <c r="C37" s="3">
        <f>SUM(C28:C36)</f>
        <v>34779228.600000001</v>
      </c>
      <c r="D37" s="3">
        <f t="shared" si="6"/>
        <v>56838189.999999993</v>
      </c>
      <c r="E37" s="124">
        <f t="shared" si="7"/>
        <v>37.961371463482827</v>
      </c>
      <c r="F37" s="124">
        <f t="shared" si="8"/>
        <v>77.942891004028908</v>
      </c>
    </row>
    <row r="38" spans="1:6" x14ac:dyDescent="0.3">
      <c r="A38" s="125" t="s">
        <v>381</v>
      </c>
      <c r="B38" s="126">
        <v>1255582107.74</v>
      </c>
      <c r="C38" s="127"/>
      <c r="D38" s="127"/>
      <c r="E38" s="127"/>
      <c r="F38" s="128">
        <f>B37/B38*100</f>
        <v>7.2968082322316512</v>
      </c>
    </row>
    <row r="40" spans="1:6" x14ac:dyDescent="0.3">
      <c r="A40" s="13">
        <v>2020</v>
      </c>
      <c r="B40" s="13" t="s">
        <v>367</v>
      </c>
      <c r="C40" s="13" t="s">
        <v>368</v>
      </c>
      <c r="D40" s="13" t="s">
        <v>369</v>
      </c>
      <c r="E40" s="13" t="s">
        <v>370</v>
      </c>
      <c r="F40" s="13" t="s">
        <v>371</v>
      </c>
    </row>
    <row r="41" spans="1:6" x14ac:dyDescent="0.3">
      <c r="A41" t="s">
        <v>372</v>
      </c>
      <c r="B41" s="1">
        <v>22252495.559999999</v>
      </c>
      <c r="C41" s="1">
        <v>2836599.82</v>
      </c>
      <c r="D41" s="1">
        <f>B41-C41</f>
        <v>19415895.739999998</v>
      </c>
      <c r="E41" s="6">
        <f>IF(B41&gt;0,C41/B41*100,"-")</f>
        <v>12.747333495030253</v>
      </c>
      <c r="F41" s="6">
        <f>B41/B$11*100</f>
        <v>18.931158097492144</v>
      </c>
    </row>
    <row r="42" spans="1:6" x14ac:dyDescent="0.3">
      <c r="A42" t="s">
        <v>373</v>
      </c>
      <c r="B42" s="1">
        <v>8137821.8399999999</v>
      </c>
      <c r="C42" s="1">
        <v>1219000</v>
      </c>
      <c r="D42" s="1">
        <f t="shared" ref="D42:D50" si="9">B42-C42</f>
        <v>6918821.8399999999</v>
      </c>
      <c r="E42" s="6">
        <f t="shared" ref="E42:E50" si="10">IF(B42&gt;0,C42/B42*100,"-")</f>
        <v>14.979438281730681</v>
      </c>
      <c r="F42" s="6">
        <f t="shared" ref="F42:F50" si="11">B42/B$11*100</f>
        <v>6.9231961604878265</v>
      </c>
    </row>
    <row r="43" spans="1:6" x14ac:dyDescent="0.3">
      <c r="A43" t="s">
        <v>374</v>
      </c>
      <c r="B43" s="1">
        <v>1344000</v>
      </c>
      <c r="C43" s="1">
        <v>0</v>
      </c>
      <c r="D43" s="1">
        <f t="shared" si="9"/>
        <v>1344000</v>
      </c>
      <c r="E43" s="6">
        <f t="shared" si="10"/>
        <v>0</v>
      </c>
      <c r="F43" s="6">
        <f t="shared" si="11"/>
        <v>1.1433987893369313</v>
      </c>
    </row>
    <row r="44" spans="1:6" x14ac:dyDescent="0.3">
      <c r="A44" t="s">
        <v>375</v>
      </c>
      <c r="B44" s="1">
        <v>39206087.060000002</v>
      </c>
      <c r="C44" s="1">
        <v>20540410.350000001</v>
      </c>
      <c r="D44" s="1">
        <f t="shared" si="9"/>
        <v>18665676.710000001</v>
      </c>
      <c r="E44" s="6">
        <f t="shared" si="10"/>
        <v>52.390870628240663</v>
      </c>
      <c r="F44" s="6">
        <f t="shared" si="11"/>
        <v>33.354309880239832</v>
      </c>
    </row>
    <row r="45" spans="1:6" x14ac:dyDescent="0.3">
      <c r="A45" t="s">
        <v>376</v>
      </c>
      <c r="B45" s="1">
        <v>4990.5600000000004</v>
      </c>
      <c r="C45" s="1">
        <v>0</v>
      </c>
      <c r="D45" s="1">
        <f t="shared" si="9"/>
        <v>4990.5600000000004</v>
      </c>
      <c r="E45" s="123">
        <f t="shared" si="10"/>
        <v>0</v>
      </c>
      <c r="F45" s="6">
        <f t="shared" si="11"/>
        <v>4.2456847188343128E-3</v>
      </c>
    </row>
    <row r="46" spans="1:6" x14ac:dyDescent="0.3">
      <c r="A46" t="s">
        <v>377</v>
      </c>
      <c r="B46" s="1">
        <v>0</v>
      </c>
      <c r="C46" s="1">
        <v>0</v>
      </c>
      <c r="D46" s="1">
        <f t="shared" si="9"/>
        <v>0</v>
      </c>
      <c r="E46" s="123" t="str">
        <f t="shared" si="10"/>
        <v>-</v>
      </c>
      <c r="F46" s="6">
        <f t="shared" si="11"/>
        <v>0</v>
      </c>
    </row>
    <row r="47" spans="1:6" x14ac:dyDescent="0.3">
      <c r="A47" t="s">
        <v>378</v>
      </c>
      <c r="B47" s="1">
        <v>11521526.65</v>
      </c>
      <c r="C47" s="1">
        <v>9652</v>
      </c>
      <c r="D47" s="1">
        <f t="shared" si="9"/>
        <v>11511874.65</v>
      </c>
      <c r="E47" s="123">
        <f t="shared" si="10"/>
        <v>8.3773620399515372E-2</v>
      </c>
      <c r="F47" s="6">
        <f t="shared" si="11"/>
        <v>9.8018598384845177</v>
      </c>
    </row>
    <row r="48" spans="1:6" x14ac:dyDescent="0.3">
      <c r="A48" t="s">
        <v>379</v>
      </c>
      <c r="B48" s="1">
        <v>4842.49</v>
      </c>
      <c r="C48" s="1">
        <v>0</v>
      </c>
      <c r="D48" s="1">
        <f t="shared" si="9"/>
        <v>4842.49</v>
      </c>
      <c r="E48" s="123">
        <f t="shared" si="10"/>
        <v>0</v>
      </c>
      <c r="F48" s="6">
        <f t="shared" si="11"/>
        <v>4.1197151810834793E-3</v>
      </c>
    </row>
    <row r="49" spans="1:8" x14ac:dyDescent="0.3">
      <c r="A49" t="s">
        <v>380</v>
      </c>
      <c r="B49" s="1">
        <v>11537428.01</v>
      </c>
      <c r="C49" s="1">
        <v>5949669.3899999997</v>
      </c>
      <c r="D49" s="1">
        <f t="shared" si="9"/>
        <v>5587758.6200000001</v>
      </c>
      <c r="E49" s="6">
        <f t="shared" si="10"/>
        <v>51.568420490625442</v>
      </c>
      <c r="F49" s="6">
        <f t="shared" si="11"/>
        <v>9.8153878115297619</v>
      </c>
      <c r="H49" s="22"/>
    </row>
    <row r="50" spans="1:8" x14ac:dyDescent="0.3">
      <c r="A50" s="4" t="s">
        <v>207</v>
      </c>
      <c r="B50" s="3">
        <f>SUM(B41:B49)</f>
        <v>94009192.170000017</v>
      </c>
      <c r="C50" s="3">
        <f>SUM(C41:C49)</f>
        <v>30555331.560000002</v>
      </c>
      <c r="D50" s="3">
        <f t="shared" si="9"/>
        <v>63453860.610000014</v>
      </c>
      <c r="E50" s="124">
        <f t="shared" si="10"/>
        <v>32.502493484621972</v>
      </c>
      <c r="F50" s="124">
        <f t="shared" si="11"/>
        <v>79.977675977470938</v>
      </c>
      <c r="H50" s="22"/>
    </row>
    <row r="51" spans="1:8" x14ac:dyDescent="0.3">
      <c r="A51" s="127" t="s">
        <v>381</v>
      </c>
      <c r="B51" s="129">
        <v>1336503084.46</v>
      </c>
      <c r="C51" s="127"/>
      <c r="D51" s="127"/>
      <c r="E51" s="127"/>
      <c r="F51" s="128">
        <f>B50/B51*100</f>
        <v>7.0339674680199815</v>
      </c>
      <c r="H51" s="22"/>
    </row>
    <row r="52" spans="1:8" x14ac:dyDescent="0.3">
      <c r="H52" s="7"/>
    </row>
    <row r="53" spans="1:8" x14ac:dyDescent="0.3">
      <c r="A53" s="13">
        <v>2019</v>
      </c>
      <c r="B53" s="13" t="s">
        <v>367</v>
      </c>
      <c r="C53" s="13" t="s">
        <v>368</v>
      </c>
      <c r="D53" s="13" t="s">
        <v>369</v>
      </c>
      <c r="H53" s="32"/>
    </row>
    <row r="54" spans="1:8" x14ac:dyDescent="0.3">
      <c r="A54" t="s">
        <v>372</v>
      </c>
      <c r="B54" s="1">
        <v>25382820.5</v>
      </c>
      <c r="C54" s="1">
        <v>3288579.5</v>
      </c>
      <c r="D54" s="1">
        <f>B54-C54</f>
        <v>22094241</v>
      </c>
      <c r="E54" s="6">
        <f>IF(B54&gt;0,C54/B54*100,"-")</f>
        <v>12.955926233650828</v>
      </c>
      <c r="F54" s="6">
        <f>B54/B$63*100</f>
        <v>29.830809342611104</v>
      </c>
    </row>
    <row r="55" spans="1:8" x14ac:dyDescent="0.3">
      <c r="A55" t="s">
        <v>373</v>
      </c>
      <c r="B55" s="1">
        <v>5323078.5</v>
      </c>
      <c r="C55" s="1">
        <v>4402888.5</v>
      </c>
      <c r="D55" s="1">
        <f t="shared" ref="D55:D63" si="12">B55-C55</f>
        <v>920190</v>
      </c>
      <c r="E55" s="6">
        <f t="shared" ref="E55:E63" si="13">IF(B55&gt;0,C55/B55*100,"-")</f>
        <v>82.713198762708458</v>
      </c>
      <c r="F55" s="6">
        <f t="shared" ref="F55:F63" si="14">B55/B$63*100</f>
        <v>6.2558745136007357</v>
      </c>
      <c r="H55" s="22"/>
    </row>
    <row r="56" spans="1:8" x14ac:dyDescent="0.3">
      <c r="A56" t="s">
        <v>374</v>
      </c>
      <c r="B56" s="1">
        <v>1676387.3</v>
      </c>
      <c r="C56" s="1">
        <v>0</v>
      </c>
      <c r="D56" s="1">
        <f t="shared" si="12"/>
        <v>1676387.3</v>
      </c>
      <c r="E56" s="6">
        <f t="shared" si="13"/>
        <v>0</v>
      </c>
      <c r="F56" s="6">
        <f t="shared" si="14"/>
        <v>1.9701510291448738</v>
      </c>
      <c r="H56" s="22"/>
    </row>
    <row r="57" spans="1:8" x14ac:dyDescent="0.3">
      <c r="A57" t="s">
        <v>375</v>
      </c>
      <c r="B57" s="1">
        <v>28962072.899999999</v>
      </c>
      <c r="C57" s="1">
        <v>15167874.300000001</v>
      </c>
      <c r="D57" s="1">
        <f t="shared" si="12"/>
        <v>13794198.599999998</v>
      </c>
      <c r="E57" s="6">
        <f t="shared" si="13"/>
        <v>52.371507910954818</v>
      </c>
      <c r="F57" s="6">
        <f t="shared" si="14"/>
        <v>34.037276308466339</v>
      </c>
    </row>
    <row r="58" spans="1:8" x14ac:dyDescent="0.3">
      <c r="A58" t="s">
        <v>376</v>
      </c>
      <c r="B58" s="1">
        <v>74760</v>
      </c>
      <c r="C58" s="1">
        <v>74760</v>
      </c>
      <c r="D58" s="1">
        <f t="shared" si="12"/>
        <v>0</v>
      </c>
      <c r="E58" s="123">
        <f t="shared" si="13"/>
        <v>100</v>
      </c>
      <c r="F58" s="6">
        <f t="shared" si="14"/>
        <v>8.786065781986703E-2</v>
      </c>
      <c r="H58" s="32"/>
    </row>
    <row r="59" spans="1:8" x14ac:dyDescent="0.3">
      <c r="A59" t="s">
        <v>377</v>
      </c>
      <c r="B59" s="1">
        <v>0</v>
      </c>
      <c r="C59" s="1">
        <v>0</v>
      </c>
      <c r="D59" s="1">
        <f t="shared" si="12"/>
        <v>0</v>
      </c>
      <c r="E59" s="123" t="str">
        <f t="shared" si="13"/>
        <v>-</v>
      </c>
      <c r="F59" s="6">
        <f t="shared" si="14"/>
        <v>0</v>
      </c>
    </row>
    <row r="60" spans="1:8" x14ac:dyDescent="0.3">
      <c r="A60" t="s">
        <v>378</v>
      </c>
      <c r="B60" s="1">
        <v>14006310.699999999</v>
      </c>
      <c r="C60" s="1">
        <v>11784.1</v>
      </c>
      <c r="D60" s="1">
        <f t="shared" si="12"/>
        <v>13994526.6</v>
      </c>
      <c r="E60" s="123">
        <f t="shared" si="13"/>
        <v>8.4134218156391466E-2</v>
      </c>
      <c r="F60" s="6">
        <f t="shared" si="14"/>
        <v>16.460723270886064</v>
      </c>
    </row>
    <row r="61" spans="1:8" x14ac:dyDescent="0.3">
      <c r="A61" t="s">
        <v>379</v>
      </c>
      <c r="B61" s="1">
        <v>2291</v>
      </c>
      <c r="C61" s="1">
        <v>0</v>
      </c>
      <c r="D61" s="1">
        <f t="shared" si="12"/>
        <v>2291</v>
      </c>
      <c r="E61" s="123">
        <f t="shared" si="13"/>
        <v>0</v>
      </c>
      <c r="F61" s="6">
        <f t="shared" si="14"/>
        <v>2.6924661191187181E-3</v>
      </c>
    </row>
    <row r="62" spans="1:8" x14ac:dyDescent="0.3">
      <c r="A62" t="s">
        <v>380</v>
      </c>
      <c r="B62" s="1">
        <v>9661557.8000000007</v>
      </c>
      <c r="C62" s="1">
        <v>4999165.17</v>
      </c>
      <c r="D62" s="1">
        <f t="shared" si="12"/>
        <v>4662392.6300000008</v>
      </c>
      <c r="E62" s="6">
        <f t="shared" si="13"/>
        <v>51.742848032229325</v>
      </c>
      <c r="F62" s="6">
        <f t="shared" si="14"/>
        <v>11.354612411351891</v>
      </c>
    </row>
    <row r="63" spans="1:8" x14ac:dyDescent="0.3">
      <c r="A63" s="4" t="s">
        <v>207</v>
      </c>
      <c r="B63" s="3">
        <f>SUM(B54:B62)</f>
        <v>85089278.700000003</v>
      </c>
      <c r="C63" s="3">
        <f>SUM(C54:C62)</f>
        <v>27945051.57</v>
      </c>
      <c r="D63" s="3">
        <f t="shared" si="12"/>
        <v>57144227.130000003</v>
      </c>
      <c r="E63" s="124">
        <f t="shared" si="13"/>
        <v>32.842036031973088</v>
      </c>
      <c r="F63" s="124">
        <f t="shared" si="14"/>
        <v>100</v>
      </c>
    </row>
    <row r="64" spans="1:8" x14ac:dyDescent="0.3">
      <c r="A64" s="127" t="s">
        <v>381</v>
      </c>
      <c r="B64" s="129">
        <v>1455358421.0999999</v>
      </c>
      <c r="C64" s="127"/>
      <c r="D64" s="127"/>
      <c r="E64" s="127"/>
      <c r="F64" s="128">
        <f>B63/B64*100</f>
        <v>5.8466201498107377</v>
      </c>
    </row>
    <row r="66" spans="1:6" x14ac:dyDescent="0.3">
      <c r="A66" s="13">
        <v>2018</v>
      </c>
      <c r="B66" s="13" t="s">
        <v>367</v>
      </c>
      <c r="C66" s="13" t="s">
        <v>368</v>
      </c>
      <c r="D66" s="13" t="s">
        <v>369</v>
      </c>
    </row>
    <row r="67" spans="1:6" x14ac:dyDescent="0.3">
      <c r="A67" t="s">
        <v>372</v>
      </c>
      <c r="B67" s="1">
        <v>28979898.379999999</v>
      </c>
      <c r="C67" s="1">
        <v>4503027.83</v>
      </c>
      <c r="D67" s="1">
        <f>B67-C67</f>
        <v>24476870.549999997</v>
      </c>
      <c r="E67" s="6">
        <f>IF(B67&gt;0,C67/B67*100,"-")</f>
        <v>15.538452795637445</v>
      </c>
      <c r="F67" s="6">
        <f>B67/B$76*100</f>
        <v>36.455549006641661</v>
      </c>
    </row>
    <row r="68" spans="1:6" x14ac:dyDescent="0.3">
      <c r="A68" t="s">
        <v>373</v>
      </c>
      <c r="B68" s="1">
        <v>6921345.9100000001</v>
      </c>
      <c r="C68" s="1">
        <v>980219.38</v>
      </c>
      <c r="D68" s="1">
        <f>B68-C68</f>
        <v>5941126.5300000003</v>
      </c>
      <c r="E68" s="6">
        <f t="shared" ref="E68:E76" si="15">IF(B68&gt;0,C68/B68*100,"-")</f>
        <v>14.16226544296498</v>
      </c>
      <c r="F68" s="6">
        <f t="shared" ref="F68:F76" si="16">B68/B$76*100</f>
        <v>8.7067753552945284</v>
      </c>
    </row>
    <row r="69" spans="1:6" x14ac:dyDescent="0.3">
      <c r="A69" t="s">
        <v>374</v>
      </c>
      <c r="B69" s="1">
        <v>1922543.99</v>
      </c>
      <c r="C69" s="1">
        <v>0</v>
      </c>
      <c r="D69" s="1">
        <f t="shared" ref="D69:D76" si="17">B69-C69</f>
        <v>1922543.99</v>
      </c>
      <c r="E69" s="6">
        <f t="shared" si="15"/>
        <v>0</v>
      </c>
      <c r="F69" s="6">
        <f t="shared" si="16"/>
        <v>2.41848317498722</v>
      </c>
    </row>
    <row r="70" spans="1:6" x14ac:dyDescent="0.3">
      <c r="A70" t="s">
        <v>375</v>
      </c>
      <c r="B70" s="1">
        <v>22391637.949999999</v>
      </c>
      <c r="C70" s="1">
        <v>13116029.810000001</v>
      </c>
      <c r="D70" s="1">
        <f t="shared" si="17"/>
        <v>9275608.1399999987</v>
      </c>
      <c r="E70" s="6">
        <f t="shared" si="15"/>
        <v>58.575571109571293</v>
      </c>
      <c r="F70" s="6">
        <f t="shared" si="16"/>
        <v>28.167781816259158</v>
      </c>
    </row>
    <row r="71" spans="1:6" x14ac:dyDescent="0.3">
      <c r="A71" t="s">
        <v>376</v>
      </c>
      <c r="B71" s="1">
        <v>134280</v>
      </c>
      <c r="C71" s="1">
        <v>90220</v>
      </c>
      <c r="D71" s="1">
        <f t="shared" si="17"/>
        <v>44060</v>
      </c>
      <c r="E71" s="123">
        <f t="shared" si="15"/>
        <v>67.187965445338108</v>
      </c>
      <c r="F71" s="6">
        <f t="shared" si="16"/>
        <v>0.16891885045360336</v>
      </c>
    </row>
    <row r="72" spans="1:6" x14ac:dyDescent="0.3">
      <c r="A72" t="s">
        <v>377</v>
      </c>
      <c r="B72" s="1">
        <v>0</v>
      </c>
      <c r="C72" s="1">
        <v>0</v>
      </c>
      <c r="D72" s="1">
        <f t="shared" si="17"/>
        <v>0</v>
      </c>
      <c r="E72" s="123" t="str">
        <f t="shared" si="15"/>
        <v>-</v>
      </c>
      <c r="F72" s="6">
        <f t="shared" si="16"/>
        <v>0</v>
      </c>
    </row>
    <row r="73" spans="1:6" x14ac:dyDescent="0.3">
      <c r="A73" t="s">
        <v>378</v>
      </c>
      <c r="B73" s="1">
        <v>9493963.5099999998</v>
      </c>
      <c r="C73" s="1">
        <v>23134.86</v>
      </c>
      <c r="D73" s="1">
        <f t="shared" si="17"/>
        <v>9470828.6500000004</v>
      </c>
      <c r="E73" s="123">
        <f t="shared" si="15"/>
        <v>0.24367968104819482</v>
      </c>
      <c r="F73" s="6">
        <f t="shared" si="16"/>
        <v>11.943025039899146</v>
      </c>
    </row>
    <row r="74" spans="1:6" x14ac:dyDescent="0.3">
      <c r="A74" t="s">
        <v>379</v>
      </c>
      <c r="B74" s="1">
        <v>0</v>
      </c>
      <c r="C74" s="1">
        <v>0</v>
      </c>
      <c r="D74" s="1">
        <f t="shared" si="17"/>
        <v>0</v>
      </c>
      <c r="E74" s="123" t="str">
        <f t="shared" si="15"/>
        <v>-</v>
      </c>
      <c r="F74" s="6">
        <f t="shared" si="16"/>
        <v>0</v>
      </c>
    </row>
    <row r="75" spans="1:6" x14ac:dyDescent="0.3">
      <c r="A75" t="s">
        <v>380</v>
      </c>
      <c r="B75" s="1">
        <v>9650122.4800000004</v>
      </c>
      <c r="C75" s="1">
        <v>7305129.9500000002</v>
      </c>
      <c r="D75" s="1">
        <f t="shared" si="17"/>
        <v>2344992.5300000003</v>
      </c>
      <c r="E75" s="6">
        <f t="shared" si="15"/>
        <v>75.699867697430506</v>
      </c>
      <c r="F75" s="6">
        <f t="shared" si="16"/>
        <v>12.139466756464671</v>
      </c>
    </row>
    <row r="76" spans="1:6" x14ac:dyDescent="0.3">
      <c r="A76" s="4" t="s">
        <v>207</v>
      </c>
      <c r="B76" s="3">
        <f>SUM(B67:B75)</f>
        <v>79493792.220000014</v>
      </c>
      <c r="C76" s="3">
        <f>SUM(C67:C75)</f>
        <v>26017761.829999998</v>
      </c>
      <c r="D76" s="3">
        <f t="shared" si="17"/>
        <v>53476030.390000015</v>
      </c>
      <c r="E76" s="124">
        <f t="shared" si="15"/>
        <v>32.729300116914203</v>
      </c>
      <c r="F76" s="124">
        <f t="shared" si="16"/>
        <v>100</v>
      </c>
    </row>
    <row r="77" spans="1:6" x14ac:dyDescent="0.3">
      <c r="A77" s="127" t="s">
        <v>381</v>
      </c>
      <c r="B77" s="129">
        <v>1371493709.74</v>
      </c>
      <c r="C77" s="127"/>
      <c r="D77" s="127"/>
      <c r="E77" s="127"/>
      <c r="F77" s="128">
        <f>B76/B77*100</f>
        <v>5.7961470516018627</v>
      </c>
    </row>
    <row r="79" spans="1:6" x14ac:dyDescent="0.3">
      <c r="A79" s="13">
        <v>2017</v>
      </c>
      <c r="B79" s="13" t="s">
        <v>367</v>
      </c>
      <c r="C79" s="13" t="s">
        <v>368</v>
      </c>
      <c r="D79" s="13" t="s">
        <v>369</v>
      </c>
    </row>
    <row r="80" spans="1:6" x14ac:dyDescent="0.3">
      <c r="A80" t="s">
        <v>372</v>
      </c>
      <c r="B80" s="1">
        <v>30106659.59</v>
      </c>
      <c r="C80" s="1">
        <v>5317425.0599999996</v>
      </c>
      <c r="D80" s="1">
        <f>B80-C80</f>
        <v>24789234.530000001</v>
      </c>
      <c r="E80" s="6">
        <f>IF(B80&gt;0,C80/B80*100,"-")</f>
        <v>17.661956299416875</v>
      </c>
      <c r="F80" s="6">
        <f>B80/B$89*100</f>
        <v>40.398334857750449</v>
      </c>
    </row>
    <row r="81" spans="1:6" x14ac:dyDescent="0.3">
      <c r="A81" t="s">
        <v>373</v>
      </c>
      <c r="B81" s="1">
        <v>5601400.6500000004</v>
      </c>
      <c r="C81" s="1">
        <v>3228218.67</v>
      </c>
      <c r="D81" s="1">
        <f>B81-C81</f>
        <v>2373181.9800000004</v>
      </c>
      <c r="E81" s="6">
        <f t="shared" ref="E81:E89" si="18">IF(B81&gt;0,C81/B81*100,"-")</f>
        <v>57.632347188019835</v>
      </c>
      <c r="F81" s="6">
        <f t="shared" ref="F81:F89" si="19">B81/B$89*100</f>
        <v>7.5161861931133309</v>
      </c>
    </row>
    <row r="82" spans="1:6" x14ac:dyDescent="0.3">
      <c r="A82" t="s">
        <v>374</v>
      </c>
      <c r="B82" s="1">
        <v>1100556.51</v>
      </c>
      <c r="C82" s="1">
        <v>38577.71</v>
      </c>
      <c r="D82" s="1">
        <f t="shared" ref="D82:D89" si="20">B82-C82</f>
        <v>1061978.8</v>
      </c>
      <c r="E82" s="6">
        <f t="shared" si="18"/>
        <v>3.5052911549267014</v>
      </c>
      <c r="F82" s="6">
        <f t="shared" si="19"/>
        <v>1.4767712866964788</v>
      </c>
    </row>
    <row r="83" spans="1:6" x14ac:dyDescent="0.3">
      <c r="A83" t="s">
        <v>375</v>
      </c>
      <c r="B83" s="1">
        <v>18723833.460000001</v>
      </c>
      <c r="C83" s="1">
        <v>10881101.210000001</v>
      </c>
      <c r="D83" s="1">
        <f t="shared" si="20"/>
        <v>7842732.25</v>
      </c>
      <c r="E83" s="6">
        <f t="shared" si="18"/>
        <v>58.113640207521911</v>
      </c>
      <c r="F83" s="6">
        <f t="shared" si="19"/>
        <v>25.124397865417002</v>
      </c>
    </row>
    <row r="84" spans="1:6" x14ac:dyDescent="0.3">
      <c r="A84" t="s">
        <v>376</v>
      </c>
      <c r="B84" s="1">
        <v>85700</v>
      </c>
      <c r="C84" s="1">
        <v>37400</v>
      </c>
      <c r="D84" s="1">
        <f t="shared" si="20"/>
        <v>48300</v>
      </c>
      <c r="E84" s="123">
        <f t="shared" si="18"/>
        <v>43.64060676779463</v>
      </c>
      <c r="F84" s="6">
        <f t="shared" si="19"/>
        <v>0.11499572999653443</v>
      </c>
    </row>
    <row r="85" spans="1:6" x14ac:dyDescent="0.3">
      <c r="A85" t="s">
        <v>377</v>
      </c>
      <c r="B85" s="1">
        <v>0</v>
      </c>
      <c r="C85" s="1">
        <v>0</v>
      </c>
      <c r="D85" s="1">
        <f t="shared" si="20"/>
        <v>0</v>
      </c>
      <c r="E85" s="123" t="str">
        <f t="shared" si="18"/>
        <v>-</v>
      </c>
      <c r="F85" s="6">
        <f t="shared" si="19"/>
        <v>0</v>
      </c>
    </row>
    <row r="86" spans="1:6" x14ac:dyDescent="0.3">
      <c r="A86" t="s">
        <v>378</v>
      </c>
      <c r="B86" s="1">
        <v>9401930.3800000008</v>
      </c>
      <c r="C86" s="1">
        <v>245111.38</v>
      </c>
      <c r="D86" s="1">
        <f t="shared" si="20"/>
        <v>9156819</v>
      </c>
      <c r="E86" s="123">
        <f t="shared" si="18"/>
        <v>2.6070324932569857</v>
      </c>
      <c r="F86" s="6">
        <f t="shared" si="19"/>
        <v>12.615890868432839</v>
      </c>
    </row>
    <row r="87" spans="1:6" x14ac:dyDescent="0.3">
      <c r="A87" t="s">
        <v>379</v>
      </c>
      <c r="B87" s="1">
        <v>0</v>
      </c>
      <c r="C87" s="1">
        <v>0</v>
      </c>
      <c r="D87" s="1">
        <f t="shared" si="20"/>
        <v>0</v>
      </c>
      <c r="E87" s="123" t="str">
        <f t="shared" si="18"/>
        <v>-</v>
      </c>
      <c r="F87" s="6">
        <f t="shared" si="19"/>
        <v>0</v>
      </c>
    </row>
    <row r="88" spans="1:6" x14ac:dyDescent="0.3">
      <c r="A88" t="s">
        <v>380</v>
      </c>
      <c r="B88" s="1">
        <v>9504425.6699999999</v>
      </c>
      <c r="C88" s="1">
        <v>8594309.6699999999</v>
      </c>
      <c r="D88" s="1">
        <f t="shared" si="20"/>
        <v>910116</v>
      </c>
      <c r="E88" s="6">
        <f t="shared" si="18"/>
        <v>90.424292518034918</v>
      </c>
      <c r="F88" s="6">
        <f t="shared" si="19"/>
        <v>12.753423198593358</v>
      </c>
    </row>
    <row r="89" spans="1:6" x14ac:dyDescent="0.3">
      <c r="A89" s="4" t="s">
        <v>207</v>
      </c>
      <c r="B89" s="3">
        <f>SUM(B80:B88)</f>
        <v>74524506.260000005</v>
      </c>
      <c r="C89" s="3">
        <f>SUM(C80:C88)</f>
        <v>28342143.700000003</v>
      </c>
      <c r="D89" s="3">
        <f t="shared" si="20"/>
        <v>46182362.560000002</v>
      </c>
      <c r="E89" s="124">
        <f t="shared" si="18"/>
        <v>38.0306359912273</v>
      </c>
      <c r="F89" s="124">
        <f t="shared" si="19"/>
        <v>100</v>
      </c>
    </row>
    <row r="90" spans="1:6" x14ac:dyDescent="0.3">
      <c r="A90" s="127" t="s">
        <v>381</v>
      </c>
      <c r="B90" s="129">
        <v>1365896429.99</v>
      </c>
      <c r="C90" s="127"/>
      <c r="D90" s="127"/>
      <c r="E90" s="127"/>
      <c r="F90" s="128">
        <f>B89/B90*100</f>
        <v>5.4560876376655889</v>
      </c>
    </row>
    <row r="92" spans="1:6" x14ac:dyDescent="0.3">
      <c r="A92" s="13">
        <v>2016</v>
      </c>
      <c r="B92" s="13" t="s">
        <v>367</v>
      </c>
      <c r="C92" s="13" t="s">
        <v>368</v>
      </c>
      <c r="D92" s="13" t="s">
        <v>369</v>
      </c>
    </row>
    <row r="93" spans="1:6" x14ac:dyDescent="0.3">
      <c r="A93" t="s">
        <v>372</v>
      </c>
      <c r="B93" s="1">
        <v>29643266.390000001</v>
      </c>
      <c r="C93" s="1">
        <v>4354799.71</v>
      </c>
      <c r="D93" s="1">
        <f>B93-C93</f>
        <v>25288466.68</v>
      </c>
      <c r="E93" s="6">
        <f>IF(B93&gt;0,C93/B93*100,"-")</f>
        <v>14.690687769378441</v>
      </c>
      <c r="F93" s="6">
        <f>B93/B$102*100</f>
        <v>32.528390339987197</v>
      </c>
    </row>
    <row r="94" spans="1:6" x14ac:dyDescent="0.3">
      <c r="A94" t="s">
        <v>373</v>
      </c>
      <c r="B94" s="1">
        <v>17924387.620000001</v>
      </c>
      <c r="C94" s="1">
        <v>1428700</v>
      </c>
      <c r="D94" s="1">
        <f>B94-C94</f>
        <v>16495687.620000001</v>
      </c>
      <c r="E94" s="6">
        <f t="shared" ref="E94:E102" si="21">IF(B94&gt;0,C94/B94*100,"-")</f>
        <v>7.9707046638840762</v>
      </c>
      <c r="F94" s="6">
        <f t="shared" ref="F94:F102" si="22">B94/B$102*100</f>
        <v>19.668934908781964</v>
      </c>
    </row>
    <row r="95" spans="1:6" x14ac:dyDescent="0.3">
      <c r="A95" t="s">
        <v>374</v>
      </c>
      <c r="B95" s="1">
        <v>2491093.7599999998</v>
      </c>
      <c r="C95" s="1">
        <v>0</v>
      </c>
      <c r="D95" s="1">
        <f t="shared" ref="D95:D102" si="23">B95-C95</f>
        <v>2491093.7599999998</v>
      </c>
      <c r="E95" s="123">
        <f t="shared" si="21"/>
        <v>0</v>
      </c>
      <c r="F95" s="6">
        <f t="shared" si="22"/>
        <v>2.7335472795981026</v>
      </c>
    </row>
    <row r="96" spans="1:6" x14ac:dyDescent="0.3">
      <c r="A96" t="s">
        <v>375</v>
      </c>
      <c r="B96" s="1">
        <v>21215871.109999999</v>
      </c>
      <c r="C96" s="1">
        <v>11863644.84</v>
      </c>
      <c r="D96" s="1">
        <f t="shared" si="23"/>
        <v>9352226.2699999996</v>
      </c>
      <c r="E96" s="6">
        <f t="shared" si="21"/>
        <v>55.918726025857723</v>
      </c>
      <c r="F96" s="6">
        <f t="shared" si="22"/>
        <v>23.280772361231591</v>
      </c>
    </row>
    <row r="97" spans="1:9" x14ac:dyDescent="0.3">
      <c r="A97" t="s">
        <v>376</v>
      </c>
      <c r="B97" s="1">
        <v>122272</v>
      </c>
      <c r="C97" s="1">
        <v>110352</v>
      </c>
      <c r="D97" s="1">
        <f t="shared" si="23"/>
        <v>11920</v>
      </c>
      <c r="E97" s="123">
        <f t="shared" si="21"/>
        <v>90.251243130070662</v>
      </c>
      <c r="F97" s="6">
        <f t="shared" si="22"/>
        <v>0.13417250620507323</v>
      </c>
    </row>
    <row r="98" spans="1:9" x14ac:dyDescent="0.3">
      <c r="A98" t="s">
        <v>377</v>
      </c>
      <c r="B98" s="1">
        <v>0</v>
      </c>
      <c r="C98" s="1">
        <v>0</v>
      </c>
      <c r="D98" s="1">
        <f t="shared" si="23"/>
        <v>0</v>
      </c>
      <c r="E98" s="123" t="str">
        <f t="shared" si="21"/>
        <v>-</v>
      </c>
      <c r="F98" s="6">
        <f t="shared" si="22"/>
        <v>0</v>
      </c>
    </row>
    <row r="99" spans="1:9" x14ac:dyDescent="0.3">
      <c r="A99" t="s">
        <v>378</v>
      </c>
      <c r="B99" s="1">
        <v>8578395.0500000007</v>
      </c>
      <c r="C99" s="1">
        <v>175817.24</v>
      </c>
      <c r="D99" s="1">
        <f t="shared" si="23"/>
        <v>8402577.8100000005</v>
      </c>
      <c r="E99" s="6">
        <f t="shared" si="21"/>
        <v>2.0495353615126404</v>
      </c>
      <c r="F99" s="6">
        <f t="shared" si="22"/>
        <v>9.4133142753508139</v>
      </c>
    </row>
    <row r="100" spans="1:9" x14ac:dyDescent="0.3">
      <c r="A100" t="s">
        <v>379</v>
      </c>
      <c r="B100" s="1">
        <v>14613.16</v>
      </c>
      <c r="C100" s="1">
        <v>0</v>
      </c>
      <c r="D100" s="1">
        <f t="shared" si="23"/>
        <v>14613.16</v>
      </c>
      <c r="E100" s="123">
        <f t="shared" si="21"/>
        <v>0</v>
      </c>
      <c r="F100" s="6">
        <f t="shared" si="22"/>
        <v>1.6035431666904344E-2</v>
      </c>
    </row>
    <row r="101" spans="1:9" x14ac:dyDescent="0.3">
      <c r="A101" t="s">
        <v>380</v>
      </c>
      <c r="B101" s="1">
        <v>11140544.439999999</v>
      </c>
      <c r="C101" s="1">
        <v>8292901.5499999998</v>
      </c>
      <c r="D101" s="1">
        <f t="shared" si="23"/>
        <v>2847642.8899999997</v>
      </c>
      <c r="E101" s="6">
        <f t="shared" si="21"/>
        <v>74.438925266743965</v>
      </c>
      <c r="F101" s="6">
        <f t="shared" si="22"/>
        <v>12.224832897178374</v>
      </c>
    </row>
    <row r="102" spans="1:9" x14ac:dyDescent="0.3">
      <c r="A102" s="4" t="s">
        <v>207</v>
      </c>
      <c r="B102" s="3">
        <f>SUM(B93:B101)</f>
        <v>91130443.529999986</v>
      </c>
      <c r="C102" s="3">
        <f>SUM(C93:C101)</f>
        <v>26226215.34</v>
      </c>
      <c r="D102" s="3">
        <f t="shared" si="23"/>
        <v>64904228.189999983</v>
      </c>
      <c r="E102" s="124">
        <f t="shared" si="21"/>
        <v>28.778764070610908</v>
      </c>
      <c r="F102" s="124">
        <f t="shared" si="22"/>
        <v>100</v>
      </c>
    </row>
    <row r="103" spans="1:9" x14ac:dyDescent="0.3">
      <c r="A103" s="127" t="s">
        <v>381</v>
      </c>
      <c r="B103" s="129">
        <v>1471178424.54</v>
      </c>
      <c r="C103" s="127"/>
      <c r="D103" s="127"/>
      <c r="E103" s="127"/>
      <c r="F103" s="128">
        <f>B102/B103*100</f>
        <v>6.1943841759706446</v>
      </c>
    </row>
    <row r="105" spans="1:9" x14ac:dyDescent="0.3">
      <c r="B105" s="130">
        <v>2016</v>
      </c>
      <c r="C105" s="130">
        <v>2017</v>
      </c>
      <c r="D105" s="130">
        <v>2018</v>
      </c>
      <c r="E105" s="130">
        <v>2019</v>
      </c>
      <c r="F105" s="130">
        <v>2020</v>
      </c>
      <c r="G105" s="130">
        <v>2021</v>
      </c>
      <c r="H105" s="130">
        <v>2022</v>
      </c>
      <c r="I105" s="130">
        <v>2023</v>
      </c>
    </row>
    <row r="106" spans="1:9" x14ac:dyDescent="0.3">
      <c r="A106" t="s">
        <v>375</v>
      </c>
      <c r="B106" s="1">
        <f>B96</f>
        <v>21215871.109999999</v>
      </c>
      <c r="C106" s="1">
        <f>B83</f>
        <v>18723833.460000001</v>
      </c>
      <c r="D106" s="1">
        <f>B70</f>
        <v>22391637.949999999</v>
      </c>
      <c r="E106" s="1">
        <f>B57</f>
        <v>28962072.899999999</v>
      </c>
      <c r="F106" s="1">
        <f>B44</f>
        <v>39206087.060000002</v>
      </c>
      <c r="G106" s="1">
        <f>B31</f>
        <v>32943225.5</v>
      </c>
      <c r="H106" s="1">
        <f>B18</f>
        <v>30178011.609999999</v>
      </c>
      <c r="I106" s="1">
        <f>B5</f>
        <v>41222856.299999997</v>
      </c>
    </row>
    <row r="107" spans="1:9" x14ac:dyDescent="0.3">
      <c r="A107" t="s">
        <v>372</v>
      </c>
      <c r="B107" s="1">
        <f>B93</f>
        <v>29643266.390000001</v>
      </c>
      <c r="C107" s="1">
        <f>B80</f>
        <v>30106659.59</v>
      </c>
      <c r="D107" s="1">
        <f>B67</f>
        <v>28979898.379999999</v>
      </c>
      <c r="E107" s="1">
        <f>B54</f>
        <v>25382820.5</v>
      </c>
      <c r="F107" s="1">
        <f>B41</f>
        <v>22252495.559999999</v>
      </c>
      <c r="G107" s="1">
        <f>B28</f>
        <v>23363908.699999999</v>
      </c>
      <c r="H107" s="1">
        <f>B15</f>
        <v>25239379.859999999</v>
      </c>
      <c r="I107" s="1">
        <f>B2</f>
        <v>31265057.899999999</v>
      </c>
    </row>
    <row r="108" spans="1:9" x14ac:dyDescent="0.3">
      <c r="A108" t="s">
        <v>378</v>
      </c>
      <c r="B108" s="1">
        <f>B99</f>
        <v>8578395.0500000007</v>
      </c>
      <c r="C108" s="1">
        <f>B86</f>
        <v>9401930.3800000008</v>
      </c>
      <c r="D108" s="1">
        <f>B73</f>
        <v>9493963.5099999998</v>
      </c>
      <c r="E108" s="1">
        <f>B60</f>
        <v>14006310.699999999</v>
      </c>
      <c r="F108" s="1">
        <f>B47</f>
        <v>11521526.65</v>
      </c>
      <c r="G108" s="1">
        <f>B34</f>
        <v>14269556.6</v>
      </c>
      <c r="H108" s="1">
        <f>B21</f>
        <v>19523421.82</v>
      </c>
      <c r="I108" s="1">
        <f>B8</f>
        <v>17291163.460000001</v>
      </c>
    </row>
    <row r="109" spans="1:9" x14ac:dyDescent="0.3">
      <c r="A109" t="s">
        <v>380</v>
      </c>
      <c r="B109" s="1">
        <f>B101</f>
        <v>11140544.439999999</v>
      </c>
      <c r="C109" s="1">
        <f>B88</f>
        <v>9504425.6699999999</v>
      </c>
      <c r="D109" s="1">
        <f>B75</f>
        <v>9650122.4800000004</v>
      </c>
      <c r="E109" s="1">
        <f>B62</f>
        <v>9661557.8000000007</v>
      </c>
      <c r="F109" s="1">
        <f>B49</f>
        <v>11537428.01</v>
      </c>
      <c r="G109" s="1">
        <f>B36</f>
        <v>11398672.699999999</v>
      </c>
      <c r="H109" s="1">
        <f>B23</f>
        <v>11353782.539999999</v>
      </c>
      <c r="I109" s="1">
        <f>B10</f>
        <v>13638045.42</v>
      </c>
    </row>
    <row r="110" spans="1:9" x14ac:dyDescent="0.3">
      <c r="A110" t="s">
        <v>373</v>
      </c>
      <c r="B110" s="1">
        <f>B94</f>
        <v>17924387.620000001</v>
      </c>
      <c r="C110" s="1">
        <f>B81</f>
        <v>5601400.6500000004</v>
      </c>
      <c r="D110" s="1">
        <f>B68</f>
        <v>6921345.9100000001</v>
      </c>
      <c r="E110" s="1">
        <f>B55</f>
        <v>5323078.5</v>
      </c>
      <c r="F110" s="1">
        <f>B42</f>
        <v>8137821.8399999999</v>
      </c>
      <c r="G110" s="1">
        <f>B29</f>
        <v>9623706.5999999996</v>
      </c>
      <c r="H110" s="1">
        <f>B16</f>
        <v>11495558.18</v>
      </c>
      <c r="I110" s="1">
        <f>B3</f>
        <v>12385688.57</v>
      </c>
    </row>
    <row r="111" spans="1:9" x14ac:dyDescent="0.3">
      <c r="A111" t="s">
        <v>376</v>
      </c>
      <c r="B111" s="1">
        <f>B97</f>
        <v>122272</v>
      </c>
      <c r="C111" s="1">
        <f>B84</f>
        <v>85700</v>
      </c>
      <c r="D111" s="1">
        <f>B71</f>
        <v>134280</v>
      </c>
      <c r="E111" s="1">
        <f>B58</f>
        <v>74760</v>
      </c>
      <c r="F111" s="1">
        <f>B45</f>
        <v>4990.5600000000004</v>
      </c>
      <c r="G111" s="1">
        <f>B32</f>
        <v>10069.6</v>
      </c>
      <c r="H111" s="1">
        <f>B19</f>
        <v>49120</v>
      </c>
      <c r="I111" s="1">
        <f>B6</f>
        <v>6000</v>
      </c>
    </row>
    <row r="112" spans="1:9" x14ac:dyDescent="0.3">
      <c r="A112" t="s">
        <v>374</v>
      </c>
      <c r="B112" s="1">
        <f>B95</f>
        <v>2491093.7599999998</v>
      </c>
      <c r="C112" s="1">
        <f>B82</f>
        <v>1100556.51</v>
      </c>
      <c r="D112" s="1">
        <f>B69</f>
        <v>1922543.99</v>
      </c>
      <c r="E112" s="1">
        <f>B56</f>
        <v>1676387.3</v>
      </c>
      <c r="F112" s="1">
        <f>B43</f>
        <v>1344000</v>
      </c>
      <c r="G112" s="1">
        <f>B30</f>
        <v>5653.8</v>
      </c>
      <c r="H112" s="1">
        <f>B17</f>
        <v>1846884.77</v>
      </c>
      <c r="I112" s="1">
        <f>B4</f>
        <v>1707611.57</v>
      </c>
    </row>
    <row r="113" spans="1:9" x14ac:dyDescent="0.3">
      <c r="A113" t="s">
        <v>379</v>
      </c>
      <c r="B113" s="1">
        <f>B100</f>
        <v>14613.16</v>
      </c>
      <c r="C113" s="1">
        <f>B87</f>
        <v>0</v>
      </c>
      <c r="D113" s="1">
        <f>B74</f>
        <v>0</v>
      </c>
      <c r="E113" s="1">
        <f>B61</f>
        <v>2291</v>
      </c>
      <c r="F113" s="1">
        <f>B48</f>
        <v>4842.49</v>
      </c>
      <c r="G113" s="1">
        <f t="shared" ref="G113" si="24">B35</f>
        <v>2625.1</v>
      </c>
      <c r="H113" s="1">
        <f>B22</f>
        <v>810.49</v>
      </c>
      <c r="I113" s="1">
        <f>B9</f>
        <v>2153.73</v>
      </c>
    </row>
    <row r="114" spans="1:9" x14ac:dyDescent="0.3">
      <c r="A114" t="s">
        <v>377</v>
      </c>
      <c r="B114" s="1">
        <f>B98</f>
        <v>0</v>
      </c>
      <c r="C114" s="1">
        <f>B85</f>
        <v>0</v>
      </c>
      <c r="D114" s="1">
        <f>B72</f>
        <v>0</v>
      </c>
      <c r="E114" s="1">
        <f>B59</f>
        <v>0</v>
      </c>
      <c r="F114" s="1">
        <f>B46</f>
        <v>0</v>
      </c>
      <c r="G114" s="1">
        <f>B33</f>
        <v>0</v>
      </c>
      <c r="H114" s="1">
        <f>B20</f>
        <v>147471.01</v>
      </c>
      <c r="I114" s="1">
        <f>B7</f>
        <v>25714.03</v>
      </c>
    </row>
    <row r="115" spans="1:9" x14ac:dyDescent="0.3">
      <c r="B115" s="3">
        <f>SUM(B106:B114)</f>
        <v>91130443.530000001</v>
      </c>
      <c r="C115" s="3">
        <f t="shared" ref="C115:I115" si="25">SUM(C106:C114)</f>
        <v>74524506.260000005</v>
      </c>
      <c r="D115" s="3">
        <f t="shared" si="25"/>
        <v>79493792.219999984</v>
      </c>
      <c r="E115" s="3">
        <f t="shared" si="25"/>
        <v>85089278.699999988</v>
      </c>
      <c r="F115" s="3">
        <f t="shared" si="25"/>
        <v>94009192.170000017</v>
      </c>
      <c r="G115" s="3">
        <f t="shared" ref="G115:H115" si="26">SUM(G106:G114)</f>
        <v>91617418.599999979</v>
      </c>
      <c r="H115" s="3">
        <f t="shared" si="26"/>
        <v>99834440.279999986</v>
      </c>
      <c r="I115" s="3">
        <f t="shared" si="25"/>
        <v>117544290.98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K1" sqref="K1:K1048576"/>
    </sheetView>
  </sheetViews>
  <sheetFormatPr defaultRowHeight="14.4" x14ac:dyDescent="0.3"/>
  <cols>
    <col min="1" max="1" width="40.77734375" bestFit="1" customWidth="1"/>
    <col min="2" max="9" width="12.5546875" bestFit="1" customWidth="1"/>
  </cols>
  <sheetData>
    <row r="1" spans="1:10" x14ac:dyDescent="0.3">
      <c r="B1" s="13">
        <v>2016</v>
      </c>
      <c r="C1" s="13">
        <v>2017</v>
      </c>
      <c r="D1" s="13">
        <v>2018</v>
      </c>
      <c r="E1" s="13">
        <v>2019</v>
      </c>
      <c r="F1" s="13">
        <v>2020</v>
      </c>
      <c r="G1" s="13">
        <v>2021</v>
      </c>
      <c r="H1" s="13">
        <v>2022</v>
      </c>
      <c r="I1" s="13">
        <v>2023</v>
      </c>
    </row>
    <row r="2" spans="1:10" x14ac:dyDescent="0.3">
      <c r="A2" s="5" t="s">
        <v>39</v>
      </c>
      <c r="B2" s="1">
        <v>13062331.029999999</v>
      </c>
      <c r="C2" s="1">
        <v>11641865.189999999</v>
      </c>
      <c r="D2" s="1">
        <v>10367412.66</v>
      </c>
      <c r="E2" s="1">
        <v>12723244.310000001</v>
      </c>
      <c r="F2" s="1">
        <v>9938327.4700000007</v>
      </c>
      <c r="G2" s="1">
        <v>9066971.4700000007</v>
      </c>
      <c r="H2" s="1">
        <v>5845224.7999999998</v>
      </c>
      <c r="I2" s="1">
        <v>7449292.4199999999</v>
      </c>
      <c r="J2" s="6">
        <f>I2/I$15*100</f>
        <v>6.3374344750333185</v>
      </c>
    </row>
    <row r="3" spans="1:10" x14ac:dyDescent="0.3">
      <c r="A3" s="5" t="s">
        <v>40</v>
      </c>
      <c r="B3" s="1">
        <v>555265.9</v>
      </c>
      <c r="C3" s="1">
        <v>532338.26</v>
      </c>
      <c r="D3" s="1">
        <v>476773.12</v>
      </c>
      <c r="E3" s="1">
        <v>687773.93</v>
      </c>
      <c r="F3" s="1">
        <v>576889.36</v>
      </c>
      <c r="G3" s="1">
        <v>539204.06999999995</v>
      </c>
      <c r="H3" s="1">
        <v>337419.5</v>
      </c>
      <c r="I3" s="1">
        <v>469701.89</v>
      </c>
      <c r="J3" s="6">
        <f t="shared" ref="J3:J17" si="0">I3/I$15*100</f>
        <v>0.39959566396969387</v>
      </c>
    </row>
    <row r="4" spans="1:10" x14ac:dyDescent="0.3">
      <c r="A4" s="5" t="s">
        <v>41</v>
      </c>
      <c r="B4" s="1">
        <v>66593596.310000002</v>
      </c>
      <c r="C4" s="1">
        <v>55053306.859999999</v>
      </c>
      <c r="D4" s="1">
        <v>56780327.079999998</v>
      </c>
      <c r="E4" s="1">
        <v>63689161.890000001</v>
      </c>
      <c r="F4" s="1">
        <v>59933893.509999998</v>
      </c>
      <c r="G4" s="1">
        <v>66090760.07</v>
      </c>
      <c r="H4" s="1">
        <v>69314345.299999997</v>
      </c>
      <c r="I4" s="1">
        <v>80806877.870000005</v>
      </c>
      <c r="J4" s="6">
        <f t="shared" si="0"/>
        <v>68.745897564475655</v>
      </c>
    </row>
    <row r="5" spans="1:10" x14ac:dyDescent="0.3">
      <c r="A5" s="5" t="s">
        <v>42</v>
      </c>
      <c r="B5" s="1">
        <v>8257658.4800000004</v>
      </c>
      <c r="C5" s="1">
        <v>6827812.3799999999</v>
      </c>
      <c r="D5" s="1">
        <v>10747776.34</v>
      </c>
      <c r="E5" s="1">
        <v>7207252.75</v>
      </c>
      <c r="F5" s="1">
        <v>21731566.559999999</v>
      </c>
      <c r="G5" s="1">
        <v>10708522.460000001</v>
      </c>
      <c r="H5" s="1">
        <v>16192118</v>
      </c>
      <c r="I5" s="1">
        <v>12933844.1</v>
      </c>
      <c r="J5" s="6">
        <f t="shared" si="0"/>
        <v>11.003379230217719</v>
      </c>
    </row>
    <row r="6" spans="1:10" x14ac:dyDescent="0.3">
      <c r="A6" s="5" t="s">
        <v>43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153670.9</v>
      </c>
      <c r="I6" s="1">
        <v>0</v>
      </c>
      <c r="J6" s="6">
        <f t="shared" si="0"/>
        <v>0</v>
      </c>
    </row>
    <row r="7" spans="1:10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>
        <f t="shared" si="0"/>
        <v>0</v>
      </c>
    </row>
    <row r="8" spans="1:10" x14ac:dyDescent="0.3">
      <c r="A8" s="5" t="s">
        <v>45</v>
      </c>
      <c r="B8" s="1">
        <v>160978.37</v>
      </c>
      <c r="C8" s="1">
        <v>93092.9</v>
      </c>
      <c r="D8" s="1">
        <v>0</v>
      </c>
      <c r="E8" s="1">
        <v>2291</v>
      </c>
      <c r="F8" s="1">
        <v>4842.49</v>
      </c>
      <c r="G8" s="1">
        <v>1269441.6499999999</v>
      </c>
      <c r="H8" s="1">
        <v>626132.69999999995</v>
      </c>
      <c r="I8" s="1">
        <v>10862.04</v>
      </c>
      <c r="J8" s="6">
        <f t="shared" si="0"/>
        <v>9.2408060905724131E-3</v>
      </c>
    </row>
    <row r="9" spans="1:10" x14ac:dyDescent="0.3">
      <c r="A9" s="5" t="s">
        <v>46</v>
      </c>
      <c r="B9" s="1">
        <v>24494</v>
      </c>
      <c r="C9" s="1">
        <v>2641</v>
      </c>
      <c r="D9" s="1">
        <v>2827.94</v>
      </c>
      <c r="E9" s="1">
        <v>12851.18</v>
      </c>
      <c r="F9" s="1">
        <v>15753.6</v>
      </c>
      <c r="G9" s="1">
        <v>16438.96</v>
      </c>
      <c r="H9" s="1">
        <v>1927685.5</v>
      </c>
      <c r="I9" s="1">
        <v>2707554.34</v>
      </c>
      <c r="J9" s="6">
        <f t="shared" si="0"/>
        <v>2.3034332994196087</v>
      </c>
    </row>
    <row r="10" spans="1:10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22">
        <v>0</v>
      </c>
      <c r="H10" s="122">
        <v>0</v>
      </c>
      <c r="I10" s="122">
        <v>0</v>
      </c>
      <c r="J10" s="6">
        <f t="shared" si="0"/>
        <v>0</v>
      </c>
    </row>
    <row r="11" spans="1:10" x14ac:dyDescent="0.3">
      <c r="A11" s="5" t="s">
        <v>48</v>
      </c>
      <c r="B11" s="1">
        <v>2476119.44</v>
      </c>
      <c r="C11" s="1">
        <v>373449.67</v>
      </c>
      <c r="D11" s="1">
        <v>1118675.08</v>
      </c>
      <c r="E11" s="1">
        <v>766704</v>
      </c>
      <c r="F11" s="1">
        <v>1807919.18</v>
      </c>
      <c r="G11" s="122">
        <v>3916010.7</v>
      </c>
      <c r="H11" s="122">
        <v>3777388</v>
      </c>
      <c r="I11" s="122">
        <v>12002867.439999999</v>
      </c>
      <c r="J11" s="6">
        <f t="shared" si="0"/>
        <v>10.211357216865828</v>
      </c>
    </row>
    <row r="12" spans="1:10" x14ac:dyDescent="0.3">
      <c r="A12" s="5" t="s">
        <v>49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22">
        <v>0</v>
      </c>
      <c r="H12" s="122">
        <v>0</v>
      </c>
      <c r="I12" s="122">
        <v>0</v>
      </c>
      <c r="J12" s="6">
        <f t="shared" si="0"/>
        <v>0</v>
      </c>
    </row>
    <row r="13" spans="1:10" x14ac:dyDescent="0.3">
      <c r="A13" s="5" t="s">
        <v>50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22">
        <v>10069.6</v>
      </c>
      <c r="H13" s="122">
        <v>1660455.3</v>
      </c>
      <c r="I13" s="122">
        <v>1163290.8799999999</v>
      </c>
      <c r="J13" s="6">
        <f t="shared" si="0"/>
        <v>0.98966174392759942</v>
      </c>
    </row>
    <row r="14" spans="1:10" x14ac:dyDescent="0.3">
      <c r="A14" s="5" t="s">
        <v>51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22">
        <v>0</v>
      </c>
      <c r="H14" s="122">
        <v>0</v>
      </c>
      <c r="I14" s="122">
        <v>0</v>
      </c>
      <c r="J14" s="6">
        <f t="shared" si="0"/>
        <v>0</v>
      </c>
    </row>
    <row r="15" spans="1:10" x14ac:dyDescent="0.3">
      <c r="A15" s="131" t="s">
        <v>382</v>
      </c>
      <c r="B15" s="3">
        <f t="shared" ref="B15:I15" si="1">SUM(B2:B14)</f>
        <v>91130443.530000016</v>
      </c>
      <c r="C15" s="3">
        <f t="shared" si="1"/>
        <v>74524506.260000005</v>
      </c>
      <c r="D15" s="3">
        <f t="shared" si="1"/>
        <v>79493792.219999999</v>
      </c>
      <c r="E15" s="3">
        <f t="shared" si="1"/>
        <v>85089279.060000002</v>
      </c>
      <c r="F15" s="3">
        <f t="shared" si="1"/>
        <v>94009192.170000002</v>
      </c>
      <c r="G15" s="3">
        <f t="shared" ref="G15" si="2">SUM(G2:G14)</f>
        <v>91617418.979999989</v>
      </c>
      <c r="H15" s="3">
        <f t="shared" ref="H15" si="3">SUM(H2:H14)</f>
        <v>99834440</v>
      </c>
      <c r="I15" s="3">
        <f t="shared" si="1"/>
        <v>117544290.98</v>
      </c>
      <c r="J15" s="6">
        <f t="shared" si="0"/>
        <v>100</v>
      </c>
    </row>
    <row r="16" spans="1:10" x14ac:dyDescent="0.3">
      <c r="A16" s="131" t="s">
        <v>383</v>
      </c>
      <c r="B16" s="3">
        <f t="shared" ref="B16:I16" si="4">SUM(B2:B9)</f>
        <v>88654324.090000018</v>
      </c>
      <c r="C16" s="3">
        <f t="shared" si="4"/>
        <v>74151056.590000004</v>
      </c>
      <c r="D16" s="3">
        <f t="shared" si="4"/>
        <v>78375117.140000001</v>
      </c>
      <c r="E16" s="3">
        <f t="shared" si="4"/>
        <v>84322575.060000002</v>
      </c>
      <c r="F16" s="3">
        <f t="shared" si="4"/>
        <v>92201272.989999995</v>
      </c>
      <c r="G16" s="3">
        <f t="shared" ref="G16:H16" si="5">SUM(G2:G9)</f>
        <v>87691338.679999992</v>
      </c>
      <c r="H16" s="3">
        <f t="shared" si="5"/>
        <v>94396596.700000003</v>
      </c>
      <c r="I16" s="3">
        <f t="shared" si="4"/>
        <v>104378132.66000001</v>
      </c>
      <c r="J16" s="6">
        <f t="shared" si="0"/>
        <v>88.798981039206581</v>
      </c>
    </row>
    <row r="17" spans="1:10" x14ac:dyDescent="0.3">
      <c r="A17" s="131" t="s">
        <v>384</v>
      </c>
      <c r="B17" s="3">
        <f t="shared" ref="B17:I17" si="6">SUM(B10:B14)</f>
        <v>2476119.44</v>
      </c>
      <c r="C17" s="3">
        <f t="shared" si="6"/>
        <v>373449.67</v>
      </c>
      <c r="D17" s="3">
        <f t="shared" si="6"/>
        <v>1118675.08</v>
      </c>
      <c r="E17" s="3">
        <f t="shared" si="6"/>
        <v>766704</v>
      </c>
      <c r="F17" s="3">
        <f t="shared" si="6"/>
        <v>1807919.18</v>
      </c>
      <c r="G17" s="3">
        <f t="shared" ref="G17:H17" si="7">SUM(G10:G14)</f>
        <v>3926080.3000000003</v>
      </c>
      <c r="H17" s="3">
        <f t="shared" si="7"/>
        <v>5437843.2999999998</v>
      </c>
      <c r="I17" s="3">
        <f t="shared" si="6"/>
        <v>13166158.32</v>
      </c>
      <c r="J17" s="6">
        <f t="shared" si="0"/>
        <v>11.201018960793428</v>
      </c>
    </row>
    <row r="18" spans="1:10" x14ac:dyDescent="0.3">
      <c r="A18" s="132" t="s">
        <v>385</v>
      </c>
      <c r="B18" s="133">
        <f>B16/B15*100</f>
        <v>97.282884463099464</v>
      </c>
      <c r="C18" s="133">
        <f t="shared" ref="C18:I18" si="8">C16/C15*100</f>
        <v>99.498890111801458</v>
      </c>
      <c r="D18" s="133">
        <f t="shared" si="8"/>
        <v>98.592751649205439</v>
      </c>
      <c r="E18" s="133">
        <f t="shared" si="8"/>
        <v>99.098941713374529</v>
      </c>
      <c r="F18" s="133">
        <f t="shared" si="8"/>
        <v>98.076869784466723</v>
      </c>
      <c r="G18" s="133">
        <f t="shared" ref="G18:H18" si="9">G16/G15*100</f>
        <v>95.714701042978461</v>
      </c>
      <c r="H18" s="133">
        <f t="shared" si="9"/>
        <v>94.553138876724304</v>
      </c>
      <c r="I18" s="133">
        <f t="shared" si="8"/>
        <v>88.798981039206581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pane xSplit="1" topLeftCell="C1" activePane="topRight" state="frozen"/>
      <selection pane="topRight" activeCell="K2" sqref="K2:K23"/>
    </sheetView>
  </sheetViews>
  <sheetFormatPr defaultRowHeight="14.4" x14ac:dyDescent="0.3"/>
  <cols>
    <col min="1" max="1" width="36.44140625" bestFit="1" customWidth="1"/>
    <col min="2" max="2" width="14.88671875" bestFit="1" customWidth="1"/>
    <col min="3" max="3" width="12.6640625" bestFit="1" customWidth="1"/>
    <col min="4" max="11" width="13.5546875" bestFit="1" customWidth="1"/>
  </cols>
  <sheetData>
    <row r="1" spans="1:11" x14ac:dyDescent="0.3">
      <c r="A1" s="46"/>
      <c r="B1" s="74">
        <v>2014</v>
      </c>
      <c r="C1" s="74">
        <v>2015</v>
      </c>
      <c r="D1" s="74">
        <v>2016</v>
      </c>
      <c r="E1" s="74">
        <v>2017</v>
      </c>
      <c r="F1" s="74">
        <v>2018</v>
      </c>
      <c r="G1" s="74">
        <v>2019</v>
      </c>
      <c r="H1" s="74">
        <v>2020</v>
      </c>
      <c r="I1" s="74">
        <v>2021</v>
      </c>
      <c r="J1" s="74">
        <v>2022</v>
      </c>
      <c r="K1" s="74">
        <v>2023</v>
      </c>
    </row>
    <row r="2" spans="1:11" x14ac:dyDescent="0.3">
      <c r="A2" t="s">
        <v>5</v>
      </c>
      <c r="B2" s="1">
        <v>473700930.61000001</v>
      </c>
      <c r="C2" s="1">
        <v>223916686.02000001</v>
      </c>
      <c r="D2" s="1">
        <v>174600577.28</v>
      </c>
      <c r="E2" s="1">
        <v>55395037.5</v>
      </c>
      <c r="F2" s="1">
        <v>112958721.06</v>
      </c>
      <c r="G2" s="1">
        <v>59111007.950000003</v>
      </c>
      <c r="H2" s="1">
        <v>371968650.50999999</v>
      </c>
      <c r="I2" s="1">
        <v>743884911</v>
      </c>
      <c r="J2" s="1">
        <v>984296495.49000001</v>
      </c>
      <c r="K2" s="1">
        <v>1206680839.5999999</v>
      </c>
    </row>
    <row r="3" spans="1:11" x14ac:dyDescent="0.3">
      <c r="A3" t="s">
        <v>6</v>
      </c>
      <c r="B3" s="1">
        <v>3214863117.9299998</v>
      </c>
      <c r="C3" s="1">
        <v>2685817328.8000002</v>
      </c>
      <c r="D3" s="1">
        <v>3290420203.0500002</v>
      </c>
      <c r="E3" s="1">
        <v>3395018110.0700002</v>
      </c>
      <c r="F3" s="1">
        <v>3617047416.0999999</v>
      </c>
      <c r="G3" s="1">
        <v>3978212280.1599998</v>
      </c>
      <c r="H3" s="1">
        <v>4456892582.8100004</v>
      </c>
      <c r="I3" s="1">
        <v>4062986911.3000002</v>
      </c>
      <c r="J3" s="1">
        <v>4131278907.5999999</v>
      </c>
      <c r="K3" s="1">
        <v>3456861554.3000002</v>
      </c>
    </row>
    <row r="4" spans="1:11" x14ac:dyDescent="0.3">
      <c r="A4" t="s">
        <v>7</v>
      </c>
      <c r="B4" s="1">
        <v>3894010152.0300002</v>
      </c>
      <c r="C4" s="1">
        <v>1318239929.9300001</v>
      </c>
      <c r="D4" s="1">
        <v>1922891827.29</v>
      </c>
      <c r="E4" s="1">
        <v>1966462346.3</v>
      </c>
      <c r="F4" s="1">
        <v>1914027216.4000001</v>
      </c>
      <c r="G4" s="1">
        <v>2056418195.1600001</v>
      </c>
      <c r="H4" s="1">
        <v>1682256359.8599999</v>
      </c>
      <c r="I4" s="1">
        <v>1308288004.54</v>
      </c>
      <c r="J4" s="1">
        <v>1255539600.5</v>
      </c>
      <c r="K4" s="1">
        <v>918817113.45000005</v>
      </c>
    </row>
    <row r="5" spans="1:11" x14ac:dyDescent="0.3">
      <c r="A5" t="s">
        <v>8</v>
      </c>
      <c r="B5" s="1"/>
      <c r="C5" s="1">
        <v>37925388.579999998</v>
      </c>
      <c r="D5" s="1">
        <v>40629092.200000003</v>
      </c>
      <c r="E5" s="1">
        <v>15207277.495999999</v>
      </c>
      <c r="F5" s="1">
        <v>23023179.23</v>
      </c>
      <c r="G5" s="1">
        <v>15894724.65</v>
      </c>
      <c r="H5" s="1">
        <v>26946007.32</v>
      </c>
      <c r="I5" s="1">
        <v>37413834.799999997</v>
      </c>
      <c r="J5" s="1">
        <v>46067433.409999996</v>
      </c>
      <c r="K5" s="1">
        <v>47324780.43</v>
      </c>
    </row>
    <row r="6" spans="1:11" x14ac:dyDescent="0.3">
      <c r="A6" t="s">
        <v>9</v>
      </c>
      <c r="B6" s="1"/>
      <c r="C6" s="1">
        <v>196904034.28</v>
      </c>
      <c r="D6" s="1">
        <v>197262299.83000001</v>
      </c>
      <c r="E6" s="1">
        <v>154754056.63</v>
      </c>
      <c r="F6" s="1">
        <v>147288119.78999999</v>
      </c>
      <c r="G6" s="1">
        <v>204473345.22</v>
      </c>
      <c r="H6" s="1">
        <v>583454945.13999999</v>
      </c>
      <c r="I6" s="1">
        <v>657486090.20000005</v>
      </c>
      <c r="J6" s="1">
        <v>649315946.98000002</v>
      </c>
      <c r="K6" s="1">
        <v>669316392.72000003</v>
      </c>
    </row>
    <row r="7" spans="1:11" x14ac:dyDescent="0.3">
      <c r="A7" s="4" t="s">
        <v>0</v>
      </c>
      <c r="B7" s="3">
        <f>B2+B3-B4-B5-B6</f>
        <v>-205446103.49000025</v>
      </c>
      <c r="C7" s="3">
        <f>C2+C3-C4-C5-C6</f>
        <v>1356664662.0300002</v>
      </c>
      <c r="D7" s="3">
        <f>D2+D3-D4-D5-D6</f>
        <v>1304237561.0100005</v>
      </c>
      <c r="E7" s="3">
        <f>E2+E3-E4-E5-E6</f>
        <v>1313989467.1440001</v>
      </c>
      <c r="F7" s="3">
        <f>F2+F3-F4-F5-F6</f>
        <v>1645667621.7399998</v>
      </c>
      <c r="G7" s="3">
        <f t="shared" ref="G7" si="0">G2+G3-G4-G5-G6</f>
        <v>1760537023.0799994</v>
      </c>
      <c r="H7" s="3">
        <f t="shared" ref="H7:K7" si="1">H2+H3-H4-H5-H6</f>
        <v>2536203921.000001</v>
      </c>
      <c r="I7" s="3">
        <f t="shared" ref="I7:J7" si="2">I2+I3-I4-I5-I6</f>
        <v>2803683892.7600002</v>
      </c>
      <c r="J7" s="3">
        <f t="shared" si="2"/>
        <v>3164652422.2000003</v>
      </c>
      <c r="K7" s="3">
        <f t="shared" si="1"/>
        <v>3028084107.3000002</v>
      </c>
    </row>
    <row r="8" spans="1:11" x14ac:dyDescent="0.3">
      <c r="A8" t="s">
        <v>10</v>
      </c>
      <c r="B8" s="1"/>
      <c r="C8" s="1"/>
      <c r="D8" s="1">
        <v>1503553145.29</v>
      </c>
      <c r="E8" s="1">
        <v>1831745187.1099999</v>
      </c>
      <c r="F8" s="1">
        <v>2041796156.03</v>
      </c>
      <c r="G8" s="1">
        <v>2125891149.7</v>
      </c>
      <c r="H8" s="1">
        <v>2286657022.04</v>
      </c>
      <c r="I8" s="1">
        <v>2213341792.5</v>
      </c>
      <c r="J8" s="1">
        <v>2265486236.5999999</v>
      </c>
      <c r="K8" s="1">
        <v>1990175516.5999999</v>
      </c>
    </row>
    <row r="9" spans="1:11" x14ac:dyDescent="0.3">
      <c r="A9" t="s">
        <v>11</v>
      </c>
      <c r="B9" s="1"/>
      <c r="C9" s="1"/>
      <c r="D9" s="1">
        <v>0</v>
      </c>
      <c r="E9" s="1">
        <v>0</v>
      </c>
      <c r="F9" s="1">
        <v>0</v>
      </c>
      <c r="G9" s="1">
        <v>995117073.38999999</v>
      </c>
      <c r="H9" s="1">
        <v>1451081812.2</v>
      </c>
      <c r="I9" s="1">
        <v>1381932050.5</v>
      </c>
      <c r="J9" s="1">
        <v>1339533836.0999999</v>
      </c>
      <c r="K9" s="1">
        <v>1296466147</v>
      </c>
    </row>
    <row r="10" spans="1:11" x14ac:dyDescent="0.3">
      <c r="A10" t="s">
        <v>12</v>
      </c>
      <c r="B10" s="1"/>
      <c r="C10" s="1"/>
      <c r="D10" s="1">
        <v>1000000</v>
      </c>
      <c r="E10" s="1">
        <v>0</v>
      </c>
      <c r="F10" s="1">
        <v>0</v>
      </c>
      <c r="G10" s="1">
        <v>1000000</v>
      </c>
      <c r="H10" s="1">
        <v>1000000</v>
      </c>
      <c r="I10" s="1">
        <v>0</v>
      </c>
      <c r="J10" s="1">
        <v>4048045.7</v>
      </c>
      <c r="K10" s="1">
        <v>31084843.050000001</v>
      </c>
    </row>
    <row r="11" spans="1:11" x14ac:dyDescent="0.3">
      <c r="A11" t="s">
        <v>13</v>
      </c>
      <c r="B11" s="1"/>
      <c r="C11" s="1"/>
      <c r="D11" s="1">
        <v>0</v>
      </c>
      <c r="E11" s="1">
        <v>0</v>
      </c>
      <c r="F11" s="1">
        <v>568634467.07000005</v>
      </c>
      <c r="G11" s="1">
        <v>295801458.99000001</v>
      </c>
      <c r="H11" s="1">
        <v>211955116.72999999</v>
      </c>
      <c r="I11" s="1">
        <v>369866796.39999998</v>
      </c>
      <c r="J11" s="1">
        <v>323393904.58999997</v>
      </c>
      <c r="K11" s="1">
        <v>321066062.58999997</v>
      </c>
    </row>
    <row r="12" spans="1:11" x14ac:dyDescent="0.3">
      <c r="A12" t="s">
        <v>14</v>
      </c>
      <c r="B12" s="1"/>
      <c r="C12" s="1"/>
      <c r="D12" s="1">
        <v>50000000</v>
      </c>
      <c r="E12" s="1">
        <v>562283052.89999998</v>
      </c>
      <c r="F12" s="1">
        <v>175456005.52000001</v>
      </c>
      <c r="G12" s="1">
        <v>394797025.69999999</v>
      </c>
      <c r="H12" s="1">
        <v>426766835.89999998</v>
      </c>
      <c r="I12" s="1">
        <v>459387465.98000002</v>
      </c>
      <c r="J12" s="1">
        <v>516044878.00999999</v>
      </c>
      <c r="K12" s="1">
        <v>514614360.67000002</v>
      </c>
    </row>
    <row r="13" spans="1:11" x14ac:dyDescent="0.3">
      <c r="A13" s="4" t="s">
        <v>1</v>
      </c>
      <c r="B13" s="3">
        <f>SUM(B8:B12)</f>
        <v>0</v>
      </c>
      <c r="C13" s="3">
        <v>1524151134.9100001</v>
      </c>
      <c r="D13" s="3">
        <f>SUM(D8:D12)</f>
        <v>1554553145.29</v>
      </c>
      <c r="E13" s="3">
        <f>SUM(E8:E12)</f>
        <v>2394028240.0099998</v>
      </c>
      <c r="F13" s="3">
        <f>SUM(F8:F12)</f>
        <v>2785886628.6199999</v>
      </c>
      <c r="G13" s="3">
        <f t="shared" ref="G13:K13" si="3">SUM(G8:G12)</f>
        <v>3812606707.7799997</v>
      </c>
      <c r="H13" s="3">
        <f t="shared" si="3"/>
        <v>4377460786.8699999</v>
      </c>
      <c r="I13" s="3">
        <f t="shared" ref="I13:J13" si="4">SUM(I8:I12)</f>
        <v>4424528105.3800001</v>
      </c>
      <c r="J13" s="3">
        <f t="shared" si="4"/>
        <v>4448506901</v>
      </c>
      <c r="K13" s="3">
        <f t="shared" si="3"/>
        <v>4153406929.9100003</v>
      </c>
    </row>
    <row r="14" spans="1:11" x14ac:dyDescent="0.3">
      <c r="A14" t="s">
        <v>16</v>
      </c>
      <c r="B14" s="1"/>
      <c r="C14" s="1"/>
      <c r="D14" s="1">
        <v>271450.7</v>
      </c>
      <c r="E14" s="1">
        <v>13401622.9</v>
      </c>
      <c r="F14" s="1">
        <v>11089292.199999999</v>
      </c>
      <c r="G14" s="1">
        <v>19824623.600000001</v>
      </c>
      <c r="H14" s="1">
        <v>69950422.620000005</v>
      </c>
      <c r="I14" s="1">
        <v>49950895.890000001</v>
      </c>
      <c r="J14" s="1">
        <v>39715294.840000004</v>
      </c>
      <c r="K14" s="1">
        <v>37658522.719999999</v>
      </c>
    </row>
    <row r="15" spans="1:11" x14ac:dyDescent="0.3">
      <c r="A15" t="s">
        <v>15</v>
      </c>
      <c r="B15" s="1"/>
      <c r="C15" s="1"/>
      <c r="D15" s="1">
        <v>525668603.56999999</v>
      </c>
      <c r="E15" s="1">
        <v>373844014.43000001</v>
      </c>
      <c r="F15" s="1">
        <v>412473714.87</v>
      </c>
      <c r="G15" s="1">
        <v>474183944.32999998</v>
      </c>
      <c r="H15" s="1">
        <v>486294537.89999998</v>
      </c>
      <c r="I15" s="1">
        <v>464741110.19999999</v>
      </c>
      <c r="J15" s="1">
        <v>560959839.97000003</v>
      </c>
      <c r="K15" s="1">
        <v>593856422.44000006</v>
      </c>
    </row>
    <row r="16" spans="1:11" x14ac:dyDescent="0.3">
      <c r="A16" t="s">
        <v>17</v>
      </c>
      <c r="B16" s="1"/>
      <c r="C16" s="1"/>
      <c r="D16" s="1">
        <v>56052902.170000002</v>
      </c>
      <c r="E16" s="1">
        <v>52807182.960000001</v>
      </c>
      <c r="F16" s="1">
        <v>59785531.609999999</v>
      </c>
      <c r="G16" s="1">
        <v>66378267.399999999</v>
      </c>
      <c r="H16" s="1">
        <v>67599146.670000002</v>
      </c>
      <c r="I16" s="1">
        <v>76681312.400000006</v>
      </c>
      <c r="J16" s="1">
        <v>105043744.04000001</v>
      </c>
      <c r="K16" s="1">
        <v>87915253.349999994</v>
      </c>
    </row>
    <row r="17" spans="1:11" x14ac:dyDescent="0.3">
      <c r="A17" t="s">
        <v>18</v>
      </c>
      <c r="B17" s="1"/>
      <c r="C17" s="1"/>
      <c r="D17" s="1">
        <v>11665716.640000001</v>
      </c>
      <c r="E17" s="1">
        <v>2241852.69</v>
      </c>
      <c r="F17" s="1">
        <v>1811924.96</v>
      </c>
      <c r="G17" s="1">
        <v>740783.06</v>
      </c>
      <c r="H17" s="1">
        <v>740783.06</v>
      </c>
      <c r="I17" s="1">
        <v>244195.01</v>
      </c>
      <c r="J17" s="1">
        <v>23416.43</v>
      </c>
      <c r="K17" s="1">
        <v>23416.43</v>
      </c>
    </row>
    <row r="18" spans="1:11" x14ac:dyDescent="0.3">
      <c r="A18" t="s">
        <v>19</v>
      </c>
      <c r="B18" s="1"/>
      <c r="C18" s="1"/>
      <c r="D18" s="1">
        <v>1046118786.62</v>
      </c>
      <c r="E18" s="1">
        <v>181274699.62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4" t="s">
        <v>2</v>
      </c>
      <c r="B19" s="3">
        <v>465687100.81999999</v>
      </c>
      <c r="C19" s="3">
        <v>519539373.05000001</v>
      </c>
      <c r="D19" s="3">
        <f t="shared" ref="D19" si="5">SUM(D14:D18)</f>
        <v>1639777459.6999998</v>
      </c>
      <c r="E19" s="3">
        <f>SUM(E14:E18)</f>
        <v>623569372.5999999</v>
      </c>
      <c r="F19" s="3">
        <f>SUM(F14:F18)</f>
        <v>485160463.63999999</v>
      </c>
      <c r="G19" s="3">
        <f t="shared" ref="G19:K19" si="6">SUM(G14:G18)</f>
        <v>561127618.38999999</v>
      </c>
      <c r="H19" s="3">
        <f t="shared" si="6"/>
        <v>624584890.24999988</v>
      </c>
      <c r="I19" s="3">
        <f t="shared" si="6"/>
        <v>591617513.5</v>
      </c>
      <c r="J19" s="3">
        <f t="shared" ref="J19" si="7">SUM(J14:J18)</f>
        <v>705742295.27999997</v>
      </c>
      <c r="K19" s="3">
        <f t="shared" si="6"/>
        <v>719453614.94000006</v>
      </c>
    </row>
    <row r="20" spans="1:11" x14ac:dyDescent="0.3">
      <c r="A20" s="4" t="s">
        <v>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x14ac:dyDescent="0.3">
      <c r="A21" s="75" t="s">
        <v>4</v>
      </c>
      <c r="B21" s="42">
        <f t="shared" ref="B21:C21" si="8">B7-B13-B19-B20</f>
        <v>-671133204.31000018</v>
      </c>
      <c r="C21" s="42">
        <f t="shared" si="8"/>
        <v>-687025845.92999983</v>
      </c>
      <c r="D21" s="42">
        <f>D7-D13-D19-D20</f>
        <v>-1890093043.9799993</v>
      </c>
      <c r="E21" s="42">
        <f>E7-E13-E19-E20</f>
        <v>-1703608145.4659996</v>
      </c>
      <c r="F21" s="42">
        <f>F7-F13-F19-F20</f>
        <v>-1625379470.52</v>
      </c>
      <c r="G21" s="42">
        <f t="shared" ref="G21:K21" si="9">G7-G13-G19-G20</f>
        <v>-2613197303.0900002</v>
      </c>
      <c r="H21" s="42">
        <f t="shared" si="9"/>
        <v>-2465841756.1199989</v>
      </c>
      <c r="I21" s="42">
        <f t="shared" ref="I21:J21" si="10">I7-I13-I19-I20</f>
        <v>-2212461726.1199999</v>
      </c>
      <c r="J21" s="42">
        <f t="shared" si="10"/>
        <v>-1989596774.0799997</v>
      </c>
      <c r="K21" s="42">
        <f t="shared" si="9"/>
        <v>-1844776437.5500002</v>
      </c>
    </row>
    <row r="22" spans="1:11" x14ac:dyDescent="0.3">
      <c r="A22" t="s">
        <v>354</v>
      </c>
      <c r="B22" s="1"/>
      <c r="C22" s="1"/>
      <c r="D22" s="1">
        <v>-177753949.19</v>
      </c>
      <c r="E22" s="1">
        <v>-337306516.94999999</v>
      </c>
      <c r="F22" s="1">
        <v>-44573033.130000003</v>
      </c>
      <c r="G22" s="1">
        <v>-204930559.44999999</v>
      </c>
      <c r="H22" s="1">
        <v>-236335000.33000001</v>
      </c>
      <c r="I22" s="1">
        <v>-346008165.22000003</v>
      </c>
      <c r="J22" s="1">
        <v>-173078130.50999999</v>
      </c>
      <c r="K22" s="1">
        <v>-665391825.82000005</v>
      </c>
    </row>
    <row r="23" spans="1:11" x14ac:dyDescent="0.3">
      <c r="A23" t="s">
        <v>355</v>
      </c>
      <c r="B23" s="6">
        <f>B8/B3*100</f>
        <v>0</v>
      </c>
      <c r="C23" s="6">
        <f>C8/C3*100</f>
        <v>0</v>
      </c>
      <c r="D23" s="6">
        <f>D8/D3*100</f>
        <v>45.694867296775847</v>
      </c>
      <c r="E23" s="6">
        <f>E8/E3*100</f>
        <v>53.953915052082948</v>
      </c>
      <c r="F23" s="6">
        <f>F8/F3*100</f>
        <v>56.449250483741807</v>
      </c>
      <c r="G23" s="6">
        <f t="shared" ref="G23" si="11">G8/G3*100</f>
        <v>53.438353712348871</v>
      </c>
      <c r="H23" s="6">
        <f t="shared" ref="H23:K23" si="12">H8/H3*100</f>
        <v>51.306083320462228</v>
      </c>
      <c r="I23" s="6">
        <f t="shared" ref="I23:J23" si="13">I8/I3*100</f>
        <v>54.475730314174584</v>
      </c>
      <c r="J23" s="6">
        <f t="shared" si="13"/>
        <v>54.837407187211618</v>
      </c>
      <c r="K23" s="6">
        <f t="shared" si="12"/>
        <v>57.571744929281735</v>
      </c>
    </row>
  </sheetData>
  <conditionalFormatting sqref="F21:G21 K21">
    <cfRule type="cellIs" dxfId="119" priority="13" operator="greaterThan">
      <formula>0</formula>
    </cfRule>
  </conditionalFormatting>
  <conditionalFormatting sqref="B21:E21">
    <cfRule type="cellIs" dxfId="118" priority="12" operator="greaterThan">
      <formula>0</formula>
    </cfRule>
  </conditionalFormatting>
  <conditionalFormatting sqref="B21:G21 K21">
    <cfRule type="cellIs" dxfId="117" priority="10" operator="greaterThan">
      <formula>0</formula>
    </cfRule>
    <cfRule type="cellIs" dxfId="116" priority="11" operator="lessThan">
      <formula>0</formula>
    </cfRule>
  </conditionalFormatting>
  <conditionalFormatting sqref="H21">
    <cfRule type="cellIs" dxfId="115" priority="9" operator="greaterThan">
      <formula>0</formula>
    </cfRule>
  </conditionalFormatting>
  <conditionalFormatting sqref="H21">
    <cfRule type="cellIs" dxfId="114" priority="7" operator="greaterThan">
      <formula>0</formula>
    </cfRule>
    <cfRule type="cellIs" dxfId="113" priority="8" operator="lessThan">
      <formula>0</formula>
    </cfRule>
  </conditionalFormatting>
  <conditionalFormatting sqref="I21">
    <cfRule type="cellIs" dxfId="112" priority="6" operator="greaterThan">
      <formula>0</formula>
    </cfRule>
  </conditionalFormatting>
  <conditionalFormatting sqref="I21">
    <cfRule type="cellIs" dxfId="111" priority="4" operator="greaterThan">
      <formula>0</formula>
    </cfRule>
    <cfRule type="cellIs" dxfId="110" priority="5" operator="lessThan">
      <formula>0</formula>
    </cfRule>
  </conditionalFormatting>
  <conditionalFormatting sqref="J21">
    <cfRule type="cellIs" dxfId="109" priority="3" operator="greaterThan">
      <formula>0</formula>
    </cfRule>
  </conditionalFormatting>
  <conditionalFormatting sqref="J21">
    <cfRule type="cellIs" dxfId="108" priority="1" operator="greaterThan">
      <formula>0</formula>
    </cfRule>
    <cfRule type="cellIs" dxfId="107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1.109375" bestFit="1" customWidth="1"/>
    <col min="4" max="12" width="12.6640625" bestFit="1" customWidth="1"/>
    <col min="13" max="13" width="11.88671875" bestFit="1" customWidth="1"/>
  </cols>
  <sheetData>
    <row r="1" spans="1:13" x14ac:dyDescent="0.3">
      <c r="C1" s="13">
        <v>2014</v>
      </c>
      <c r="D1" s="13">
        <v>2015</v>
      </c>
      <c r="E1" s="13">
        <v>2016</v>
      </c>
      <c r="F1" s="13">
        <v>2017</v>
      </c>
      <c r="G1" s="13">
        <v>2018</v>
      </c>
      <c r="H1" s="13">
        <v>2019</v>
      </c>
      <c r="I1" s="13">
        <v>2020</v>
      </c>
      <c r="J1" s="13">
        <v>2021</v>
      </c>
      <c r="K1" s="13">
        <v>2022</v>
      </c>
      <c r="L1" s="13">
        <v>2023</v>
      </c>
      <c r="M1" s="13" t="s">
        <v>266</v>
      </c>
    </row>
    <row r="2" spans="1:13" x14ac:dyDescent="0.3">
      <c r="A2" t="s">
        <v>236</v>
      </c>
      <c r="B2" s="30" t="s">
        <v>260</v>
      </c>
      <c r="C2" s="1"/>
      <c r="D2" s="1">
        <v>917793704</v>
      </c>
      <c r="E2" s="1">
        <v>570516328.94000006</v>
      </c>
      <c r="F2" s="1">
        <v>566224600.59000003</v>
      </c>
      <c r="G2" s="1">
        <v>590143761.35000002</v>
      </c>
      <c r="H2" s="1">
        <v>612438562.38999999</v>
      </c>
      <c r="I2" s="1">
        <v>555855197.25999999</v>
      </c>
      <c r="J2" s="1">
        <v>554879146.39999998</v>
      </c>
      <c r="K2" s="1">
        <v>551090403.5</v>
      </c>
      <c r="L2" s="1">
        <v>589725379.79999995</v>
      </c>
      <c r="M2" s="1">
        <f>L2-K2</f>
        <v>38634976.299999952</v>
      </c>
    </row>
    <row r="3" spans="1:13" x14ac:dyDescent="0.3">
      <c r="A3" t="s">
        <v>237</v>
      </c>
      <c r="B3" s="30" t="s">
        <v>260</v>
      </c>
      <c r="C3" s="1"/>
      <c r="D3" s="1">
        <v>160822230</v>
      </c>
      <c r="E3" s="1">
        <v>349766544.37</v>
      </c>
      <c r="F3" s="1">
        <v>342237063.26999998</v>
      </c>
      <c r="G3" s="1">
        <v>328307356.17000002</v>
      </c>
      <c r="H3" s="1">
        <v>327711729.54000002</v>
      </c>
      <c r="I3" s="1">
        <v>324442392.13</v>
      </c>
      <c r="J3" s="1">
        <v>325633110.19999999</v>
      </c>
      <c r="K3" s="1">
        <v>330681342.39999998</v>
      </c>
      <c r="L3" s="1">
        <v>330685305.17000002</v>
      </c>
      <c r="M3" s="1">
        <f t="shared" ref="M3:M29" si="0">L3-K3</f>
        <v>3962.7700000405312</v>
      </c>
    </row>
    <row r="4" spans="1:13" x14ac:dyDescent="0.3">
      <c r="A4" t="s">
        <v>238</v>
      </c>
      <c r="B4" s="30" t="s">
        <v>260</v>
      </c>
      <c r="C4" s="1"/>
      <c r="D4" s="1">
        <v>149303855</v>
      </c>
      <c r="E4" s="1">
        <v>420236596.99000001</v>
      </c>
      <c r="F4" s="1">
        <v>439816650.05000001</v>
      </c>
      <c r="G4" s="1">
        <v>435146331.01999998</v>
      </c>
      <c r="H4" s="1">
        <v>420866919.87</v>
      </c>
      <c r="I4" s="1">
        <v>964386068.37</v>
      </c>
      <c r="J4" s="1">
        <v>842418077.20000005</v>
      </c>
      <c r="K4" s="1">
        <v>699086567.10000002</v>
      </c>
      <c r="L4" s="1">
        <v>758540297.57000005</v>
      </c>
      <c r="M4" s="1">
        <f t="shared" si="0"/>
        <v>59453730.470000029</v>
      </c>
    </row>
    <row r="5" spans="1:13" x14ac:dyDescent="0.3">
      <c r="A5" t="s">
        <v>239</v>
      </c>
      <c r="B5" s="30" t="s">
        <v>260</v>
      </c>
      <c r="C5" s="1"/>
      <c r="D5" s="1">
        <v>56091934</v>
      </c>
      <c r="E5" s="1">
        <v>96033079.299999997</v>
      </c>
      <c r="F5" s="1">
        <v>79240307.760000005</v>
      </c>
      <c r="G5" s="1">
        <v>82282351.590000004</v>
      </c>
      <c r="H5" s="1">
        <v>98522080.349999994</v>
      </c>
      <c r="I5" s="1">
        <v>90897360.450000003</v>
      </c>
      <c r="J5" s="1">
        <v>76041950.310000002</v>
      </c>
      <c r="K5" s="1">
        <v>97350865.620000005</v>
      </c>
      <c r="L5" s="1">
        <v>101425369.11</v>
      </c>
      <c r="M5" s="1">
        <f t="shared" si="0"/>
        <v>4074503.4899999946</v>
      </c>
    </row>
    <row r="6" spans="1:13" x14ac:dyDescent="0.3">
      <c r="A6" t="s">
        <v>240</v>
      </c>
      <c r="B6" s="30" t="s">
        <v>260</v>
      </c>
      <c r="C6" s="1"/>
      <c r="D6" s="1">
        <v>44533102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30" t="s">
        <v>260</v>
      </c>
      <c r="C7" s="1"/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30" t="s">
        <v>260</v>
      </c>
      <c r="C8" s="1"/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f t="shared" si="0"/>
        <v>0</v>
      </c>
    </row>
    <row r="9" spans="1:13" x14ac:dyDescent="0.3">
      <c r="A9" s="36" t="s">
        <v>243</v>
      </c>
      <c r="B9" s="37" t="s">
        <v>260</v>
      </c>
      <c r="C9" s="38"/>
      <c r="D9" s="38">
        <f>1937500+215280</f>
        <v>2152780</v>
      </c>
      <c r="E9" s="38">
        <v>124865381.48999999</v>
      </c>
      <c r="F9" s="38">
        <v>135313153.80000001</v>
      </c>
      <c r="G9" s="38">
        <v>196457973.66999999</v>
      </c>
      <c r="H9" s="38">
        <v>194556995.94999999</v>
      </c>
      <c r="I9" s="38">
        <v>273697216.88</v>
      </c>
      <c r="J9" s="38">
        <v>151461959.80000001</v>
      </c>
      <c r="K9" s="38">
        <v>203698802.40000001</v>
      </c>
      <c r="L9" s="1">
        <v>144029369.87</v>
      </c>
      <c r="M9" s="1">
        <f t="shared" si="0"/>
        <v>-59669432.530000001</v>
      </c>
    </row>
    <row r="10" spans="1:13" x14ac:dyDescent="0.3">
      <c r="A10" s="39" t="s">
        <v>264</v>
      </c>
      <c r="B10" s="40" t="s">
        <v>260</v>
      </c>
      <c r="C10" s="12">
        <f>SUM(C2:C9)</f>
        <v>0</v>
      </c>
      <c r="D10" s="12">
        <f>SUM(D2:D9)</f>
        <v>1330697605</v>
      </c>
      <c r="E10" s="12">
        <f>SUM(E2:E9)</f>
        <v>1561417931.0900002</v>
      </c>
      <c r="F10" s="12">
        <f t="shared" ref="F10:G10" si="1">SUM(F2:F9)</f>
        <v>1562831775.47</v>
      </c>
      <c r="G10" s="12">
        <f t="shared" si="1"/>
        <v>1632337773.8</v>
      </c>
      <c r="H10" s="12">
        <f t="shared" ref="H10:L10" si="2">SUM(H2:H9)</f>
        <v>1654096288.1000001</v>
      </c>
      <c r="I10" s="12">
        <f t="shared" ref="I10:K10" si="3">SUM(I2:I9)</f>
        <v>2209278235.0900002</v>
      </c>
      <c r="J10" s="12">
        <f t="shared" si="3"/>
        <v>1950434243.9099998</v>
      </c>
      <c r="K10" s="12">
        <f t="shared" si="3"/>
        <v>1881907981.02</v>
      </c>
      <c r="L10" s="12">
        <f t="shared" si="2"/>
        <v>1924405721.52</v>
      </c>
      <c r="M10" s="12">
        <f t="shared" si="0"/>
        <v>42497740.5</v>
      </c>
    </row>
    <row r="11" spans="1:13" x14ac:dyDescent="0.3">
      <c r="A11" t="s">
        <v>244</v>
      </c>
      <c r="B11" s="30" t="s">
        <v>261</v>
      </c>
      <c r="C11" s="1"/>
      <c r="D11" s="1">
        <v>3025267</v>
      </c>
      <c r="E11" s="1">
        <v>2269287.81</v>
      </c>
      <c r="F11" s="1">
        <v>3135465.04</v>
      </c>
      <c r="G11" s="1">
        <v>2893329.35</v>
      </c>
      <c r="H11" s="1">
        <v>7243638.54</v>
      </c>
      <c r="I11" s="1">
        <v>21952676.859999999</v>
      </c>
      <c r="J11" s="1">
        <v>13615469.300000001</v>
      </c>
      <c r="K11" s="1">
        <v>13270939.789999999</v>
      </c>
      <c r="L11" s="1">
        <v>10421207.67</v>
      </c>
      <c r="M11" s="1">
        <f t="shared" si="0"/>
        <v>-2849732.1199999992</v>
      </c>
    </row>
    <row r="12" spans="1:13" x14ac:dyDescent="0.3">
      <c r="A12" t="s">
        <v>245</v>
      </c>
      <c r="B12" s="30" t="s">
        <v>261</v>
      </c>
      <c r="C12" s="1"/>
      <c r="D12" s="1">
        <v>214939164</v>
      </c>
      <c r="E12" s="1">
        <v>203017265.15000001</v>
      </c>
      <c r="F12" s="1">
        <v>552768910.50999999</v>
      </c>
      <c r="G12" s="1">
        <v>551479366.13999999</v>
      </c>
      <c r="H12" s="1">
        <v>554231152.87</v>
      </c>
      <c r="I12" s="1">
        <v>550280674.90999997</v>
      </c>
      <c r="J12" s="1">
        <v>569912308.70000005</v>
      </c>
      <c r="K12" s="1">
        <v>633388493.79999995</v>
      </c>
      <c r="L12" s="1">
        <v>663435715.46000004</v>
      </c>
      <c r="M12" s="1">
        <f t="shared" si="0"/>
        <v>30047221.660000086</v>
      </c>
    </row>
    <row r="13" spans="1:13" x14ac:dyDescent="0.3">
      <c r="A13" t="s">
        <v>246</v>
      </c>
      <c r="B13" s="30" t="s">
        <v>261</v>
      </c>
      <c r="C13" s="1"/>
      <c r="D13" s="1">
        <v>7977447</v>
      </c>
      <c r="E13" s="1">
        <v>4606780.91</v>
      </c>
      <c r="F13" s="1">
        <v>5739115.8399999999</v>
      </c>
      <c r="G13" s="1">
        <v>5063823.92</v>
      </c>
      <c r="H13" s="1">
        <v>4498503.6500000004</v>
      </c>
      <c r="I13" s="1">
        <v>3988881.94</v>
      </c>
      <c r="J13" s="1">
        <v>3979729.8</v>
      </c>
      <c r="K13" s="1">
        <v>3769602.52</v>
      </c>
      <c r="L13" s="1">
        <v>3786281.56</v>
      </c>
      <c r="M13" s="1">
        <f t="shared" si="0"/>
        <v>16679.040000000037</v>
      </c>
    </row>
    <row r="14" spans="1:13" x14ac:dyDescent="0.3">
      <c r="A14" t="s">
        <v>247</v>
      </c>
      <c r="B14" s="30" t="s">
        <v>261</v>
      </c>
      <c r="C14" s="1"/>
      <c r="D14" s="1">
        <v>21447106</v>
      </c>
      <c r="E14" s="1">
        <v>100728130.09</v>
      </c>
      <c r="F14" s="1">
        <v>19329401.640000001</v>
      </c>
      <c r="G14" s="1">
        <v>74152815.519999996</v>
      </c>
      <c r="H14" s="1">
        <v>84241632</v>
      </c>
      <c r="I14" s="1">
        <v>89482825.450000003</v>
      </c>
      <c r="J14" s="1">
        <v>89609933.269999996</v>
      </c>
      <c r="K14" s="1">
        <v>88439213.890000001</v>
      </c>
      <c r="L14" s="1">
        <v>96615749.560000002</v>
      </c>
      <c r="M14" s="1">
        <f t="shared" si="0"/>
        <v>8176535.6700000018</v>
      </c>
    </row>
    <row r="15" spans="1:13" x14ac:dyDescent="0.3">
      <c r="A15" t="s">
        <v>248</v>
      </c>
      <c r="B15" s="30" t="s">
        <v>261</v>
      </c>
      <c r="C15" s="1"/>
      <c r="D15" s="1">
        <v>323656573</v>
      </c>
      <c r="E15" s="1">
        <v>317767192.49000001</v>
      </c>
      <c r="F15" s="1">
        <v>298972376.95999998</v>
      </c>
      <c r="G15" s="1">
        <v>287958002.42000002</v>
      </c>
      <c r="H15" s="1">
        <v>259374504.56</v>
      </c>
      <c r="I15" s="1">
        <v>222880647.53</v>
      </c>
      <c r="J15" s="1">
        <v>208343817.19999999</v>
      </c>
      <c r="K15" s="1">
        <v>204778341</v>
      </c>
      <c r="L15" s="1">
        <v>238137177.59</v>
      </c>
      <c r="M15" s="1">
        <f t="shared" si="0"/>
        <v>33358836.590000004</v>
      </c>
    </row>
    <row r="16" spans="1:13" x14ac:dyDescent="0.3">
      <c r="A16" t="s">
        <v>249</v>
      </c>
      <c r="B16" s="30" t="s">
        <v>261</v>
      </c>
      <c r="C16" s="1"/>
      <c r="D16" s="1">
        <v>220301</v>
      </c>
      <c r="E16" s="1">
        <v>0</v>
      </c>
      <c r="F16" s="1">
        <v>328192041.81</v>
      </c>
      <c r="G16" s="1">
        <v>269583534.61000001</v>
      </c>
      <c r="H16" s="1">
        <v>143589915.80000001</v>
      </c>
      <c r="I16" s="1">
        <v>266624460.83000001</v>
      </c>
      <c r="J16" s="1">
        <v>310652032.69999999</v>
      </c>
      <c r="K16" s="1">
        <v>195662743.58000001</v>
      </c>
      <c r="L16" s="1">
        <v>92464942.060000002</v>
      </c>
      <c r="M16" s="1">
        <f t="shared" si="0"/>
        <v>-103197801.52000001</v>
      </c>
    </row>
    <row r="17" spans="1:13" x14ac:dyDescent="0.3">
      <c r="A17" t="s">
        <v>250</v>
      </c>
      <c r="B17" s="30" t="s">
        <v>261</v>
      </c>
      <c r="C17" s="1"/>
      <c r="D17" s="1">
        <v>70864</v>
      </c>
      <c r="E17" s="1">
        <v>0</v>
      </c>
      <c r="F17" s="1">
        <v>0</v>
      </c>
      <c r="G17" s="1">
        <v>114753</v>
      </c>
      <c r="H17" s="1">
        <v>-34100</v>
      </c>
      <c r="I17" s="1">
        <v>-95859</v>
      </c>
      <c r="J17" s="1">
        <v>123456</v>
      </c>
      <c r="K17" s="1">
        <v>-35062.120000000003</v>
      </c>
      <c r="L17" s="1">
        <v>33484.129999999997</v>
      </c>
      <c r="M17" s="1">
        <f t="shared" si="0"/>
        <v>68546.25</v>
      </c>
    </row>
    <row r="18" spans="1:13" x14ac:dyDescent="0.3">
      <c r="A18" t="s">
        <v>251</v>
      </c>
      <c r="B18" s="30" t="s">
        <v>261</v>
      </c>
      <c r="C18" s="1"/>
      <c r="D18" s="1"/>
      <c r="E18" s="1">
        <v>0</v>
      </c>
      <c r="F18" s="1">
        <v>0</v>
      </c>
      <c r="G18" s="1">
        <v>568634467.07000005</v>
      </c>
      <c r="H18" s="1">
        <v>0</v>
      </c>
      <c r="I18" s="1">
        <v>0</v>
      </c>
      <c r="J18" s="1">
        <v>157911679.69999999</v>
      </c>
      <c r="K18" s="1">
        <v>4048045.7</v>
      </c>
      <c r="L18" s="1">
        <v>0</v>
      </c>
      <c r="M18" s="1">
        <f t="shared" si="0"/>
        <v>-4048045.7</v>
      </c>
    </row>
    <row r="19" spans="1:13" x14ac:dyDescent="0.3">
      <c r="A19" t="s">
        <v>14</v>
      </c>
      <c r="B19" s="30" t="s">
        <v>261</v>
      </c>
      <c r="C19" s="1"/>
      <c r="D19" s="1"/>
      <c r="E19" s="1">
        <v>93402010.290000007</v>
      </c>
      <c r="F19" s="1">
        <v>0</v>
      </c>
      <c r="G19" s="1">
        <v>0</v>
      </c>
      <c r="H19" s="1">
        <v>0</v>
      </c>
      <c r="I19" s="1">
        <v>38236096.119999997</v>
      </c>
      <c r="J19" s="1">
        <v>18886916</v>
      </c>
      <c r="K19" s="1">
        <v>90716124.349999994</v>
      </c>
      <c r="L19" s="1">
        <v>28953598.260000002</v>
      </c>
      <c r="M19" s="1">
        <f t="shared" si="0"/>
        <v>-61762526.089999989</v>
      </c>
    </row>
    <row r="20" spans="1:13" x14ac:dyDescent="0.3">
      <c r="A20" s="36" t="s">
        <v>252</v>
      </c>
      <c r="B20" s="37" t="s">
        <v>261</v>
      </c>
      <c r="C20" s="38"/>
      <c r="D20" s="38">
        <v>445659182</v>
      </c>
      <c r="E20" s="38">
        <v>62473459.799999997</v>
      </c>
      <c r="F20" s="38">
        <v>133569836.39</v>
      </c>
      <c r="G20" s="1">
        <v>70874319.659999996</v>
      </c>
      <c r="H20" s="1">
        <v>161677650.09999999</v>
      </c>
      <c r="I20" s="1">
        <v>75832496.879999995</v>
      </c>
      <c r="J20" s="1">
        <v>76064041.799999997</v>
      </c>
      <c r="K20" s="1">
        <v>56115706.899999999</v>
      </c>
      <c r="L20" s="1">
        <v>41429271.740000002</v>
      </c>
      <c r="M20" s="1">
        <f t="shared" si="0"/>
        <v>-14686435.159999996</v>
      </c>
    </row>
    <row r="21" spans="1:13" x14ac:dyDescent="0.3">
      <c r="A21" s="39" t="s">
        <v>265</v>
      </c>
      <c r="B21" s="40" t="s">
        <v>261</v>
      </c>
      <c r="C21" s="12">
        <f>SUM(C11:C20)</f>
        <v>0</v>
      </c>
      <c r="D21" s="12">
        <f>SUM(D11:D20)</f>
        <v>1016995904</v>
      </c>
      <c r="E21" s="12">
        <f>SUM(E11:E20)</f>
        <v>784264126.53999996</v>
      </c>
      <c r="F21" s="12">
        <f t="shared" ref="F21:G21" si="4">SUM(F11:F20)</f>
        <v>1341707148.1900001</v>
      </c>
      <c r="G21" s="12">
        <f t="shared" si="4"/>
        <v>1830754411.6900003</v>
      </c>
      <c r="H21" s="12">
        <f t="shared" ref="H21:L21" si="5">SUM(H11:H20)</f>
        <v>1214822897.5199997</v>
      </c>
      <c r="I21" s="12">
        <f t="shared" ref="I21:K21" si="6">SUM(I11:I20)</f>
        <v>1269182901.52</v>
      </c>
      <c r="J21" s="12">
        <f t="shared" si="6"/>
        <v>1449099384.47</v>
      </c>
      <c r="K21" s="12">
        <f t="shared" si="6"/>
        <v>1290154149.4100001</v>
      </c>
      <c r="L21" s="12">
        <f t="shared" si="5"/>
        <v>1175277428.0300002</v>
      </c>
      <c r="M21" s="12">
        <f t="shared" si="0"/>
        <v>-114876721.37999988</v>
      </c>
    </row>
    <row r="22" spans="1:13" x14ac:dyDescent="0.3">
      <c r="A22" t="s">
        <v>253</v>
      </c>
      <c r="B22" s="30" t="s">
        <v>260</v>
      </c>
      <c r="C22" s="1"/>
      <c r="D22" s="1">
        <v>5645169</v>
      </c>
      <c r="E22" s="1">
        <v>25356162.370000001</v>
      </c>
      <c r="F22" s="1">
        <v>10532732.279999999</v>
      </c>
      <c r="G22" s="1">
        <v>15740126.65</v>
      </c>
      <c r="H22" s="1">
        <v>12714581.68</v>
      </c>
      <c r="I22" s="1">
        <v>17678590.760000002</v>
      </c>
      <c r="J22" s="1">
        <v>11984171.199999999</v>
      </c>
      <c r="K22" s="1">
        <v>5350600.4800000004</v>
      </c>
      <c r="L22" s="1">
        <v>25515008.350000001</v>
      </c>
      <c r="M22" s="1">
        <f t="shared" si="0"/>
        <v>20164407.870000001</v>
      </c>
    </row>
    <row r="23" spans="1:13" x14ac:dyDescent="0.3">
      <c r="A23" t="s">
        <v>254</v>
      </c>
      <c r="B23" s="30" t="s">
        <v>261</v>
      </c>
      <c r="C23" s="1"/>
      <c r="D23" s="1">
        <v>92813551</v>
      </c>
      <c r="E23" s="1">
        <v>103652907.43000001</v>
      </c>
      <c r="F23" s="1">
        <v>91529831.709999993</v>
      </c>
      <c r="G23" s="1">
        <v>86884949.659999996</v>
      </c>
      <c r="H23" s="1">
        <v>85615163.629999995</v>
      </c>
      <c r="I23" s="1">
        <v>87529721.799999997</v>
      </c>
      <c r="J23" s="1">
        <v>92989995.900000006</v>
      </c>
      <c r="K23" s="1">
        <v>105433144.59999999</v>
      </c>
      <c r="L23" s="1">
        <v>105813094.26000001</v>
      </c>
      <c r="M23" s="1">
        <f t="shared" si="0"/>
        <v>379949.66000001132</v>
      </c>
    </row>
    <row r="24" spans="1:13" x14ac:dyDescent="0.3">
      <c r="A24" t="s">
        <v>255</v>
      </c>
      <c r="B24" s="30" t="s">
        <v>260</v>
      </c>
      <c r="C24" s="1"/>
      <c r="D24" s="1">
        <v>0</v>
      </c>
      <c r="E24" s="1">
        <v>0</v>
      </c>
      <c r="F24" s="1">
        <v>-82206956.209999993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f t="shared" si="0"/>
        <v>0</v>
      </c>
    </row>
    <row r="25" spans="1:13" x14ac:dyDescent="0.3">
      <c r="A25" t="s">
        <v>256</v>
      </c>
      <c r="B25" s="30" t="s">
        <v>260</v>
      </c>
      <c r="C25" s="1"/>
      <c r="D25" s="1">
        <v>183108478</v>
      </c>
      <c r="E25" s="1">
        <v>65143789.159999996</v>
      </c>
      <c r="F25" s="1">
        <v>153980513.24000001</v>
      </c>
      <c r="G25" s="1">
        <v>688998679.07000005</v>
      </c>
      <c r="H25" s="1">
        <v>909156773.09000003</v>
      </c>
      <c r="I25" s="1">
        <v>255526951.49000001</v>
      </c>
      <c r="J25" s="1">
        <v>515630451.80000001</v>
      </c>
      <c r="K25" s="1">
        <v>275081224.30000001</v>
      </c>
      <c r="L25" s="1">
        <v>377532155.94</v>
      </c>
      <c r="M25" s="1">
        <f t="shared" si="0"/>
        <v>102450931.63999999</v>
      </c>
    </row>
    <row r="26" spans="1:13" x14ac:dyDescent="0.3">
      <c r="A26" t="s">
        <v>257</v>
      </c>
      <c r="B26" s="30" t="s">
        <v>261</v>
      </c>
      <c r="C26" s="1"/>
      <c r="D26" s="1">
        <v>269961812</v>
      </c>
      <c r="E26" s="1">
        <v>180132873.31999999</v>
      </c>
      <c r="F26" s="1">
        <v>360914157.92000002</v>
      </c>
      <c r="G26" s="1">
        <v>609622394.77999997</v>
      </c>
      <c r="H26" s="1">
        <v>976956817.03999996</v>
      </c>
      <c r="I26" s="1">
        <v>424063256.54000002</v>
      </c>
      <c r="J26" s="1">
        <v>950387640.29999995</v>
      </c>
      <c r="K26" s="1">
        <v>344485788.89999998</v>
      </c>
      <c r="L26" s="1">
        <v>808958818.15999997</v>
      </c>
      <c r="M26" s="1">
        <f t="shared" si="0"/>
        <v>464473029.25999999</v>
      </c>
    </row>
    <row r="27" spans="1:13" x14ac:dyDescent="0.3">
      <c r="A27" t="s">
        <v>258</v>
      </c>
      <c r="B27" s="30" t="s">
        <v>261</v>
      </c>
      <c r="C27" s="1"/>
      <c r="D27" s="1">
        <v>20922220</v>
      </c>
      <c r="E27" s="1">
        <v>18472123.140000001</v>
      </c>
      <c r="F27" s="1">
        <v>17181702.120000001</v>
      </c>
      <c r="G27" s="1">
        <v>17051567.420000002</v>
      </c>
      <c r="H27" s="1">
        <v>15322588.23</v>
      </c>
      <c r="I27" s="1">
        <v>13425670.109999999</v>
      </c>
      <c r="J27" s="1">
        <v>12035743.199999999</v>
      </c>
      <c r="K27" s="1">
        <v>12298436.359999999</v>
      </c>
      <c r="L27" s="1">
        <v>14359623.92</v>
      </c>
      <c r="M27" s="1">
        <f t="shared" si="0"/>
        <v>2061187.5600000005</v>
      </c>
    </row>
    <row r="28" spans="1:13" x14ac:dyDescent="0.3">
      <c r="A28" s="11" t="s">
        <v>259</v>
      </c>
      <c r="B28" s="40" t="s">
        <v>262</v>
      </c>
      <c r="C28" s="42">
        <v>140803042</v>
      </c>
      <c r="D28" s="42">
        <f t="shared" ref="D28:L28" si="7">SUM(D2:D9)-SUM(D11:D20)+D22-D23+D24+D25-D26-D27</f>
        <v>118757765</v>
      </c>
      <c r="E28" s="42">
        <f t="shared" si="7"/>
        <v>565395852.19000018</v>
      </c>
      <c r="F28" s="42">
        <f t="shared" si="7"/>
        <v>-166194775.16000003</v>
      </c>
      <c r="G28" s="42">
        <f t="shared" si="7"/>
        <v>-207236744.03000027</v>
      </c>
      <c r="H28" s="42">
        <f t="shared" si="7"/>
        <v>283250176.45000052</v>
      </c>
      <c r="I28" s="42">
        <f t="shared" ref="I28" si="8">SUM(I2:I9)-SUM(I11:I20)+I22-I23+I24+I25-I26-I27</f>
        <v>688282227.37000024</v>
      </c>
      <c r="J28" s="42">
        <f t="shared" ref="J28" si="9">SUM(J2:J9)-SUM(J11:J20)+J22-J23+J24+J25-J26-J27</f>
        <v>-26463896.960000228</v>
      </c>
      <c r="K28" s="42">
        <f t="shared" ref="K28" si="10">SUM(K2:K9)-SUM(K11:K20)+K22-K23+K24+K25-K26-K27</f>
        <v>409968286.52999997</v>
      </c>
      <c r="L28" s="42">
        <f t="shared" si="7"/>
        <v>223043921.43999979</v>
      </c>
      <c r="M28" s="42">
        <f t="shared" si="0"/>
        <v>-186924365.09000018</v>
      </c>
    </row>
    <row r="29" spans="1:13" x14ac:dyDescent="0.3">
      <c r="A29" s="77" t="s">
        <v>386</v>
      </c>
      <c r="B29" s="134"/>
      <c r="C29" s="135">
        <f>C10-SUM(C11:C15)+C17</f>
        <v>0</v>
      </c>
      <c r="D29" s="135">
        <f t="shared" ref="D29:L29" si="11">D10-SUM(D11:D15)+D17</f>
        <v>759722912</v>
      </c>
      <c r="E29" s="135">
        <f t="shared" si="11"/>
        <v>933029274.6400001</v>
      </c>
      <c r="F29" s="135">
        <f t="shared" si="11"/>
        <v>682886505.48000002</v>
      </c>
      <c r="G29" s="135">
        <f t="shared" si="11"/>
        <v>710905189.45000005</v>
      </c>
      <c r="H29" s="135">
        <f t="shared" si="11"/>
        <v>744472756.48000026</v>
      </c>
      <c r="I29" s="135">
        <f t="shared" si="11"/>
        <v>1320596669.4000001</v>
      </c>
      <c r="J29" s="135">
        <f t="shared" si="11"/>
        <v>1065096441.6399999</v>
      </c>
      <c r="K29" s="135">
        <f t="shared" ref="K29" si="12">K10-SUM(K11:K15)+K17</f>
        <v>938226327.9000001</v>
      </c>
      <c r="L29" s="135">
        <f t="shared" si="11"/>
        <v>912043073.80999994</v>
      </c>
      <c r="M29" s="135">
        <f t="shared" si="0"/>
        <v>-26183254.090000153</v>
      </c>
    </row>
  </sheetData>
  <conditionalFormatting sqref="C28:H28 L28:M28">
    <cfRule type="cellIs" dxfId="106" priority="16" operator="greaterThan">
      <formula>0</formula>
    </cfRule>
  </conditionalFormatting>
  <conditionalFormatting sqref="I28">
    <cfRule type="cellIs" dxfId="105" priority="11" operator="greaterThan">
      <formula>0</formula>
    </cfRule>
  </conditionalFormatting>
  <conditionalFormatting sqref="J28">
    <cfRule type="cellIs" dxfId="104" priority="10" operator="greaterThan">
      <formula>0</formula>
    </cfRule>
  </conditionalFormatting>
  <conditionalFormatting sqref="C29:J29 L29:M29">
    <cfRule type="cellIs" dxfId="103" priority="9" operator="greaterThan">
      <formula>0</formula>
    </cfRule>
  </conditionalFormatting>
  <conditionalFormatting sqref="C29:J29 L29">
    <cfRule type="cellIs" dxfId="102" priority="8" operator="greaterThan">
      <formula>0</formula>
    </cfRule>
  </conditionalFormatting>
  <conditionalFormatting sqref="C29:J29 L29">
    <cfRule type="cellIs" dxfId="101" priority="7" operator="greaterThan">
      <formula>0</formula>
    </cfRule>
  </conditionalFormatting>
  <conditionalFormatting sqref="C29:J29 L29">
    <cfRule type="cellIs" dxfId="100" priority="6" operator="greaterThan">
      <formula>0</formula>
    </cfRule>
  </conditionalFormatting>
  <conditionalFormatting sqref="K28">
    <cfRule type="cellIs" dxfId="99" priority="5" operator="greaterThan">
      <formula>0</formula>
    </cfRule>
  </conditionalFormatting>
  <conditionalFormatting sqref="K29">
    <cfRule type="cellIs" dxfId="98" priority="4" operator="greaterThan">
      <formula>0</formula>
    </cfRule>
  </conditionalFormatting>
  <conditionalFormatting sqref="K29">
    <cfRule type="cellIs" dxfId="97" priority="3" operator="greaterThan">
      <formula>0</formula>
    </cfRule>
  </conditionalFormatting>
  <conditionalFormatting sqref="K29">
    <cfRule type="cellIs" dxfId="96" priority="2" operator="greaterThan">
      <formula>0</formula>
    </cfRule>
  </conditionalFormatting>
  <conditionalFormatting sqref="K29">
    <cfRule type="cellIs" dxfId="9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pane xSplit="1" topLeftCell="B1" activePane="topRight" state="frozen"/>
      <selection pane="topRight" activeCell="F12" sqref="F12"/>
    </sheetView>
  </sheetViews>
  <sheetFormatPr defaultRowHeight="14.4" x14ac:dyDescent="0.3"/>
  <cols>
    <col min="1" max="1" width="50.6640625" bestFit="1" customWidth="1"/>
    <col min="2" max="6" width="13.33203125" bestFit="1" customWidth="1"/>
    <col min="7" max="7" width="12.5546875" bestFit="1" customWidth="1"/>
    <col min="8" max="11" width="13.33203125" bestFit="1" customWidth="1"/>
  </cols>
  <sheetData>
    <row r="1" spans="1:11" x14ac:dyDescent="0.3">
      <c r="A1" s="46"/>
      <c r="B1" s="47">
        <v>2019</v>
      </c>
      <c r="C1" s="47">
        <v>2020</v>
      </c>
      <c r="D1" s="47">
        <v>2021</v>
      </c>
      <c r="E1" s="47">
        <v>2022</v>
      </c>
      <c r="F1" s="47">
        <v>2023</v>
      </c>
      <c r="G1" s="47" t="s">
        <v>266</v>
      </c>
      <c r="H1" s="47">
        <v>2015</v>
      </c>
      <c r="I1" s="47">
        <v>2016</v>
      </c>
      <c r="J1" s="47">
        <v>2017</v>
      </c>
      <c r="K1" s="47">
        <v>2018</v>
      </c>
    </row>
    <row r="2" spans="1:11" x14ac:dyDescent="0.3">
      <c r="A2" s="76" t="s">
        <v>341</v>
      </c>
      <c r="B2" s="69">
        <f>Conto_economico!H10</f>
        <v>1654096288.1000001</v>
      </c>
      <c r="C2" s="69">
        <f>Conto_economico!I10</f>
        <v>2209278235.0900002</v>
      </c>
      <c r="D2" s="69">
        <f>Conto_economico!J10</f>
        <v>1950434243.9099998</v>
      </c>
      <c r="E2" s="69">
        <f>Conto_economico!K10</f>
        <v>1881907981.02</v>
      </c>
      <c r="F2" s="69">
        <f>Conto_economico!L10</f>
        <v>1924405721.52</v>
      </c>
      <c r="G2" s="69">
        <f t="shared" ref="G2:G16" si="0">F2-E2</f>
        <v>42497740.5</v>
      </c>
      <c r="H2" s="69">
        <f>Conto_economico!D10</f>
        <v>1330697605</v>
      </c>
      <c r="I2" s="69">
        <f>Conto_economico!E10</f>
        <v>1561417931.0900002</v>
      </c>
      <c r="J2" s="69">
        <f>Conto_economico!F10</f>
        <v>1562831775.47</v>
      </c>
      <c r="K2" s="69">
        <f>Conto_economico!G10</f>
        <v>1632337773.8</v>
      </c>
    </row>
    <row r="3" spans="1:11" x14ac:dyDescent="0.3">
      <c r="A3" s="76" t="s">
        <v>343</v>
      </c>
      <c r="B3" s="69">
        <f>Conto_economico!H2</f>
        <v>612438562.38999999</v>
      </c>
      <c r="C3" s="69">
        <f>Conto_economico!I2</f>
        <v>555855197.25999999</v>
      </c>
      <c r="D3" s="69">
        <f>Conto_economico!J2</f>
        <v>554879146.39999998</v>
      </c>
      <c r="E3" s="69">
        <f>Conto_economico!K2</f>
        <v>551090403.5</v>
      </c>
      <c r="F3" s="69">
        <f>Conto_economico!L2</f>
        <v>589725379.79999995</v>
      </c>
      <c r="G3" s="69">
        <f t="shared" si="0"/>
        <v>38634976.299999952</v>
      </c>
      <c r="H3" s="69">
        <f>Conto_economico!D2</f>
        <v>917793704</v>
      </c>
      <c r="I3" s="69">
        <f>Conto_economico!E2</f>
        <v>570516328.94000006</v>
      </c>
      <c r="J3" s="69">
        <f>Conto_economico!F2</f>
        <v>566224600.59000003</v>
      </c>
      <c r="K3" s="69">
        <f>Conto_economico!G2</f>
        <v>590143761.35000002</v>
      </c>
    </row>
    <row r="4" spans="1:11" x14ac:dyDescent="0.3">
      <c r="A4" s="76" t="s">
        <v>344</v>
      </c>
      <c r="B4" s="69">
        <f>Conto_economico!H4</f>
        <v>420866919.87</v>
      </c>
      <c r="C4" s="69">
        <f>Conto_economico!I4</f>
        <v>964386068.37</v>
      </c>
      <c r="D4" s="69">
        <f>Conto_economico!J4</f>
        <v>842418077.20000005</v>
      </c>
      <c r="E4" s="69">
        <f>Conto_economico!K4</f>
        <v>699086567.10000002</v>
      </c>
      <c r="F4" s="69">
        <f>Conto_economico!L4</f>
        <v>758540297.57000005</v>
      </c>
      <c r="G4" s="69">
        <f t="shared" si="0"/>
        <v>59453730.470000029</v>
      </c>
      <c r="H4" s="69">
        <f>Conto_economico!D4</f>
        <v>149303855</v>
      </c>
      <c r="I4" s="69">
        <f>Conto_economico!E4</f>
        <v>420236596.99000001</v>
      </c>
      <c r="J4" s="69">
        <f>Conto_economico!F4</f>
        <v>439816650.05000001</v>
      </c>
      <c r="K4" s="69">
        <f>Conto_economico!G4</f>
        <v>435146331.01999998</v>
      </c>
    </row>
    <row r="5" spans="1:11" x14ac:dyDescent="0.3">
      <c r="A5" s="76" t="s">
        <v>342</v>
      </c>
      <c r="B5" s="70">
        <f>Conto_economico!H21</f>
        <v>1214822897.5199997</v>
      </c>
      <c r="C5" s="70">
        <f>Conto_economico!I21</f>
        <v>1269182901.52</v>
      </c>
      <c r="D5" s="70">
        <f>Conto_economico!J21</f>
        <v>1449099384.47</v>
      </c>
      <c r="E5" s="70">
        <f>Conto_economico!K21</f>
        <v>1290154149.4100001</v>
      </c>
      <c r="F5" s="70">
        <f>Conto_economico!L21</f>
        <v>1175277428.0300002</v>
      </c>
      <c r="G5" s="69">
        <f t="shared" si="0"/>
        <v>-114876721.37999988</v>
      </c>
      <c r="H5" s="70">
        <f>Conto_economico!D21</f>
        <v>1016995904</v>
      </c>
      <c r="I5" s="70">
        <f>Conto_economico!E21</f>
        <v>784264126.53999996</v>
      </c>
      <c r="J5" s="70">
        <f>Conto_economico!F21</f>
        <v>1341707148.1900001</v>
      </c>
      <c r="K5" s="70">
        <f>Conto_economico!G21</f>
        <v>1830754411.6900003</v>
      </c>
    </row>
    <row r="6" spans="1:11" x14ac:dyDescent="0.3">
      <c r="A6" s="76" t="s">
        <v>345</v>
      </c>
      <c r="B6" s="69">
        <f>Conto_economico!H12</f>
        <v>554231152.87</v>
      </c>
      <c r="C6" s="69">
        <f>Conto_economico!I12</f>
        <v>550280674.90999997</v>
      </c>
      <c r="D6" s="69">
        <f>Conto_economico!J12</f>
        <v>569912308.70000005</v>
      </c>
      <c r="E6" s="69">
        <f>Conto_economico!K12</f>
        <v>633388493.79999995</v>
      </c>
      <c r="F6" s="69">
        <f>Conto_economico!L12</f>
        <v>663435715.46000004</v>
      </c>
      <c r="G6" s="69">
        <f t="shared" si="0"/>
        <v>30047221.660000086</v>
      </c>
      <c r="H6" s="69">
        <f>Conto_economico!D12</f>
        <v>214939164</v>
      </c>
      <c r="I6" s="69">
        <f>Conto_economico!E12</f>
        <v>203017265.15000001</v>
      </c>
      <c r="J6" s="69">
        <f>Conto_economico!F12</f>
        <v>552768910.50999999</v>
      </c>
      <c r="K6" s="69">
        <f>Conto_economico!G12</f>
        <v>551479366.13999999</v>
      </c>
    </row>
    <row r="7" spans="1:11" x14ac:dyDescent="0.3">
      <c r="A7" s="76" t="s">
        <v>346</v>
      </c>
      <c r="B7" s="69">
        <f>Conto_economico!H15</f>
        <v>259374504.56</v>
      </c>
      <c r="C7" s="69">
        <f>Conto_economico!I15</f>
        <v>222880647.53</v>
      </c>
      <c r="D7" s="69">
        <f>Conto_economico!J15</f>
        <v>208343817.19999999</v>
      </c>
      <c r="E7" s="69">
        <f>Conto_economico!K15</f>
        <v>204778341</v>
      </c>
      <c r="F7" s="69">
        <f>Conto_economico!L15</f>
        <v>238137177.59</v>
      </c>
      <c r="G7" s="69">
        <f t="shared" si="0"/>
        <v>33358836.590000004</v>
      </c>
      <c r="H7" s="69">
        <f>Conto_economico!D15</f>
        <v>323656573</v>
      </c>
      <c r="I7" s="69">
        <f>Conto_economico!E15</f>
        <v>317767192.49000001</v>
      </c>
      <c r="J7" s="69">
        <f>Conto_economico!F15</f>
        <v>298972376.95999998</v>
      </c>
      <c r="K7" s="69">
        <f>Conto_economico!G15</f>
        <v>287958002.42000002</v>
      </c>
    </row>
    <row r="8" spans="1:11" x14ac:dyDescent="0.3">
      <c r="A8" s="76" t="s">
        <v>347</v>
      </c>
      <c r="B8" s="69">
        <f>Conto_economico!H16</f>
        <v>143589915.80000001</v>
      </c>
      <c r="C8" s="69">
        <f>Conto_economico!I16</f>
        <v>266624460.83000001</v>
      </c>
      <c r="D8" s="69">
        <f>Conto_economico!J16</f>
        <v>310652032.69999999</v>
      </c>
      <c r="E8" s="69">
        <f>Conto_economico!K16</f>
        <v>195662743.58000001</v>
      </c>
      <c r="F8" s="69">
        <f>Conto_economico!L16</f>
        <v>92464942.060000002</v>
      </c>
      <c r="G8" s="69">
        <f t="shared" si="0"/>
        <v>-103197801.52000001</v>
      </c>
      <c r="H8" s="69">
        <f>Conto_economico!D16</f>
        <v>220301</v>
      </c>
      <c r="I8" s="69">
        <f>Conto_economico!E16</f>
        <v>0</v>
      </c>
      <c r="J8" s="69">
        <f>Conto_economico!F16</f>
        <v>328192041.81</v>
      </c>
      <c r="K8" s="69">
        <f>Conto_economico!G16</f>
        <v>269583534.61000001</v>
      </c>
    </row>
    <row r="9" spans="1:11" x14ac:dyDescent="0.3">
      <c r="A9" s="52" t="s">
        <v>386</v>
      </c>
      <c r="B9" s="71">
        <f>Conto_economico!H29</f>
        <v>744472756.48000026</v>
      </c>
      <c r="C9" s="71">
        <f>Conto_economico!I29</f>
        <v>1320596669.4000001</v>
      </c>
      <c r="D9" s="71">
        <f>Conto_economico!J29</f>
        <v>1065096441.6399999</v>
      </c>
      <c r="E9" s="71">
        <f>Conto_economico!K29</f>
        <v>938226327.9000001</v>
      </c>
      <c r="F9" s="71">
        <f>Conto_economico!L29</f>
        <v>912043073.80999994</v>
      </c>
      <c r="G9" s="71">
        <f t="shared" si="0"/>
        <v>-26183254.090000153</v>
      </c>
      <c r="H9" s="71">
        <f>Conto_economico!D29</f>
        <v>759722912</v>
      </c>
      <c r="I9" s="71">
        <f>Conto_economico!E29</f>
        <v>933029274.6400001</v>
      </c>
      <c r="J9" s="71">
        <f>Conto_economico!F29</f>
        <v>682886505.48000002</v>
      </c>
      <c r="K9" s="71">
        <f>Conto_economico!G29</f>
        <v>710905189.45000005</v>
      </c>
    </row>
    <row r="10" spans="1:11" x14ac:dyDescent="0.3">
      <c r="A10" s="52" t="s">
        <v>307</v>
      </c>
      <c r="B10" s="71">
        <f t="shared" ref="B10:F10" si="1">B2-B5</f>
        <v>439273390.5800004</v>
      </c>
      <c r="C10" s="71">
        <f t="shared" ref="C10:E10" si="2">C2-C5</f>
        <v>940095333.57000017</v>
      </c>
      <c r="D10" s="71">
        <f t="shared" si="2"/>
        <v>501334859.43999982</v>
      </c>
      <c r="E10" s="71">
        <f t="shared" si="2"/>
        <v>591753831.6099999</v>
      </c>
      <c r="F10" s="71">
        <f t="shared" si="1"/>
        <v>749128293.48999977</v>
      </c>
      <c r="G10" s="71">
        <f t="shared" si="0"/>
        <v>157374461.87999988</v>
      </c>
      <c r="H10" s="71">
        <f>H2-H5</f>
        <v>313701701</v>
      </c>
      <c r="I10" s="71">
        <f t="shared" ref="I10:K10" si="3">I2-I5</f>
        <v>777153804.55000019</v>
      </c>
      <c r="J10" s="71">
        <f t="shared" si="3"/>
        <v>221124627.27999997</v>
      </c>
      <c r="K10" s="71">
        <f t="shared" si="3"/>
        <v>-198416637.89000034</v>
      </c>
    </row>
    <row r="11" spans="1:11" x14ac:dyDescent="0.3">
      <c r="A11" s="76" t="s">
        <v>308</v>
      </c>
      <c r="B11" s="69">
        <f>Conto_economico!H22-Conto_economico!H23</f>
        <v>-72900581.949999988</v>
      </c>
      <c r="C11" s="69">
        <f>Conto_economico!I22-Conto_economico!I23</f>
        <v>-69851131.039999992</v>
      </c>
      <c r="D11" s="69">
        <f>Conto_economico!J22-Conto_economico!J23</f>
        <v>-81005824.700000003</v>
      </c>
      <c r="E11" s="69">
        <f>Conto_economico!K22-Conto_economico!K23</f>
        <v>-100082544.11999999</v>
      </c>
      <c r="F11" s="69">
        <f>Conto_economico!L22-Conto_economico!L23</f>
        <v>-80298085.909999996</v>
      </c>
      <c r="G11" s="69">
        <f t="shared" si="0"/>
        <v>19784458.209999993</v>
      </c>
      <c r="H11" s="69">
        <f>Conto_economico!D22-Conto_economico!D23</f>
        <v>-87168382</v>
      </c>
      <c r="I11" s="69">
        <f>Conto_economico!E22-Conto_economico!E23</f>
        <v>-78296745.060000002</v>
      </c>
      <c r="J11" s="69">
        <f>Conto_economico!F22-Conto_economico!F23</f>
        <v>-80997099.429999992</v>
      </c>
      <c r="K11" s="69">
        <f>Conto_economico!G22-Conto_economico!G23</f>
        <v>-71144823.00999999</v>
      </c>
    </row>
    <row r="12" spans="1:11" x14ac:dyDescent="0.3">
      <c r="A12" s="76" t="s">
        <v>309</v>
      </c>
      <c r="B12" s="70">
        <f>Conto_economico!H25-Conto_economico!H26</f>
        <v>-67800043.949999928</v>
      </c>
      <c r="C12" s="70">
        <f>Conto_economico!I25-Conto_economico!I26</f>
        <v>-168536305.05000001</v>
      </c>
      <c r="D12" s="70">
        <f>Conto_economico!J25-Conto_economico!J26</f>
        <v>-434757188.49999994</v>
      </c>
      <c r="E12" s="70">
        <f>Conto_economico!K25-Conto_economico!K26</f>
        <v>-69404564.599999964</v>
      </c>
      <c r="F12" s="70">
        <f>Conto_economico!L25-Conto_economico!L26</f>
        <v>-431426662.21999997</v>
      </c>
      <c r="G12" s="69">
        <f t="shared" si="0"/>
        <v>-362022097.62</v>
      </c>
      <c r="H12" s="70">
        <f>Conto_economico!D25-Conto_economico!D26</f>
        <v>-86853334</v>
      </c>
      <c r="I12" s="70">
        <f>Conto_economico!E25-Conto_economico!E26</f>
        <v>-114989084.16</v>
      </c>
      <c r="J12" s="70">
        <f>Conto_economico!F25-Conto_economico!F26</f>
        <v>-206933644.68000001</v>
      </c>
      <c r="K12" s="70">
        <f>Conto_economico!G25-Conto_economico!G26</f>
        <v>79376284.290000081</v>
      </c>
    </row>
    <row r="13" spans="1:11" x14ac:dyDescent="0.3">
      <c r="A13" s="76" t="s">
        <v>255</v>
      </c>
      <c r="B13" s="70">
        <f>Conto_economico!H24</f>
        <v>0</v>
      </c>
      <c r="C13" s="70">
        <f>Conto_economico!I24</f>
        <v>0</v>
      </c>
      <c r="D13" s="70">
        <f>Conto_economico!J24</f>
        <v>0</v>
      </c>
      <c r="E13" s="70">
        <f>Conto_economico!K24</f>
        <v>0</v>
      </c>
      <c r="F13" s="70">
        <f>Conto_economico!L24</f>
        <v>0</v>
      </c>
      <c r="G13" s="69">
        <f t="shared" si="0"/>
        <v>0</v>
      </c>
      <c r="H13" s="70">
        <f>Conto_economico!D24</f>
        <v>0</v>
      </c>
      <c r="I13" s="70">
        <f>Conto_economico!E24</f>
        <v>0</v>
      </c>
      <c r="J13" s="70">
        <f>Conto_economico!F24</f>
        <v>-82206956.209999993</v>
      </c>
      <c r="K13" s="70">
        <f>Conto_economico!G24</f>
        <v>0</v>
      </c>
    </row>
    <row r="14" spans="1:11" x14ac:dyDescent="0.3">
      <c r="A14" s="52" t="s">
        <v>310</v>
      </c>
      <c r="B14" s="71">
        <f t="shared" ref="B14:F14" si="4">SUM(B10:B13)</f>
        <v>298572764.68000048</v>
      </c>
      <c r="C14" s="71">
        <f t="shared" ref="C14:E14" si="5">SUM(C10:C13)</f>
        <v>701707897.48000026</v>
      </c>
      <c r="D14" s="71">
        <f t="shared" si="5"/>
        <v>-14428153.76000011</v>
      </c>
      <c r="E14" s="71">
        <f t="shared" si="5"/>
        <v>422266722.88999993</v>
      </c>
      <c r="F14" s="71">
        <f t="shared" si="4"/>
        <v>237403545.35999984</v>
      </c>
      <c r="G14" s="71">
        <f t="shared" si="0"/>
        <v>-184863177.53000009</v>
      </c>
      <c r="H14" s="71">
        <f>SUM(H10:H13)</f>
        <v>139679985</v>
      </c>
      <c r="I14" s="71">
        <f t="shared" ref="I14:K14" si="6">SUM(I10:I13)</f>
        <v>583867975.33000028</v>
      </c>
      <c r="J14" s="71">
        <f t="shared" si="6"/>
        <v>-149013073.04000002</v>
      </c>
      <c r="K14" s="71">
        <f t="shared" si="6"/>
        <v>-190185176.61000025</v>
      </c>
    </row>
    <row r="15" spans="1:11" x14ac:dyDescent="0.3">
      <c r="A15" s="76" t="s">
        <v>258</v>
      </c>
      <c r="B15" s="69">
        <f>Conto_economico!H27</f>
        <v>15322588.23</v>
      </c>
      <c r="C15" s="69">
        <f>Conto_economico!I27</f>
        <v>13425670.109999999</v>
      </c>
      <c r="D15" s="69">
        <f>Conto_economico!J27</f>
        <v>12035743.199999999</v>
      </c>
      <c r="E15" s="69">
        <f>Conto_economico!K27</f>
        <v>12298436.359999999</v>
      </c>
      <c r="F15" s="69">
        <f>Conto_economico!L27</f>
        <v>14359623.92</v>
      </c>
      <c r="G15" s="69">
        <f t="shared" si="0"/>
        <v>2061187.5600000005</v>
      </c>
      <c r="H15" s="69">
        <f>Conto_economico!D27</f>
        <v>20922220</v>
      </c>
      <c r="I15" s="69">
        <f>Conto_economico!E27</f>
        <v>18472123.140000001</v>
      </c>
      <c r="J15" s="69">
        <f>Conto_economico!F27</f>
        <v>17181702.120000001</v>
      </c>
      <c r="K15" s="69">
        <f>Conto_economico!G27</f>
        <v>17051567.420000002</v>
      </c>
    </row>
    <row r="16" spans="1:11" x14ac:dyDescent="0.3">
      <c r="A16" s="100" t="s">
        <v>259</v>
      </c>
      <c r="B16" s="99">
        <f t="shared" ref="B16:F16" si="7">B14-B15</f>
        <v>283250176.45000046</v>
      </c>
      <c r="C16" s="99">
        <f t="shared" ref="C16:E16" si="8">C14-C15</f>
        <v>688282227.37000024</v>
      </c>
      <c r="D16" s="99">
        <f t="shared" si="8"/>
        <v>-26463896.960000109</v>
      </c>
      <c r="E16" s="99">
        <f t="shared" si="8"/>
        <v>409968286.52999991</v>
      </c>
      <c r="F16" s="99">
        <f t="shared" si="7"/>
        <v>223043921.43999985</v>
      </c>
      <c r="G16" s="72">
        <f t="shared" si="0"/>
        <v>-186924365.09000006</v>
      </c>
      <c r="H16" s="99">
        <f>H14-H15</f>
        <v>118757765</v>
      </c>
      <c r="I16" s="99">
        <f t="shared" ref="I16:K16" si="9">I14-I15</f>
        <v>565395852.1900003</v>
      </c>
      <c r="J16" s="99">
        <f t="shared" si="9"/>
        <v>-166194775.16000003</v>
      </c>
      <c r="K16" s="99">
        <f t="shared" si="9"/>
        <v>-207236744.03000027</v>
      </c>
    </row>
  </sheetData>
  <conditionalFormatting sqref="F10:G10 B16 F16:K16 B10 B14 F14:K14 B9:D9 H9:K10">
    <cfRule type="cellIs" dxfId="94" priority="16" operator="lessThan">
      <formula>0</formula>
    </cfRule>
  </conditionalFormatting>
  <conditionalFormatting sqref="G16">
    <cfRule type="cellIs" dxfId="93" priority="13" operator="greaterThan">
      <formula>0</formula>
    </cfRule>
  </conditionalFormatting>
  <conditionalFormatting sqref="C14 C10 C16">
    <cfRule type="cellIs" dxfId="92" priority="7" operator="lessThan">
      <formula>0</formula>
    </cfRule>
  </conditionalFormatting>
  <conditionalFormatting sqref="D14 D10 D16">
    <cfRule type="cellIs" dxfId="91" priority="6" operator="lessThan">
      <formula>0</formula>
    </cfRule>
  </conditionalFormatting>
  <conditionalFormatting sqref="F9:G9">
    <cfRule type="cellIs" dxfId="90" priority="5" operator="lessThan">
      <formula>0</formula>
    </cfRule>
  </conditionalFormatting>
  <conditionalFormatting sqref="E14 E10 E16">
    <cfRule type="cellIs" dxfId="89" priority="2" operator="lessThan">
      <formula>0</formula>
    </cfRule>
  </conditionalFormatting>
  <conditionalFormatting sqref="E9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2024-12-27T12:02:19Z</dcterms:modified>
</cp:coreProperties>
</file>