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4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J6" i="9"/>
  <c r="J5" i="9"/>
  <c r="J4" i="9"/>
  <c r="J3" i="9"/>
  <c r="J2" i="9"/>
  <c r="H6" i="9"/>
  <c r="H5" i="9"/>
  <c r="H4" i="9"/>
  <c r="H3" i="9"/>
  <c r="H2" i="9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H29" i="8"/>
  <c r="H28" i="8"/>
  <c r="H26" i="8"/>
  <c r="H25" i="8"/>
  <c r="H24" i="8"/>
  <c r="H23" i="8"/>
  <c r="H22" i="8"/>
  <c r="H19" i="8"/>
  <c r="H18" i="8"/>
  <c r="H17" i="8"/>
  <c r="H16" i="8"/>
  <c r="H14" i="8"/>
  <c r="H13" i="8"/>
  <c r="H12" i="8"/>
  <c r="H11" i="8"/>
  <c r="H15" i="8" s="1"/>
  <c r="H9" i="8"/>
  <c r="H8" i="8"/>
  <c r="H7" i="8"/>
  <c r="H6" i="8"/>
  <c r="H5" i="8"/>
  <c r="H4" i="8"/>
  <c r="H3" i="8"/>
  <c r="H2" i="8"/>
  <c r="H10" i="8" s="1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H19" i="7"/>
  <c r="H18" i="7"/>
  <c r="H17" i="7"/>
  <c r="H14" i="7"/>
  <c r="H13" i="7"/>
  <c r="H12" i="7"/>
  <c r="H10" i="7"/>
  <c r="H9" i="7"/>
  <c r="H8" i="7"/>
  <c r="H7" i="7"/>
  <c r="H6" i="7"/>
  <c r="H4" i="7"/>
  <c r="H3" i="7"/>
  <c r="H2" i="7"/>
  <c r="H5" i="7" s="1"/>
  <c r="W54" i="2"/>
  <c r="W55" i="2" s="1"/>
  <c r="Z55" i="2" s="1"/>
  <c r="W53" i="2"/>
  <c r="X52" i="2"/>
  <c r="W52" i="2"/>
  <c r="X51" i="2"/>
  <c r="AA51" i="2" s="1"/>
  <c r="W51" i="2"/>
  <c r="X50" i="2"/>
  <c r="W50" i="2"/>
  <c r="X49" i="2"/>
  <c r="X54" i="2" s="1"/>
  <c r="W49" i="2"/>
  <c r="X48" i="2"/>
  <c r="W48" i="2"/>
  <c r="W20" i="2"/>
  <c r="W21" i="2" s="1"/>
  <c r="Z21" i="2" s="1"/>
  <c r="X16" i="2"/>
  <c r="AA16" i="2" s="1"/>
  <c r="W16" i="2"/>
  <c r="X15" i="2"/>
  <c r="W15" i="2"/>
  <c r="X14" i="2"/>
  <c r="X20" i="2" s="1"/>
  <c r="W14" i="2"/>
  <c r="AA57" i="2"/>
  <c r="Z57" i="2"/>
  <c r="AA53" i="2"/>
  <c r="Z53" i="2"/>
  <c r="AA52" i="2"/>
  <c r="Z52" i="2"/>
  <c r="Z51" i="2"/>
  <c r="AA50" i="2"/>
  <c r="Z50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Z20" i="2"/>
  <c r="AA19" i="2"/>
  <c r="Z19" i="2"/>
  <c r="AA18" i="2"/>
  <c r="Z18" i="2"/>
  <c r="AA17" i="2"/>
  <c r="Z17" i="2"/>
  <c r="Z16" i="2"/>
  <c r="AA15" i="2"/>
  <c r="Z15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27" i="8" l="1"/>
  <c r="H20" i="8"/>
  <c r="H30" i="8" s="1"/>
  <c r="H31" i="8" s="1"/>
  <c r="H21" i="8"/>
  <c r="H11" i="7"/>
  <c r="H15" i="7"/>
  <c r="H20" i="7"/>
  <c r="H21" i="7" s="1"/>
  <c r="H16" i="7"/>
  <c r="AA20" i="2"/>
  <c r="X21" i="2"/>
  <c r="AA21" i="2" s="1"/>
  <c r="X55" i="2"/>
  <c r="AA55" i="2" s="1"/>
  <c r="AA54" i="2"/>
  <c r="AA49" i="2"/>
  <c r="Z54" i="2"/>
  <c r="AA14" i="2"/>
  <c r="U57" i="2" l="1"/>
  <c r="T53" i="2"/>
  <c r="V53" i="2" s="1"/>
  <c r="V52" i="2"/>
  <c r="U52" i="2"/>
  <c r="T52" i="2"/>
  <c r="U51" i="2"/>
  <c r="U54" i="2" s="1"/>
  <c r="U55" i="2" s="1"/>
  <c r="T51" i="2"/>
  <c r="V51" i="2" s="1"/>
  <c r="U50" i="2"/>
  <c r="T50" i="2"/>
  <c r="V50" i="2" s="1"/>
  <c r="V49" i="2"/>
  <c r="U49" i="2"/>
  <c r="T49" i="2"/>
  <c r="V48" i="2"/>
  <c r="U48" i="2"/>
  <c r="U61" i="2" s="1"/>
  <c r="T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U21" i="2"/>
  <c r="U20" i="2"/>
  <c r="V19" i="2"/>
  <c r="V18" i="2"/>
  <c r="V17" i="2"/>
  <c r="V16" i="2"/>
  <c r="U16" i="2"/>
  <c r="T16" i="2"/>
  <c r="V15" i="2"/>
  <c r="U15" i="2"/>
  <c r="T15" i="2"/>
  <c r="T57" i="2" s="1"/>
  <c r="U14" i="2"/>
  <c r="U56" i="2" s="1"/>
  <c r="T14" i="2"/>
  <c r="T56" i="2" s="1"/>
  <c r="V13" i="2"/>
  <c r="V12" i="2"/>
  <c r="V11" i="2"/>
  <c r="V10" i="2"/>
  <c r="V9" i="2"/>
  <c r="V8" i="2"/>
  <c r="V7" i="2"/>
  <c r="V6" i="2"/>
  <c r="V5" i="2"/>
  <c r="V4" i="2"/>
  <c r="V3" i="2"/>
  <c r="K24" i="5"/>
  <c r="J27" i="5"/>
  <c r="J28" i="5" s="1"/>
  <c r="J26" i="5"/>
  <c r="J24" i="5"/>
  <c r="J13" i="5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J15" i="10"/>
  <c r="J13" i="10"/>
  <c r="J12" i="10"/>
  <c r="J11" i="10"/>
  <c r="J9" i="10"/>
  <c r="J8" i="10"/>
  <c r="J7" i="10"/>
  <c r="J6" i="10"/>
  <c r="J5" i="10"/>
  <c r="J4" i="10"/>
  <c r="J3" i="10"/>
  <c r="J2" i="10"/>
  <c r="J10" i="10" s="1"/>
  <c r="J14" i="10" s="1"/>
  <c r="J16" i="10" s="1"/>
  <c r="M27" i="6"/>
  <c r="M26" i="6"/>
  <c r="M25" i="6"/>
  <c r="M24" i="6"/>
  <c r="M23" i="6"/>
  <c r="M22" i="6"/>
  <c r="M20" i="6"/>
  <c r="M19" i="6"/>
  <c r="M18" i="6"/>
  <c r="M17" i="6"/>
  <c r="M16" i="6"/>
  <c r="M15" i="6"/>
  <c r="M14" i="6"/>
  <c r="M13" i="6"/>
  <c r="M12" i="6"/>
  <c r="M11" i="6"/>
  <c r="M9" i="6"/>
  <c r="M8" i="6"/>
  <c r="M7" i="6"/>
  <c r="M6" i="6"/>
  <c r="M5" i="6"/>
  <c r="M4" i="6"/>
  <c r="M3" i="6"/>
  <c r="M2" i="6"/>
  <c r="K21" i="6"/>
  <c r="K10" i="6"/>
  <c r="K29" i="6" s="1"/>
  <c r="J23" i="1"/>
  <c r="J19" i="1"/>
  <c r="J13" i="1"/>
  <c r="J7" i="1"/>
  <c r="J21" i="1" s="1"/>
  <c r="U59" i="2" l="1"/>
  <c r="T20" i="2"/>
  <c r="T54" i="2"/>
  <c r="T58" i="2"/>
  <c r="U58" i="2"/>
  <c r="V14" i="2"/>
  <c r="U60" i="2"/>
  <c r="K28" i="6"/>
  <c r="G3" i="13"/>
  <c r="G4" i="13"/>
  <c r="T55" i="2" l="1"/>
  <c r="V55" i="2" s="1"/>
  <c r="V54" i="2"/>
  <c r="T21" i="2"/>
  <c r="V20" i="2"/>
  <c r="C9" i="10"/>
  <c r="D9" i="10"/>
  <c r="E9" i="10"/>
  <c r="F9" i="10"/>
  <c r="G9" i="10"/>
  <c r="H9" i="10"/>
  <c r="I9" i="10"/>
  <c r="B9" i="10"/>
  <c r="J29" i="6"/>
  <c r="I29" i="6"/>
  <c r="H29" i="6"/>
  <c r="G29" i="6"/>
  <c r="F29" i="6"/>
  <c r="E29" i="6"/>
  <c r="D29" i="6"/>
  <c r="C29" i="6"/>
  <c r="V21" i="2" l="1"/>
  <c r="T59" i="2"/>
  <c r="J9" i="12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15" i="8" l="1"/>
  <c r="G27" i="8"/>
  <c r="G10" i="8"/>
  <c r="G20" i="8"/>
  <c r="G30" i="8"/>
  <c r="G21" i="8"/>
  <c r="G5" i="7"/>
  <c r="G15" i="7"/>
  <c r="G11" i="7"/>
  <c r="G20" i="7" s="1"/>
  <c r="G21" i="7" l="1"/>
  <c r="G31" i="8"/>
  <c r="G16" i="7"/>
  <c r="R54" i="2"/>
  <c r="R55" i="2" s="1"/>
  <c r="Q53" i="2"/>
  <c r="S53" i="2" s="1"/>
  <c r="R52" i="2"/>
  <c r="Q52" i="2"/>
  <c r="S52" i="2" s="1"/>
  <c r="R51" i="2"/>
  <c r="Q51" i="2"/>
  <c r="S51" i="2" s="1"/>
  <c r="R50" i="2"/>
  <c r="Q50" i="2"/>
  <c r="S50" i="2" s="1"/>
  <c r="R49" i="2"/>
  <c r="Q49" i="2"/>
  <c r="S49" i="2" s="1"/>
  <c r="S48" i="2"/>
  <c r="R48" i="2"/>
  <c r="R61" i="2" s="1"/>
  <c r="Q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Q14" i="2"/>
  <c r="S13" i="2"/>
  <c r="S12" i="2"/>
  <c r="S11" i="2"/>
  <c r="S10" i="2"/>
  <c r="S9" i="2"/>
  <c r="S8" i="2"/>
  <c r="S7" i="2"/>
  <c r="S6" i="2"/>
  <c r="S5" i="2"/>
  <c r="S4" i="2"/>
  <c r="S3" i="2"/>
  <c r="I27" i="5"/>
  <c r="I28" i="5" s="1"/>
  <c r="I24" i="5"/>
  <c r="I26" i="5" s="1"/>
  <c r="I13" i="5"/>
  <c r="I15" i="10"/>
  <c r="I13" i="10"/>
  <c r="I12" i="10"/>
  <c r="I11" i="10"/>
  <c r="I8" i="10"/>
  <c r="I7" i="10"/>
  <c r="I6" i="10"/>
  <c r="I5" i="10"/>
  <c r="I4" i="10"/>
  <c r="I3" i="10"/>
  <c r="I2" i="10"/>
  <c r="I10" i="10" s="1"/>
  <c r="J21" i="6"/>
  <c r="J10" i="6"/>
  <c r="J28" i="6" s="1"/>
  <c r="I23" i="1"/>
  <c r="I19" i="1"/>
  <c r="I13" i="1"/>
  <c r="I7" i="1"/>
  <c r="I21" i="1" s="1"/>
  <c r="Q56" i="2" l="1"/>
  <c r="G2" i="9" s="1"/>
  <c r="R56" i="2"/>
  <c r="R57" i="2"/>
  <c r="R20" i="2"/>
  <c r="S16" i="2"/>
  <c r="G4" i="9"/>
  <c r="Q57" i="2"/>
  <c r="S15" i="2"/>
  <c r="I14" i="10"/>
  <c r="I16" i="10" s="1"/>
  <c r="Q20" i="2"/>
  <c r="Q54" i="2"/>
  <c r="Q58" i="2"/>
  <c r="G5" i="9" s="1"/>
  <c r="R58" i="2"/>
  <c r="S14" i="2"/>
  <c r="R60" i="2"/>
  <c r="R21" i="2" l="1"/>
  <c r="G3" i="9"/>
  <c r="Q55" i="2"/>
  <c r="S55" i="2" s="1"/>
  <c r="S54" i="2"/>
  <c r="Q21" i="2"/>
  <c r="S20" i="2"/>
  <c r="G11" i="13"/>
  <c r="G10" i="13"/>
  <c r="G9" i="13"/>
  <c r="G8" i="13"/>
  <c r="G7" i="13"/>
  <c r="G6" i="13"/>
  <c r="G5" i="13"/>
  <c r="R59" i="2" l="1"/>
  <c r="S21" i="2"/>
  <c r="Q59" i="2"/>
  <c r="G6" i="9" s="1"/>
  <c r="I9" i="12"/>
  <c r="I8" i="12"/>
  <c r="I7" i="12"/>
  <c r="I6" i="12"/>
  <c r="I5" i="12"/>
  <c r="I4" i="12"/>
  <c r="I3" i="12"/>
  <c r="I2" i="12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15" i="8" l="1"/>
  <c r="F5" i="7"/>
  <c r="F10" i="8"/>
  <c r="F27" i="8"/>
  <c r="F20" i="8"/>
  <c r="F15" i="7"/>
  <c r="F11" i="7"/>
  <c r="F16" i="7" s="1"/>
  <c r="F20" i="7" l="1"/>
  <c r="F21" i="8"/>
  <c r="F30" i="8"/>
  <c r="F31" i="8" l="1"/>
  <c r="F21" i="7"/>
  <c r="N53" i="2"/>
  <c r="P53" i="2" s="1"/>
  <c r="O52" i="2"/>
  <c r="N52" i="2"/>
  <c r="P52" i="2" s="1"/>
  <c r="O51" i="2"/>
  <c r="P51" i="2" s="1"/>
  <c r="N51" i="2"/>
  <c r="O50" i="2"/>
  <c r="O54" i="2" s="1"/>
  <c r="O55" i="2" s="1"/>
  <c r="N50" i="2"/>
  <c r="P50" i="2" s="1"/>
  <c r="P49" i="2"/>
  <c r="O49" i="2"/>
  <c r="N49" i="2"/>
  <c r="N54" i="2" s="1"/>
  <c r="P48" i="2"/>
  <c r="O48" i="2"/>
  <c r="O61" i="2" s="1"/>
  <c r="N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F4" i="9" s="1"/>
  <c r="O15" i="2"/>
  <c r="N15" i="2"/>
  <c r="P15" i="2" s="1"/>
  <c r="O14" i="2"/>
  <c r="N14" i="2"/>
  <c r="P13" i="2"/>
  <c r="P12" i="2"/>
  <c r="P11" i="2"/>
  <c r="P10" i="2"/>
  <c r="P9" i="2"/>
  <c r="P8" i="2"/>
  <c r="P7" i="2"/>
  <c r="P6" i="2"/>
  <c r="P5" i="2"/>
  <c r="P4" i="2"/>
  <c r="P3" i="2"/>
  <c r="H27" i="5"/>
  <c r="H26" i="5"/>
  <c r="H24" i="5"/>
  <c r="H13" i="5"/>
  <c r="H15" i="10"/>
  <c r="H13" i="10"/>
  <c r="H12" i="10"/>
  <c r="H11" i="10"/>
  <c r="H8" i="10"/>
  <c r="H7" i="10"/>
  <c r="H6" i="10"/>
  <c r="H5" i="10"/>
  <c r="H4" i="10"/>
  <c r="H3" i="10"/>
  <c r="I21" i="6"/>
  <c r="I10" i="6"/>
  <c r="I28" i="6" s="1"/>
  <c r="H23" i="1"/>
  <c r="H19" i="1"/>
  <c r="H13" i="1"/>
  <c r="H7" i="1"/>
  <c r="H21" i="1" s="1"/>
  <c r="O56" i="2" l="1"/>
  <c r="N57" i="2"/>
  <c r="F3" i="9" s="1"/>
  <c r="O20" i="2"/>
  <c r="O57" i="2"/>
  <c r="P16" i="2"/>
  <c r="O60" i="2"/>
  <c r="H2" i="10"/>
  <c r="H10" i="10" s="1"/>
  <c r="H14" i="10" s="1"/>
  <c r="H16" i="10" s="1"/>
  <c r="N55" i="2"/>
  <c r="P55" i="2" s="1"/>
  <c r="P54" i="2"/>
  <c r="N56" i="2"/>
  <c r="F2" i="9" s="1"/>
  <c r="N20" i="2"/>
  <c r="N58" i="2"/>
  <c r="F5" i="9" s="1"/>
  <c r="O58" i="2"/>
  <c r="P14" i="2"/>
  <c r="H28" i="5"/>
  <c r="K27" i="5"/>
  <c r="G27" i="5"/>
  <c r="F27" i="5"/>
  <c r="E27" i="5"/>
  <c r="D27" i="5"/>
  <c r="C27" i="5"/>
  <c r="B27" i="5"/>
  <c r="O21" i="2" l="1"/>
  <c r="O59" i="2" s="1"/>
  <c r="N21" i="2"/>
  <c r="P20" i="2"/>
  <c r="P21" i="2" l="1"/>
  <c r="N59" i="2"/>
  <c r="F6" i="9" s="1"/>
  <c r="H9" i="12"/>
  <c r="H8" i="12"/>
  <c r="H7" i="12"/>
  <c r="H6" i="12"/>
  <c r="H5" i="12"/>
  <c r="H4" i="12"/>
  <c r="H3" i="12"/>
  <c r="H2" i="12"/>
  <c r="E4" i="9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I2" i="8"/>
  <c r="I3" i="8"/>
  <c r="I4" i="8"/>
  <c r="I5" i="8"/>
  <c r="I6" i="8"/>
  <c r="I7" i="8"/>
  <c r="I8" i="8"/>
  <c r="I9" i="8"/>
  <c r="I11" i="8"/>
  <c r="I12" i="8"/>
  <c r="I13" i="8"/>
  <c r="I14" i="8"/>
  <c r="I16" i="8"/>
  <c r="I17" i="8"/>
  <c r="I18" i="8"/>
  <c r="I19" i="8"/>
  <c r="I22" i="8"/>
  <c r="I23" i="8"/>
  <c r="I24" i="8"/>
  <c r="I25" i="8"/>
  <c r="I26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E5" i="7" l="1"/>
  <c r="E10" i="8"/>
  <c r="E15" i="8"/>
  <c r="E20" i="8"/>
  <c r="E27" i="8"/>
  <c r="I10" i="8"/>
  <c r="I20" i="8"/>
  <c r="I15" i="8"/>
  <c r="I27" i="8"/>
  <c r="E11" i="7"/>
  <c r="E15" i="7"/>
  <c r="E16" i="7" l="1"/>
  <c r="E21" i="8"/>
  <c r="E30" i="8"/>
  <c r="I21" i="8"/>
  <c r="E20" i="7"/>
  <c r="E21" i="7" l="1"/>
  <c r="E31" i="8"/>
  <c r="I28" i="8"/>
  <c r="L61" i="2"/>
  <c r="L60" i="2"/>
  <c r="L58" i="2"/>
  <c r="K58" i="2"/>
  <c r="L57" i="2"/>
  <c r="K57" i="2"/>
  <c r="L56" i="2"/>
  <c r="K56" i="2"/>
  <c r="L54" i="2"/>
  <c r="K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K26" i="5"/>
  <c r="K13" i="5"/>
  <c r="K15" i="10"/>
  <c r="K13" i="10"/>
  <c r="K12" i="10"/>
  <c r="K11" i="10"/>
  <c r="K8" i="10"/>
  <c r="K7" i="10"/>
  <c r="K6" i="10"/>
  <c r="K4" i="10"/>
  <c r="K3" i="10"/>
  <c r="L21" i="6"/>
  <c r="M21" i="6" s="1"/>
  <c r="L10" i="6"/>
  <c r="K23" i="1"/>
  <c r="K19" i="1"/>
  <c r="K13" i="1"/>
  <c r="K7" i="1"/>
  <c r="L9" i="12"/>
  <c r="L8" i="12"/>
  <c r="L7" i="12"/>
  <c r="L6" i="12"/>
  <c r="L5" i="12"/>
  <c r="L4" i="12"/>
  <c r="L3" i="12"/>
  <c r="L2" i="12"/>
  <c r="K4" i="9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W58" i="2"/>
  <c r="Z58" i="2" s="1"/>
  <c r="W57" i="2"/>
  <c r="W56" i="2"/>
  <c r="Z56" i="2" s="1"/>
  <c r="M10" i="6" l="1"/>
  <c r="L29" i="6"/>
  <c r="I5" i="9"/>
  <c r="I2" i="9"/>
  <c r="I3" i="9"/>
  <c r="K5" i="10"/>
  <c r="K2" i="10"/>
  <c r="E3" i="9"/>
  <c r="L55" i="2"/>
  <c r="X60" i="2"/>
  <c r="X61" i="2"/>
  <c r="E2" i="9"/>
  <c r="E5" i="9"/>
  <c r="I4" i="9"/>
  <c r="I29" i="8"/>
  <c r="M54" i="2"/>
  <c r="X56" i="2"/>
  <c r="AA56" i="2" s="1"/>
  <c r="X57" i="2"/>
  <c r="K3" i="9" s="1"/>
  <c r="X58" i="2"/>
  <c r="AA58" i="2" s="1"/>
  <c r="K55" i="2"/>
  <c r="D5" i="7"/>
  <c r="D15" i="7"/>
  <c r="K28" i="5"/>
  <c r="L28" i="6"/>
  <c r="M28" i="6" s="1"/>
  <c r="K21" i="1"/>
  <c r="D10" i="8"/>
  <c r="D15" i="8"/>
  <c r="D20" i="8"/>
  <c r="D27" i="8"/>
  <c r="D11" i="7"/>
  <c r="M29" i="6" l="1"/>
  <c r="K9" i="10"/>
  <c r="K5" i="9"/>
  <c r="K2" i="9"/>
  <c r="K10" i="10"/>
  <c r="L59" i="2"/>
  <c r="I30" i="8"/>
  <c r="D20" i="7"/>
  <c r="D21" i="7" s="1"/>
  <c r="D16" i="7"/>
  <c r="D21" i="8"/>
  <c r="M55" i="2"/>
  <c r="K59" i="2"/>
  <c r="E6" i="9" s="1"/>
  <c r="J53" i="2"/>
  <c r="H53" i="2"/>
  <c r="D29" i="8" s="1"/>
  <c r="I52" i="2"/>
  <c r="H52" i="2"/>
  <c r="I51" i="2"/>
  <c r="H51" i="2"/>
  <c r="J50" i="2"/>
  <c r="I50" i="2"/>
  <c r="H50" i="2"/>
  <c r="I49" i="2"/>
  <c r="H49" i="2"/>
  <c r="J49" i="2" s="1"/>
  <c r="I48" i="2"/>
  <c r="H48" i="2"/>
  <c r="J48" i="2" s="1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D4" i="9" s="1"/>
  <c r="I15" i="2"/>
  <c r="I57" i="2" s="1"/>
  <c r="H15" i="2"/>
  <c r="I14" i="2"/>
  <c r="H14" i="2"/>
  <c r="J13" i="2"/>
  <c r="J12" i="2"/>
  <c r="J11" i="2"/>
  <c r="J10" i="2"/>
  <c r="J9" i="2"/>
  <c r="J8" i="2"/>
  <c r="J7" i="2"/>
  <c r="J6" i="2"/>
  <c r="J5" i="2"/>
  <c r="J4" i="2"/>
  <c r="J3" i="2"/>
  <c r="C23" i="1"/>
  <c r="D23" i="1"/>
  <c r="E23" i="1"/>
  <c r="F23" i="1"/>
  <c r="G23" i="1"/>
  <c r="B23" i="1"/>
  <c r="J16" i="2" l="1"/>
  <c r="K14" i="10"/>
  <c r="J14" i="2"/>
  <c r="H56" i="2"/>
  <c r="D2" i="9" s="1"/>
  <c r="H58" i="2"/>
  <c r="D5" i="9" s="1"/>
  <c r="I54" i="2"/>
  <c r="I55" i="2" s="1"/>
  <c r="I61" i="2"/>
  <c r="I58" i="2"/>
  <c r="I60" i="2"/>
  <c r="I56" i="2"/>
  <c r="J52" i="2"/>
  <c r="D28" i="8"/>
  <c r="D30" i="8" s="1"/>
  <c r="D31" i="8" s="1"/>
  <c r="I31" i="8"/>
  <c r="J15" i="2"/>
  <c r="H57" i="2"/>
  <c r="D3" i="9" s="1"/>
  <c r="J51" i="2"/>
  <c r="H20" i="2"/>
  <c r="H54" i="2"/>
  <c r="I20" i="2"/>
  <c r="I21" i="2" s="1"/>
  <c r="I59" i="2" s="1"/>
  <c r="K16" i="10" l="1"/>
  <c r="J20" i="2"/>
  <c r="H21" i="2"/>
  <c r="J54" i="2"/>
  <c r="H55" i="2"/>
  <c r="J55" i="2" s="1"/>
  <c r="H59" i="2" l="1"/>
  <c r="D6" i="9" s="1"/>
  <c r="J21" i="2"/>
  <c r="G24" i="5" l="1"/>
  <c r="G26" i="5"/>
  <c r="G13" i="5"/>
  <c r="G15" i="10"/>
  <c r="G13" i="10"/>
  <c r="G12" i="10"/>
  <c r="G11" i="10"/>
  <c r="G8" i="10"/>
  <c r="G7" i="10"/>
  <c r="G6" i="10"/>
  <c r="G4" i="10"/>
  <c r="G3" i="10"/>
  <c r="H21" i="6"/>
  <c r="H10" i="6"/>
  <c r="G19" i="1"/>
  <c r="G13" i="1"/>
  <c r="G7" i="1"/>
  <c r="G28" i="5" l="1"/>
  <c r="G5" i="10"/>
  <c r="G2" i="10"/>
  <c r="H28" i="6"/>
  <c r="G21" i="1"/>
  <c r="G10" i="10" l="1"/>
  <c r="B15" i="10"/>
  <c r="B13" i="10"/>
  <c r="B12" i="10"/>
  <c r="B11" i="10"/>
  <c r="B7" i="10"/>
  <c r="B6" i="10"/>
  <c r="B3" i="10"/>
  <c r="C15" i="10"/>
  <c r="C13" i="10"/>
  <c r="C12" i="10"/>
  <c r="C11" i="10"/>
  <c r="C8" i="10"/>
  <c r="C7" i="10"/>
  <c r="C6" i="10"/>
  <c r="C4" i="10"/>
  <c r="C3" i="10"/>
  <c r="G14" i="10" l="1"/>
  <c r="B19" i="1"/>
  <c r="B23" i="5"/>
  <c r="B15" i="5"/>
  <c r="B24" i="5"/>
  <c r="B21" i="5"/>
  <c r="B5" i="5"/>
  <c r="B13" i="5" s="1"/>
  <c r="C16" i="6"/>
  <c r="B8" i="10" s="1"/>
  <c r="C14" i="6"/>
  <c r="C5" i="6"/>
  <c r="C4" i="6"/>
  <c r="B4" i="10" s="1"/>
  <c r="G16" i="10" l="1"/>
  <c r="C21" i="6"/>
  <c r="B5" i="10" s="1"/>
  <c r="C10" i="6"/>
  <c r="B2" i="10" s="1"/>
  <c r="B26" i="5"/>
  <c r="C13" i="1"/>
  <c r="C19" i="1"/>
  <c r="C24" i="5"/>
  <c r="C23" i="5"/>
  <c r="D24" i="5"/>
  <c r="D23" i="5"/>
  <c r="D21" i="6"/>
  <c r="C5" i="10" s="1"/>
  <c r="D10" i="6"/>
  <c r="C2" i="10" s="1"/>
  <c r="B10" i="10" l="1"/>
  <c r="B14" i="10" s="1"/>
  <c r="B16" i="10" s="1"/>
  <c r="C28" i="6"/>
  <c r="C10" i="10"/>
  <c r="C14" i="10" s="1"/>
  <c r="C16" i="10" s="1"/>
  <c r="D28" i="6"/>
  <c r="E53" i="2"/>
  <c r="F52" i="2"/>
  <c r="E52" i="2"/>
  <c r="F51" i="2"/>
  <c r="E51" i="2"/>
  <c r="F50" i="2"/>
  <c r="E50" i="2"/>
  <c r="F49" i="2"/>
  <c r="E49" i="2"/>
  <c r="F48" i="2"/>
  <c r="F61" i="2" s="1"/>
  <c r="E48" i="2"/>
  <c r="F16" i="2"/>
  <c r="E16" i="2"/>
  <c r="C4" i="9" s="1"/>
  <c r="F15" i="2"/>
  <c r="F57" i="2" s="1"/>
  <c r="E15" i="2"/>
  <c r="E57" i="2" s="1"/>
  <c r="C3" i="9" s="1"/>
  <c r="F14" i="2"/>
  <c r="E14" i="2"/>
  <c r="B53" i="2"/>
  <c r="C52" i="2"/>
  <c r="B52" i="2"/>
  <c r="C51" i="2"/>
  <c r="B51" i="2"/>
  <c r="C50" i="2"/>
  <c r="B50" i="2"/>
  <c r="C49" i="2"/>
  <c r="B49" i="2"/>
  <c r="C48" i="2"/>
  <c r="B48" i="2"/>
  <c r="C16" i="2"/>
  <c r="B16" i="2"/>
  <c r="B4" i="9" s="1"/>
  <c r="C15" i="2"/>
  <c r="C57" i="2" s="1"/>
  <c r="B15" i="2"/>
  <c r="C14" i="2"/>
  <c r="B14" i="2"/>
  <c r="B57" i="2" l="1"/>
  <c r="B3" i="9" s="1"/>
  <c r="F60" i="2"/>
  <c r="F56" i="2"/>
  <c r="F58" i="2"/>
  <c r="C61" i="2"/>
  <c r="B20" i="2"/>
  <c r="B21" i="2" s="1"/>
  <c r="B56" i="2"/>
  <c r="B2" i="9" s="1"/>
  <c r="B58" i="2"/>
  <c r="B5" i="9" s="1"/>
  <c r="C20" i="2"/>
  <c r="C21" i="2" s="1"/>
  <c r="C60" i="2"/>
  <c r="C58" i="2"/>
  <c r="C56" i="2"/>
  <c r="E20" i="2"/>
  <c r="E21" i="2" s="1"/>
  <c r="E58" i="2"/>
  <c r="C5" i="9" s="1"/>
  <c r="E56" i="2"/>
  <c r="C2" i="9" s="1"/>
  <c r="F20" i="2"/>
  <c r="F21" i="2" s="1"/>
  <c r="E24" i="5"/>
  <c r="F24" i="5"/>
  <c r="B13" i="1" l="1"/>
  <c r="B7" i="1"/>
  <c r="C7" i="1"/>
  <c r="B21" i="1" l="1"/>
  <c r="C21" i="1"/>
  <c r="F21" i="6" l="1"/>
  <c r="G21" i="6"/>
  <c r="E21" i="6"/>
  <c r="G10" i="6"/>
  <c r="F10" i="6"/>
  <c r="E10" i="6"/>
  <c r="C26" i="5" l="1"/>
  <c r="C13" i="5"/>
  <c r="E19" i="1"/>
  <c r="D19" i="1"/>
  <c r="F19" i="1"/>
  <c r="D13" i="1"/>
  <c r="E13" i="1"/>
  <c r="F13" i="1"/>
  <c r="D7" i="1"/>
  <c r="E7" i="1"/>
  <c r="F7" i="1"/>
  <c r="F26" i="5" l="1"/>
  <c r="E26" i="5"/>
  <c r="D26" i="5"/>
  <c r="F13" i="5"/>
  <c r="E13" i="5"/>
  <c r="D13" i="5"/>
  <c r="F28" i="6"/>
  <c r="G28" i="6"/>
  <c r="E28" i="6"/>
  <c r="F28" i="5" l="1"/>
  <c r="D21" i="1"/>
  <c r="E21" i="1"/>
  <c r="F21" i="1"/>
  <c r="D6" i="10" l="1"/>
  <c r="E6" i="10"/>
  <c r="F6" i="10"/>
  <c r="D7" i="10"/>
  <c r="E7" i="10"/>
  <c r="F7" i="10"/>
  <c r="D8" i="10"/>
  <c r="E8" i="10"/>
  <c r="F8" i="10"/>
  <c r="D3" i="10"/>
  <c r="E3" i="10"/>
  <c r="F3" i="10"/>
  <c r="D4" i="10"/>
  <c r="E4" i="10"/>
  <c r="F4" i="10"/>
  <c r="G6" i="12" l="1"/>
  <c r="F2" i="12"/>
  <c r="G2" i="12"/>
  <c r="F3" i="12"/>
  <c r="G3" i="12"/>
  <c r="F4" i="12"/>
  <c r="G4" i="12"/>
  <c r="F5" i="12"/>
  <c r="G5" i="12"/>
  <c r="F6" i="12"/>
  <c r="F7" i="12"/>
  <c r="G7" i="12"/>
  <c r="F8" i="12"/>
  <c r="G8" i="12"/>
  <c r="F9" i="12"/>
  <c r="G9" i="12"/>
  <c r="E9" i="12"/>
  <c r="E8" i="12"/>
  <c r="E7" i="12"/>
  <c r="E6" i="12"/>
  <c r="E5" i="12"/>
  <c r="E4" i="12"/>
  <c r="E3" i="12"/>
  <c r="E2" i="12"/>
  <c r="D11" i="10"/>
  <c r="E11" i="10"/>
  <c r="F11" i="10"/>
  <c r="D12" i="10"/>
  <c r="E12" i="10"/>
  <c r="F12" i="10"/>
  <c r="D13" i="10"/>
  <c r="E13" i="10"/>
  <c r="F13" i="10"/>
  <c r="D15" i="10"/>
  <c r="E15" i="10"/>
  <c r="F15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M26" i="8"/>
  <c r="M25" i="8"/>
  <c r="M19" i="8"/>
  <c r="M17" i="8"/>
  <c r="M13" i="8"/>
  <c r="M7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I18" i="7"/>
  <c r="I17" i="7"/>
  <c r="I14" i="7"/>
  <c r="I13" i="7"/>
  <c r="I12" i="7"/>
  <c r="I10" i="7"/>
  <c r="I9" i="7"/>
  <c r="I8" i="7"/>
  <c r="I7" i="7"/>
  <c r="I6" i="7"/>
  <c r="I4" i="7"/>
  <c r="I3" i="7"/>
  <c r="I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5" i="8" l="1"/>
  <c r="M9" i="8"/>
  <c r="M8" i="7"/>
  <c r="M13" i="7"/>
  <c r="M6" i="7"/>
  <c r="M18" i="8"/>
  <c r="M6" i="8"/>
  <c r="M22" i="8"/>
  <c r="L20" i="8"/>
  <c r="M10" i="7"/>
  <c r="M9" i="7"/>
  <c r="M19" i="7"/>
  <c r="L11" i="7"/>
  <c r="M23" i="8"/>
  <c r="B5" i="7"/>
  <c r="M4" i="8"/>
  <c r="M8" i="8"/>
  <c r="M24" i="8"/>
  <c r="L15" i="7"/>
  <c r="M14" i="7"/>
  <c r="B11" i="7"/>
  <c r="M4" i="7"/>
  <c r="B27" i="8"/>
  <c r="B15" i="7"/>
  <c r="L27" i="8"/>
  <c r="L15" i="8"/>
  <c r="C27" i="8"/>
  <c r="L10" i="8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I5" i="7"/>
  <c r="I15" i="7"/>
  <c r="M3" i="7"/>
  <c r="C5" i="7"/>
  <c r="B21" i="8" l="1"/>
  <c r="C21" i="8"/>
  <c r="L21" i="8"/>
  <c r="C16" i="7"/>
  <c r="L16" i="7"/>
  <c r="I16" i="7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M5" i="7"/>
  <c r="I21" i="7" l="1"/>
  <c r="M21" i="8"/>
  <c r="M16" i="7"/>
  <c r="M20" i="7"/>
  <c r="L28" i="8"/>
  <c r="L30" i="8" s="1"/>
  <c r="L31" i="8" s="1"/>
  <c r="J8" i="7" l="1"/>
  <c r="J21" i="7"/>
  <c r="M21" i="7"/>
  <c r="J17" i="7"/>
  <c r="J6" i="7"/>
  <c r="J4" i="7"/>
  <c r="J18" i="7"/>
  <c r="J15" i="7"/>
  <c r="J14" i="7"/>
  <c r="J3" i="7"/>
  <c r="J5" i="7"/>
  <c r="J12" i="7"/>
  <c r="J13" i="7"/>
  <c r="J2" i="7"/>
  <c r="J9" i="7"/>
  <c r="J10" i="7"/>
  <c r="J11" i="7"/>
  <c r="J7" i="7"/>
  <c r="J16" i="7"/>
  <c r="E5" i="10"/>
  <c r="F5" i="10"/>
  <c r="D5" i="10"/>
  <c r="E2" i="10"/>
  <c r="F2" i="10"/>
  <c r="D2" i="10"/>
  <c r="E10" i="10" l="1"/>
  <c r="E14" i="10" s="1"/>
  <c r="E16" i="10" s="1"/>
  <c r="D10" i="10"/>
  <c r="D14" i="10" s="1"/>
  <c r="D16" i="10" s="1"/>
  <c r="F10" i="10"/>
  <c r="E54" i="2"/>
  <c r="E55" i="2" s="1"/>
  <c r="E59" i="2" s="1"/>
  <c r="C6" i="9" s="1"/>
  <c r="F54" i="2"/>
  <c r="F55" i="2" s="1"/>
  <c r="F59" i="2" s="1"/>
  <c r="F14" i="10" l="1"/>
  <c r="F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Y53" i="2" l="1"/>
  <c r="M28" i="8"/>
  <c r="Y49" i="2"/>
  <c r="Y52" i="2"/>
  <c r="Y51" i="2"/>
  <c r="Y50" i="2"/>
  <c r="Y48" i="2"/>
  <c r="Y16" i="2"/>
  <c r="Y14" i="2"/>
  <c r="Y15" i="2"/>
  <c r="M29" i="8" l="1"/>
  <c r="Y21" i="2"/>
  <c r="Y20" i="2"/>
  <c r="Y54" i="2"/>
  <c r="G12" i="2"/>
  <c r="D53" i="2"/>
  <c r="D52" i="2"/>
  <c r="X59" i="2" l="1"/>
  <c r="Y55" i="2"/>
  <c r="W59" i="2"/>
  <c r="J17" i="8"/>
  <c r="M30" i="8"/>
  <c r="J23" i="8"/>
  <c r="J16" i="8"/>
  <c r="J12" i="8"/>
  <c r="J24" i="8"/>
  <c r="J26" i="8"/>
  <c r="J6" i="8"/>
  <c r="J5" i="8"/>
  <c r="J7" i="8"/>
  <c r="J2" i="8"/>
  <c r="J19" i="8"/>
  <c r="J20" i="8"/>
  <c r="M31" i="8"/>
  <c r="J28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I6" i="9" l="1"/>
  <c r="Z59" i="2"/>
  <c r="K6" i="9"/>
  <c r="AA59" i="2"/>
  <c r="J10" i="8"/>
  <c r="J8" i="8"/>
  <c r="J18" i="8"/>
  <c r="J15" i="8"/>
  <c r="J25" i="8"/>
  <c r="J11" i="8"/>
  <c r="J14" i="8"/>
  <c r="J27" i="8"/>
  <c r="J4" i="8"/>
  <c r="J22" i="8"/>
  <c r="J3" i="8"/>
  <c r="J9" i="8"/>
  <c r="J31" i="8"/>
  <c r="J21" i="8"/>
  <c r="J13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<sst xmlns="http://schemas.openxmlformats.org/spreadsheetml/2006/main" count="498" uniqueCount="368">
  <si>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</si>
  <si>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</si>
  <si>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</si>
  <si>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</si>
  <si>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</si>
  <si>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</si>
  <si>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</si>
  <si>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</si>
  <si>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</si>
  <si>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</si>
  <si>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</si>
  <si>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</si>
  <si>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</si>
  <si>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</si>
  <si>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</si>
  <si>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</si>
  <si>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</si>
  <si>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</si>
  <si>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</si>
  <si>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</si>
  <si>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</si>
  <si>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</si>
  <si>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</si>
  <si>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</si>
  <si>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</si>
  <si>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</si>
  <si>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</si>
  <si>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</si>
  <si>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</si>
  <si>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</si>
  <si>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</si>
  <si>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</si>
  <si>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</si>
  <si>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</si>
  <si>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</si>
  <si>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</si>
  <si>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</si>
  <si>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</si>
  <si>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</si>
  <si>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</si>
  <si>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</si>
  <si>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</si>
  <si>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</si>
  <si>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</si>
  <si>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</si>
  <si>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</si>
  <si>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</si>
  <si>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</si>
  <si>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</si>
  <si>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</si>
  <si>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</si>
  <si>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</si>
  <si>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</si>
  <si>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</si>
  <si>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</si>
  <si>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</si>
  <si>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</si>
  <si>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</si>
  <si>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</si>
  <si>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</si>
  <si>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</si>
  <si>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</si>
  <si>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</si>
  <si>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</si>
  <si>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</si>
  <si>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</si>
  <si>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</si>
  <si>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</si>
  <si>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</si>
  <si>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</si>
  <si>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</si>
  <si>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</si>
  <si>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</si>
  <si>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</si>
  <si>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</si>
  <si>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</si>
  <si>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</si>
  <si>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</si>
  <si>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</si>
  <si>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</si>
  <si>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</si>
  <si>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</si>
  <si>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</si>
  <si>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</si>
  <si>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</si>
  <si>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</si>
  <si>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</si>
  <si>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</si>
  <si>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</si>
  <si>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</si>
  <si>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</si>
  <si>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</si>
  <si>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</si>
  <si>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</si>
  <si>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</si>
  <si>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</si>
  <si>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</si>
  <si>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</si>
  <si>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</si>
  <si>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</si>
  <si>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</si>
  <si>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</si>
  <si>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</si>
  <si>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</si>
  <si>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</si>
  <si>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</si>
  <si>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</si>
  <si>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</si>
  <si>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</si>
  <si>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</si>
  <si>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</si>
  <si>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</si>
  <si>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</si>
  <si>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</si>
  <si>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</si>
  <si>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</si>
  <si>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</si>
  <si>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</si>
  <si>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</si>
  <si>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</si>
  <si>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</si>
  <si>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</si>
  <si>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</si>
  <si>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</si>
  <si>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</si>
  <si>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</si>
  <si>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</si>
  <si>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</si>
  <si>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</si>
  <si>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</si>
  <si>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</si>
  <si>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</si>
  <si>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</si>
  <si>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</si>
  <si>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</si>
  <si>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</si>
  <si>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</si>
  <si>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</si>
  <si>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</si>
  <si>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</si>
  <si>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</si>
  <si>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</si>
  <si>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</si>
  <si>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</si>
  <si>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</si>
  <si>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</si>
  <si>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</si>
  <si>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</si>
  <si>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</si>
  <si>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</si>
  <si>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</si>
  <si>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</si>
  <si>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</si>
  <si>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</si>
  <si>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</si>
  <si>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</si>
  <si>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</si>
  <si>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</si>
  <si>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</si>
  <si>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</si>
  <si>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</si>
  <si>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</si>
  <si>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</si>
  <si>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</si>
  <si>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</si>
  <si>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</si>
  <si>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</si>
  <si>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</si>
  <si>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</si>
  <si>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</si>
  <si>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</si>
  <si>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</si>
  <si>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</si>
  <si>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</si>
  <si>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</si>
  <si>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</si>
  <si>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</si>
  <si>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</si>
  <si>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</si>
  <si>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</si>
  <si>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</si>
  <si>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</si>
  <si>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</si>
  <si>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</si>
  <si>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</si>
  <si>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</si>
  <si>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</si>
  <si>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</si>
  <si>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</si>
  <si>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</si>
  <si>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</si>
  <si>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</si>
  <si>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</si>
  <si>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</si>
  <si>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</si>
  <si>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</si>
  <si>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</si>
  <si>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</si>
  <si>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</si>
  <si>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</si>
  <si>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</si>
  <si>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</si>
  <si>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</si>
  <si>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</si>
  <si>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</si>
  <si>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</si>
  <si>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</si>
  <si>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</si>
  <si>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</si>
  <si>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</si>
  <si>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</si>
  <si>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</si>
  <si>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</si>
  <si>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</si>
  <si>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</si>
  <si>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</si>
  <si>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</si>
  <si>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</si>
  <si>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</si>
  <si>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</si>
  <si>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</si>
  <si>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</si>
  <si>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</si>
  <si>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</si>
  <si>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</si>
  <si>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</si>
  <si>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</si>
  <si>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</si>
  <si>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</si>
  <si>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</si>
  <si>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</si>
  <si>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</si>
  <si>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</si>
  <si>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</si>
  <si>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</si>
  <si>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</si>
  <si>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</si>
  <si>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</si>
  <si>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</si>
  <si>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</si>
  <si>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</si>
  <si>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</si>
  <si>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</si>
  <si>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</si>
  <si>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</si>
  <si>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</si>
  <si>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</si>
  <si>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</si>
  <si>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</si>
  <si>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</si>
  <si>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</si>
  <si>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</si>
  <si>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</si>
  <si>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</si>
  <si>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</si>
  <si>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</si>
  <si>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</si>
  <si>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</si>
  <si>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</si>
  <si>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</si>
  <si>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</si>
  <si>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</si>
  <si>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</si>
  <si>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</si>
  <si>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</si>
  <si>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</si>
  <si>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</si>
  <si>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</si>
  <si>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</si>
  <si>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</si>
  <si>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</si>
  <si>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</si>
  <si>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</si>
  <si>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</si>
  <si>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</si>
  <si>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</si>
  <si>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</si>
  <si>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</si>
  <si>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</si>
  <si>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</si>
  <si>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</si>
  <si>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</si>
  <si>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</si>
  <si>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</si>
  <si>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</si>
  <si>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</si>
  <si>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</si>
  <si>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</si>
  <si>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</si>
  <si>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</si>
  <si>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</si>
  <si>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</si>
  <si>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</si>
  <si>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</si>
  <si>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</si>
  <si>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</si>
  <si>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</si>
  <si>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</si>
  <si>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</si>
  <si>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</si>
  <si>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</si>
  <si>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</si>
  <si>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</si>
  <si>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</si>
  <si>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</si>
  <si>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</si>
  <si>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</si>
  <si>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</si>
  <si>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</si>
  <si>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</si>
  <si>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</si>
  <si>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</si>
  <si>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</si>
  <si>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</si>
  <si>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</si>
  <si>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</si>
  <si>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</si>
  <si>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</si>
  <si>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</si>
  <si>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</si>
  <si>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</si>
  <si>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</si>
  <si>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</si>
  <si>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</si>
  <si>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</si>
  <si>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</si>
  <si>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</si>
  <si>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</si>
  <si>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</si>
  <si>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</si>
  <si>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</si>
  <si>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</si>
  <si>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</si>
  <si>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</si>
  <si>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</si>
  <si>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</si>
  <si>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</si>
  <si>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</si>
  <si>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</si>
  <si>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</si>
  <si>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</si>
  <si>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</si>
  <si>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</si>
  <si>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</si>
  <si>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</si>
  <si>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</si>
  <si>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</si>
  <si>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</si>
  <si>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</si>
  <si>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</si>
  <si>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</si>
  <si>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</si>
  <si>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</si>
  <si>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</si>
  <si>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</si>
  <si>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/>
  </si>
  <si>
    <t>Riaccertamento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</si>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</sst>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\-#,##0\ "/>
    <numFmt numFmtId="168" formatCode="#,##0.0_ ;\-#,##0.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  <xf numFmtId="164" fontId="3" fillId="0" borderId="0" applyFont="0" applyFill="0" applyBorder="0" applyAlignment="0" applyProtection="0"/>
  </cellStyleXfs>
  <cellXfs count="137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5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0" xfId="0" quotePrefix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5" fontId="1" fillId="0" borderId="0" xfId="0" applyNumberFormat="1" applyFont="1"/>
    <xf numFmtId="166" fontId="1" fillId="0" borderId="0" xfId="0" applyNumberFormat="1" applyFont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0" xfId="1" applyNumberFormat="1" applyFont="1"/>
    <xf numFmtId="0" fontId="6" fillId="0" borderId="0" xfId="0" applyFont="1"/>
    <xf numFmtId="165" fontId="6" fillId="0" borderId="0" xfId="0" applyNumberFormat="1" applyFont="1"/>
    <xf numFmtId="166" fontId="6" fillId="0" borderId="0" xfId="0" applyNumberFormat="1" applyFont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5" fontId="0" fillId="4" borderId="0" xfId="0" applyNumberFormat="1" applyFill="1"/>
    <xf numFmtId="166" fontId="0" fillId="4" borderId="0" xfId="0" applyNumberFormat="1" applyFill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5" fontId="0" fillId="4" borderId="0" xfId="0" applyNumberFormat="1" applyFont="1" applyFill="1"/>
    <xf numFmtId="166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1" fillId="4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167" fontId="6" fillId="4" borderId="0" xfId="0" quotePrefix="1" applyNumberFormat="1" applyFont="1" applyFill="1" applyAlignment="1">
      <alignment horizontal="center" vertical="center"/>
    </xf>
    <xf numFmtId="167" fontId="6" fillId="6" borderId="0" xfId="1" quotePrefix="1" applyNumberFormat="1" applyFont="1" applyFill="1" applyAlignment="1">
      <alignment horizontal="center" vertical="center"/>
    </xf>
    <xf numFmtId="167" fontId="6" fillId="6" borderId="0" xfId="0" quotePrefix="1" applyNumberFormat="1" applyFont="1" applyFill="1" applyAlignment="1">
      <alignment horizontal="center" vertical="center"/>
    </xf>
    <xf numFmtId="167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0" fillId="0" borderId="0" xfId="0" applyAlignment="1">
      <alignment wrapText="1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1" applyNumberFormat="1" applyFont="1" applyFill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0" fontId="5" fillId="0" borderId="0" xfId="2" applyFont="1" applyFill="1" applyBorder="1" applyAlignment="1" applyProtection="1">
      <alignment vertical="center" readingOrder="1"/>
    </xf>
    <xf numFmtId="165" fontId="0" fillId="0" borderId="0" xfId="3" applyNumberFormat="1" applyFont="1"/>
    <xf numFmtId="165" fontId="0" fillId="0" borderId="0" xfId="0" applyNumberFormat="1"/>
    <xf numFmtId="165" fontId="0" fillId="2" borderId="0" xfId="3" applyNumberFormat="1" applyFont="1" applyFill="1"/>
    <xf numFmtId="0" fontId="0" fillId="0" borderId="0" xfId="0" applyAlignment="1">
      <alignment horizontal="center"/>
    </xf>
    <xf numFmtId="165" fontId="0" fillId="4" borderId="0" xfId="0" applyNumberFormat="1" applyFill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168" fontId="9" fillId="4" borderId="0" xfId="1" applyNumberFormat="1" applyFont="1" applyFill="1" applyAlignment="1">
      <alignment horizontal="center" vertical="center"/>
    </xf>
    <xf numFmtId="168" fontId="9" fillId="6" borderId="0" xfId="1" applyNumberFormat="1" applyFont="1" applyFill="1" applyAlignment="1">
      <alignment horizontal="center" vertical="center"/>
    </xf>
    <xf numFmtId="168" fontId="9" fillId="4" borderId="0" xfId="0" applyNumberFormat="1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gliaia" xfId="1" builtinId="3"/>
    <cellStyle name="Migliaia 2" xfId="3"/>
    <cellStyle name="Normal" xfId="2"/>
    <cellStyle name="Normale" xfId="0" builtinId="0"/>
  </cellStyles>
  <dxfs count="114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061623723884"/>
          <c:y val="5.4234059497589075E-2"/>
          <c:w val="0.85357344427355064"/>
          <c:h val="0.78991739529491301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95004611.939999998</c:v>
                </c:pt>
                <c:pt idx="1">
                  <c:v>98261762.859999999</c:v>
                </c:pt>
                <c:pt idx="2">
                  <c:v>104632656.41</c:v>
                </c:pt>
                <c:pt idx="3">
                  <c:v>144777499.91999999</c:v>
                </c:pt>
                <c:pt idx="4">
                  <c:v>140411893.59999999</c:v>
                </c:pt>
                <c:pt idx="5">
                  <c:v>88052856.540000007</c:v>
                </c:pt>
                <c:pt idx="6">
                  <c:v>120871756.39</c:v>
                </c:pt>
                <c:pt idx="7">
                  <c:v>127823618.42</c:v>
                </c:pt>
                <c:pt idx="8">
                  <c:v>147122929.90000001</c:v>
                </c:pt>
                <c:pt idx="9">
                  <c:v>182731325.96000001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Risultato_amministrazione!$B$4:$K$4</c:f>
              <c:numCache>
                <c:formatCode>#,##0</c:formatCode>
                <c:ptCount val="10"/>
                <c:pt idx="0">
                  <c:v>78262429.810000002</c:v>
                </c:pt>
                <c:pt idx="1">
                  <c:v>85717800.040000007</c:v>
                </c:pt>
                <c:pt idx="2">
                  <c:v>71687042.010000005</c:v>
                </c:pt>
                <c:pt idx="3">
                  <c:v>115134247.97</c:v>
                </c:pt>
                <c:pt idx="4">
                  <c:v>101108801.58</c:v>
                </c:pt>
                <c:pt idx="5">
                  <c:v>66415223.490000002</c:v>
                </c:pt>
                <c:pt idx="6">
                  <c:v>76451934.930000007</c:v>
                </c:pt>
                <c:pt idx="7">
                  <c:v>72706009.480000004</c:v>
                </c:pt>
                <c:pt idx="8">
                  <c:v>84499408.569999993</c:v>
                </c:pt>
                <c:pt idx="9">
                  <c:v>93190748.530000001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3488"/>
        <c:axId val="1064544576"/>
      </c:lineChart>
      <c:catAx>
        <c:axId val="106454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44576"/>
        <c:crosses val="autoZero"/>
        <c:auto val="1"/>
        <c:lblAlgn val="ctr"/>
        <c:lblOffset val="100"/>
        <c:noMultiLvlLbl val="0"/>
      </c:catAx>
      <c:valAx>
        <c:axId val="1064544576"/>
        <c:scaling>
          <c:orientation val="minMax"/>
          <c:max val="200000000"/>
          <c:min val="5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3488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6.4783506216368081E-2"/>
          <c:w val="0.95679921453118633"/>
          <c:h val="0.748783912109082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-1.1451474377326151E-2"/>
                  <c:y val="-3.8468936333910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451474377326082E-2"/>
                  <c:y val="-3.52627842807247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1451474377326082E-2"/>
                  <c:y val="3.84689363339100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5428953144383998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288.91000000000003</c:v>
                </c:pt>
                <c:pt idx="1">
                  <c:v>304.01</c:v>
                </c:pt>
                <c:pt idx="2">
                  <c:v>258.27999999999997</c:v>
                </c:pt>
                <c:pt idx="3">
                  <c:v>191.82</c:v>
                </c:pt>
                <c:pt idx="4">
                  <c:v>206.99</c:v>
                </c:pt>
                <c:pt idx="5">
                  <c:v>216.14</c:v>
                </c:pt>
                <c:pt idx="6">
                  <c:v>228.68</c:v>
                </c:pt>
                <c:pt idx="7">
                  <c:v>337.74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607984"/>
        <c:axId val="1187602000"/>
      </c:barChart>
      <c:catAx>
        <c:axId val="118760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87602000"/>
        <c:crosses val="autoZero"/>
        <c:auto val="1"/>
        <c:lblAlgn val="ctr"/>
        <c:lblOffset val="100"/>
        <c:noMultiLvlLbl val="0"/>
      </c:catAx>
      <c:valAx>
        <c:axId val="1187602000"/>
        <c:scaling>
          <c:orientation val="minMax"/>
          <c:max val="35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18760798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86E-2"/>
          <c:y val="3.693444136657452E-3"/>
          <c:w val="0.95679921453118633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-8.34</c:v>
                </c:pt>
                <c:pt idx="1">
                  <c:v>-6.91</c:v>
                </c:pt>
                <c:pt idx="2">
                  <c:v>-9.31</c:v>
                </c:pt>
                <c:pt idx="3">
                  <c:v>-10.85</c:v>
                </c:pt>
                <c:pt idx="4">
                  <c:v>-11.33</c:v>
                </c:pt>
                <c:pt idx="5">
                  <c:v>-13.48</c:v>
                </c:pt>
                <c:pt idx="6">
                  <c:v>-12.08</c:v>
                </c:pt>
                <c:pt idx="7">
                  <c:v>-18.79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602544"/>
        <c:axId val="1187607440"/>
      </c:barChart>
      <c:catAx>
        <c:axId val="118760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87607440"/>
        <c:crosses val="autoZero"/>
        <c:auto val="1"/>
        <c:lblAlgn val="ctr"/>
        <c:lblOffset val="100"/>
        <c:noMultiLvlLbl val="0"/>
      </c:catAx>
      <c:valAx>
        <c:axId val="1187607440"/>
        <c:scaling>
          <c:orientation val="minMax"/>
          <c:max val="50"/>
          <c:min val="-20"/>
        </c:scaling>
        <c:delete val="1"/>
        <c:axPos val="l"/>
        <c:numFmt formatCode="0" sourceLinked="0"/>
        <c:majorTickMark val="out"/>
        <c:minorTickMark val="none"/>
        <c:tickLblPos val="nextTo"/>
        <c:crossAx val="118760254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86E-2"/>
          <c:y val="4.0627885503231764E-2"/>
          <c:w val="0.95679921453118633"/>
          <c:h val="0.76185922743036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35.14</c:v>
                </c:pt>
                <c:pt idx="1">
                  <c:v>47.27</c:v>
                </c:pt>
                <c:pt idx="2">
                  <c:v>39.909999999999997</c:v>
                </c:pt>
                <c:pt idx="3">
                  <c:v>38.71</c:v>
                </c:pt>
                <c:pt idx="4">
                  <c:v>55.36</c:v>
                </c:pt>
                <c:pt idx="5">
                  <c:v>78.92</c:v>
                </c:pt>
                <c:pt idx="6">
                  <c:v>75.25</c:v>
                </c:pt>
                <c:pt idx="7">
                  <c:v>78.59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603088"/>
        <c:axId val="1187608528"/>
      </c:barChart>
      <c:catAx>
        <c:axId val="11876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87608528"/>
        <c:crosses val="autoZero"/>
        <c:auto val="1"/>
        <c:lblAlgn val="ctr"/>
        <c:lblOffset val="100"/>
        <c:noMultiLvlLbl val="0"/>
      </c:catAx>
      <c:valAx>
        <c:axId val="1187608528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187603088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4231627544342913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185009</c:v>
                </c:pt>
                <c:pt idx="1">
                  <c:v>184836</c:v>
                </c:pt>
                <c:pt idx="2">
                  <c:v>184971</c:v>
                </c:pt>
                <c:pt idx="3">
                  <c:v>186414</c:v>
                </c:pt>
                <c:pt idx="4">
                  <c:v>189013</c:v>
                </c:pt>
                <c:pt idx="5">
                  <c:v>189016</c:v>
                </c:pt>
                <c:pt idx="6">
                  <c:v>186850</c:v>
                </c:pt>
                <c:pt idx="7">
                  <c:v>186051</c:v>
                </c:pt>
                <c:pt idx="8">
                  <c:v>185399</c:v>
                </c:pt>
                <c:pt idx="9">
                  <c:v>184863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603632"/>
        <c:axId val="1187604720"/>
      </c:barChart>
      <c:catAx>
        <c:axId val="1187603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187604720"/>
        <c:crosses val="autoZero"/>
        <c:auto val="1"/>
        <c:lblAlgn val="ctr"/>
        <c:lblOffset val="100"/>
        <c:noMultiLvlLbl val="0"/>
      </c:catAx>
      <c:valAx>
        <c:axId val="1187604720"/>
        <c:scaling>
          <c:orientation val="minMax"/>
          <c:max val="200000"/>
          <c:min val="0"/>
        </c:scaling>
        <c:delete val="1"/>
        <c:axPos val="b"/>
        <c:numFmt formatCode="#,##0" sourceLinked="1"/>
        <c:majorTickMark val="out"/>
        <c:minorTickMark val="none"/>
        <c:tickLblPos val="none"/>
        <c:crossAx val="1187603632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95004611.939999998</c:v>
                </c:pt>
                <c:pt idx="1">
                  <c:v>98261762.859999999</c:v>
                </c:pt>
                <c:pt idx="2">
                  <c:v>104632656.41</c:v>
                </c:pt>
                <c:pt idx="3">
                  <c:v>144777499.91999999</c:v>
                </c:pt>
                <c:pt idx="4">
                  <c:v>140411893.59999999</c:v>
                </c:pt>
                <c:pt idx="5">
                  <c:v>88052856.540000007</c:v>
                </c:pt>
                <c:pt idx="6">
                  <c:v>120871756.39</c:v>
                </c:pt>
                <c:pt idx="7">
                  <c:v>127823618.42</c:v>
                </c:pt>
                <c:pt idx="8">
                  <c:v>147122929.90000001</c:v>
                </c:pt>
                <c:pt idx="9">
                  <c:v>182731325.96000001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Risultato_amministrazione!$B$8:$K$8</c:f>
              <c:numCache>
                <c:formatCode>#,##0</c:formatCode>
                <c:ptCount val="10"/>
                <c:pt idx="0">
                  <c:v>20692000</c:v>
                </c:pt>
                <c:pt idx="1">
                  <c:v>28473529.23</c:v>
                </c:pt>
                <c:pt idx="2">
                  <c:v>38884136.229999997</c:v>
                </c:pt>
                <c:pt idx="3">
                  <c:v>49128121.100000001</c:v>
                </c:pt>
                <c:pt idx="4">
                  <c:v>56362418.93</c:v>
                </c:pt>
                <c:pt idx="5">
                  <c:v>33611112.350000001</c:v>
                </c:pt>
                <c:pt idx="6">
                  <c:v>49427308.329999998</c:v>
                </c:pt>
                <c:pt idx="7">
                  <c:v>56077554.159999996</c:v>
                </c:pt>
                <c:pt idx="8">
                  <c:v>65713034.840000004</c:v>
                </c:pt>
                <c:pt idx="9">
                  <c:v>80597380.349999994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4542400"/>
        <c:axId val="1064541856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Risultato_amministrazione!$B$23:$K$23</c:f>
              <c:numCache>
                <c:formatCode>0.0</c:formatCode>
                <c:ptCount val="10"/>
                <c:pt idx="0">
                  <c:v>21.779995283879479</c:v>
                </c:pt>
                <c:pt idx="1">
                  <c:v>28.977222066093105</c:v>
                </c:pt>
                <c:pt idx="2">
                  <c:v>37.162524171835656</c:v>
                </c:pt>
                <c:pt idx="3">
                  <c:v>33.933533268047064</c:v>
                </c:pt>
                <c:pt idx="4">
                  <c:v>40.140772611872251</c:v>
                </c:pt>
                <c:pt idx="5">
                  <c:v>38.171518416022529</c:v>
                </c:pt>
                <c:pt idx="6">
                  <c:v>40.892355506541833</c:v>
                </c:pt>
                <c:pt idx="7">
                  <c:v>43.871042654841467</c:v>
                </c:pt>
                <c:pt idx="8">
                  <c:v>44.66539300479225</c:v>
                </c:pt>
                <c:pt idx="9">
                  <c:v>44.107040720343051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4032"/>
        <c:axId val="1064540224"/>
      </c:lineChart>
      <c:catAx>
        <c:axId val="106454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1856"/>
        <c:crosses val="autoZero"/>
        <c:auto val="1"/>
        <c:lblAlgn val="ctr"/>
        <c:lblOffset val="100"/>
        <c:noMultiLvlLbl val="0"/>
      </c:catAx>
      <c:valAx>
        <c:axId val="10645418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2400"/>
        <c:crosses val="autoZero"/>
        <c:crossBetween val="between"/>
      </c:valAx>
      <c:valAx>
        <c:axId val="1064540224"/>
        <c:scaling>
          <c:orientation val="minMax"/>
          <c:max val="50"/>
          <c:min val="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4032"/>
        <c:crosses val="max"/>
        <c:crossBetween val="between"/>
        <c:majorUnit val="10"/>
      </c:valAx>
      <c:catAx>
        <c:axId val="106454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45402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49934421104332"/>
          <c:y val="1.9227107776283548E-2"/>
          <c:w val="0.85293990563205446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93239811845654E-3"/>
                  <c:y val="-1.58715827389409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373338587339011E-6"/>
                  <c:y val="3.86461951761159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Conto_economico!$C$1:$L$1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Conto_economico!$C$28:$L$28</c:f>
              <c:numCache>
                <c:formatCode>#,##0</c:formatCode>
                <c:ptCount val="10"/>
                <c:pt idx="0">
                  <c:v>2759914.3900000406</c:v>
                </c:pt>
                <c:pt idx="1">
                  <c:v>1159752.3199999626</c:v>
                </c:pt>
                <c:pt idx="2">
                  <c:v>832818.46999991592</c:v>
                </c:pt>
                <c:pt idx="3">
                  <c:v>2017224.189999999</c:v>
                </c:pt>
                <c:pt idx="4">
                  <c:v>22216679.780000001</c:v>
                </c:pt>
                <c:pt idx="5">
                  <c:v>2203973.1400000257</c:v>
                </c:pt>
                <c:pt idx="6">
                  <c:v>1181715.2600000412</c:v>
                </c:pt>
                <c:pt idx="7">
                  <c:v>-4882981.0199999865</c:v>
                </c:pt>
                <c:pt idx="8">
                  <c:v>1220557.6699999748</c:v>
                </c:pt>
                <c:pt idx="9">
                  <c:v>1590579.8400000464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38048"/>
        <c:axId val="1064542944"/>
      </c:barChart>
      <c:catAx>
        <c:axId val="106453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064542944"/>
        <c:crosses val="autoZero"/>
        <c:auto val="1"/>
        <c:lblAlgn val="ctr"/>
        <c:lblOffset val="100"/>
        <c:noMultiLvlLbl val="0"/>
      </c:catAx>
      <c:valAx>
        <c:axId val="1064542944"/>
        <c:scaling>
          <c:orientation val="minMax"/>
          <c:max val="28000000"/>
          <c:min val="-5000000"/>
        </c:scaling>
        <c:delete val="1"/>
        <c:axPos val="b"/>
        <c:numFmt formatCode="#,##0" sourceLinked="1"/>
        <c:majorTickMark val="out"/>
        <c:minorTickMark val="none"/>
        <c:tickLblPos val="nextTo"/>
        <c:crossAx val="10645380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Stato_patrimoniale!$B$21:$K$21</c:f>
              <c:numCache>
                <c:formatCode>#,##0</c:formatCode>
                <c:ptCount val="10"/>
                <c:pt idx="0">
                  <c:v>9838704.5899999999</c:v>
                </c:pt>
                <c:pt idx="1">
                  <c:v>8005972.5700000003</c:v>
                </c:pt>
                <c:pt idx="2">
                  <c:v>6551055.7000000002</c:v>
                </c:pt>
                <c:pt idx="3">
                  <c:v>8821491.9000000004</c:v>
                </c:pt>
                <c:pt idx="4">
                  <c:v>7478692.2300000004</c:v>
                </c:pt>
                <c:pt idx="5">
                  <c:v>6773534.8399999999</c:v>
                </c:pt>
                <c:pt idx="6">
                  <c:v>10339658.08</c:v>
                </c:pt>
                <c:pt idx="7">
                  <c:v>9723036.4900000002</c:v>
                </c:pt>
                <c:pt idx="8">
                  <c:v>14051725.119999999</c:v>
                </c:pt>
                <c:pt idx="9">
                  <c:v>14600048.460000001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Stato_patrimoniale!$B$22:$K$22</c:f>
              <c:numCache>
                <c:formatCode>#,##0</c:formatCode>
                <c:ptCount val="10"/>
                <c:pt idx="0">
                  <c:v>60409521.719999999</c:v>
                </c:pt>
                <c:pt idx="1">
                  <c:v>62617941.240000002</c:v>
                </c:pt>
                <c:pt idx="2">
                  <c:v>49453627.43</c:v>
                </c:pt>
                <c:pt idx="3">
                  <c:v>91035220.230000004</c:v>
                </c:pt>
                <c:pt idx="4">
                  <c:v>79851955.530000001</c:v>
                </c:pt>
                <c:pt idx="5">
                  <c:v>50785895.340000004</c:v>
                </c:pt>
                <c:pt idx="6">
                  <c:v>55391508.140000001</c:v>
                </c:pt>
                <c:pt idx="7">
                  <c:v>55901516.93</c:v>
                </c:pt>
                <c:pt idx="8">
                  <c:v>66221610.82</c:v>
                </c:pt>
                <c:pt idx="9">
                  <c:v>69419759.659999996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Stato_patrimoniale!$B$23:$K$23</c:f>
              <c:numCache>
                <c:formatCode>#,##0</c:formatCode>
                <c:ptCount val="10"/>
                <c:pt idx="0">
                  <c:v>12606712.5</c:v>
                </c:pt>
                <c:pt idx="1">
                  <c:v>15018193.08</c:v>
                </c:pt>
                <c:pt idx="2">
                  <c:v>13221416.59</c:v>
                </c:pt>
                <c:pt idx="3">
                  <c:v>16228935.42</c:v>
                </c:pt>
                <c:pt idx="4">
                  <c:v>11268198.970000001</c:v>
                </c:pt>
                <c:pt idx="5">
                  <c:v>9049818.3100000005</c:v>
                </c:pt>
                <c:pt idx="6">
                  <c:v>12690743.039999999</c:v>
                </c:pt>
                <c:pt idx="7">
                  <c:v>9310987.5600000005</c:v>
                </c:pt>
                <c:pt idx="8">
                  <c:v>10088495.789999999</c:v>
                </c:pt>
                <c:pt idx="9">
                  <c:v>9902983.9000000004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Stato_patrimoniale!$B$24:$K$24</c:f>
              <c:numCache>
                <c:formatCode>#,##0</c:formatCode>
                <c:ptCount val="10"/>
                <c:pt idx="0">
                  <c:v>13237353.98</c:v>
                </c:pt>
                <c:pt idx="1">
                  <c:v>9674418.8900000006</c:v>
                </c:pt>
                <c:pt idx="2">
                  <c:v>12139071.939999999</c:v>
                </c:pt>
                <c:pt idx="3">
                  <c:v>10914643.84</c:v>
                </c:pt>
                <c:pt idx="4">
                  <c:v>13094008.630000001</c:v>
                </c:pt>
                <c:pt idx="5">
                  <c:v>9042906.5800000001</c:v>
                </c:pt>
                <c:pt idx="6">
                  <c:v>12150067.27</c:v>
                </c:pt>
                <c:pt idx="7">
                  <c:v>10869580.23</c:v>
                </c:pt>
                <c:pt idx="8">
                  <c:v>8974525.2699999996</c:v>
                </c:pt>
                <c:pt idx="9">
                  <c:v>10173973.369999999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39680"/>
        <c:axId val="1064538592"/>
      </c:barChart>
      <c:catAx>
        <c:axId val="106453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38592"/>
        <c:crosses val="autoZero"/>
        <c:auto val="1"/>
        <c:lblAlgn val="ctr"/>
        <c:lblOffset val="100"/>
        <c:noMultiLvlLbl val="0"/>
      </c:catAx>
      <c:valAx>
        <c:axId val="1064538592"/>
        <c:scaling>
          <c:orientation val="minMax"/>
          <c:max val="13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39680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68443314821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Stato_patrimoniale!$B$14:$K$14</c:f>
              <c:numCache>
                <c:formatCode>#,##0</c:formatCode>
                <c:ptCount val="10"/>
                <c:pt idx="0">
                  <c:v>784008785.51999998</c:v>
                </c:pt>
                <c:pt idx="1">
                  <c:v>784008785.51999998</c:v>
                </c:pt>
                <c:pt idx="2">
                  <c:v>784008785.51999998</c:v>
                </c:pt>
                <c:pt idx="3">
                  <c:v>98098174.650000006</c:v>
                </c:pt>
                <c:pt idx="4">
                  <c:v>98098174.650000006</c:v>
                </c:pt>
                <c:pt idx="5">
                  <c:v>98098174.650000006</c:v>
                </c:pt>
                <c:pt idx="6">
                  <c:v>98098174.650000006</c:v>
                </c:pt>
                <c:pt idx="7">
                  <c:v>98098174.650000006</c:v>
                </c:pt>
                <c:pt idx="8">
                  <c:v>98098174.650000006</c:v>
                </c:pt>
                <c:pt idx="9">
                  <c:v>98098174.650000006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Stato_patrimoniale!$B$15:$K$15</c:f>
              <c:numCache>
                <c:formatCode>#,##0</c:formatCode>
                <c:ptCount val="10"/>
                <c:pt idx="0">
                  <c:v>726427333.09000015</c:v>
                </c:pt>
                <c:pt idx="1">
                  <c:v>780190913.74000001</c:v>
                </c:pt>
                <c:pt idx="2">
                  <c:v>797146863.28999996</c:v>
                </c:pt>
                <c:pt idx="3">
                  <c:v>1502404619.98</c:v>
                </c:pt>
                <c:pt idx="4">
                  <c:v>1516525291.27</c:v>
                </c:pt>
                <c:pt idx="5">
                  <c:v>1546665254.9400001</c:v>
                </c:pt>
                <c:pt idx="6">
                  <c:v>952843737.99000001</c:v>
                </c:pt>
                <c:pt idx="7">
                  <c:v>960844650.53999996</c:v>
                </c:pt>
                <c:pt idx="8">
                  <c:v>969011981.83000004</c:v>
                </c:pt>
                <c:pt idx="9">
                  <c:v>979254219.97000003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Stato_patrimoniale!$B$17:$K$17</c:f>
              <c:numCache>
                <c:formatCode>#,##0</c:formatCode>
                <c:ptCount val="10"/>
                <c:pt idx="0">
                  <c:v>2759914.39</c:v>
                </c:pt>
                <c:pt idx="1">
                  <c:v>1159752.32</c:v>
                </c:pt>
                <c:pt idx="2">
                  <c:v>832818.47</c:v>
                </c:pt>
                <c:pt idx="3">
                  <c:v>2017224.19</c:v>
                </c:pt>
                <c:pt idx="4">
                  <c:v>22216679.780000001</c:v>
                </c:pt>
                <c:pt idx="5">
                  <c:v>2203973.14</c:v>
                </c:pt>
                <c:pt idx="6">
                  <c:v>1181715.26</c:v>
                </c:pt>
                <c:pt idx="7">
                  <c:v>-4882981.0199999996</c:v>
                </c:pt>
                <c:pt idx="8">
                  <c:v>1220557.67</c:v>
                </c:pt>
                <c:pt idx="9">
                  <c:v>1590579.84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Stato_patrimoniale!$B$18:$K$18</c:f>
              <c:numCache>
                <c:formatCode>#,##0</c:formatCode>
                <c:ptCount val="10"/>
                <c:pt idx="6">
                  <c:v>601301111.32000005</c:v>
                </c:pt>
                <c:pt idx="7">
                  <c:v>602220598.76999998</c:v>
                </c:pt>
                <c:pt idx="8">
                  <c:v>598270464.30999994</c:v>
                </c:pt>
                <c:pt idx="9">
                  <c:v>599820432.61000001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39136"/>
        <c:axId val="1064541312"/>
      </c:barChart>
      <c:catAx>
        <c:axId val="1064539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064541312"/>
        <c:crosses val="autoZero"/>
        <c:auto val="1"/>
        <c:lblAlgn val="ctr"/>
        <c:lblOffset val="100"/>
        <c:noMultiLvlLbl val="0"/>
      </c:catAx>
      <c:valAx>
        <c:axId val="1064541312"/>
        <c:scaling>
          <c:orientation val="minMax"/>
          <c:max val="1750000000.0000002"/>
          <c:min val="0"/>
        </c:scaling>
        <c:delete val="0"/>
        <c:axPos val="b"/>
        <c:numFmt formatCode="#,##0" sourceLinked="0"/>
        <c:majorTickMark val="none"/>
        <c:minorTickMark val="none"/>
        <c:tickLblPos val="nextTo"/>
        <c:crossAx val="1064539136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9.7017680482247418E-2"/>
          <c:y val="0.90054581245526122"/>
          <c:w val="0.80596463903550519"/>
          <c:h val="8.0514793605344789E-2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65E-2"/>
          <c:w val="0.91226637907374519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78.180000000000007</c:v>
                </c:pt>
                <c:pt idx="1">
                  <c:v>79.27</c:v>
                </c:pt>
                <c:pt idx="2">
                  <c:v>77.92</c:v>
                </c:pt>
                <c:pt idx="3">
                  <c:v>82.15</c:v>
                </c:pt>
                <c:pt idx="4">
                  <c:v>77.25</c:v>
                </c:pt>
                <c:pt idx="5">
                  <c:v>76.31</c:v>
                </c:pt>
                <c:pt idx="6">
                  <c:v>74.902527316844285</c:v>
                </c:pt>
                <c:pt idx="7">
                  <c:v>69.060033572412422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74.05715737352206</c:v>
                </c:pt>
                <c:pt idx="1">
                  <c:v>65.394899269769581</c:v>
                </c:pt>
                <c:pt idx="2">
                  <c:v>68.720738361751103</c:v>
                </c:pt>
                <c:pt idx="3">
                  <c:v>78.318140832349243</c:v>
                </c:pt>
                <c:pt idx="4">
                  <c:v>70.444404181794752</c:v>
                </c:pt>
                <c:pt idx="5">
                  <c:v>70.12664586689381</c:v>
                </c:pt>
                <c:pt idx="6">
                  <c:v>68.494469812954378</c:v>
                </c:pt>
                <c:pt idx="7">
                  <c:v>64.72659490835342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72.843979971244366</c:v>
                </c:pt>
                <c:pt idx="1">
                  <c:v>63.408876375511603</c:v>
                </c:pt>
                <c:pt idx="2">
                  <c:v>67.216488451518742</c:v>
                </c:pt>
                <c:pt idx="3">
                  <c:v>76.771593099905488</c:v>
                </c:pt>
                <c:pt idx="4">
                  <c:v>68.36043651934385</c:v>
                </c:pt>
                <c:pt idx="5">
                  <c:v>67.985206061526952</c:v>
                </c:pt>
                <c:pt idx="6">
                  <c:v>66.365026483979008</c:v>
                </c:pt>
                <c:pt idx="7">
                  <c:v>62.651569304762965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69536"/>
        <c:axId val="1446372800"/>
      </c:lineChart>
      <c:catAx>
        <c:axId val="144636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6372800"/>
        <c:crosses val="autoZero"/>
        <c:auto val="1"/>
        <c:lblAlgn val="ctr"/>
        <c:lblOffset val="100"/>
        <c:noMultiLvlLbl val="0"/>
      </c:catAx>
      <c:valAx>
        <c:axId val="1446372800"/>
        <c:scaling>
          <c:orientation val="minMax"/>
          <c:max val="85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46369536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43"/>
          <c:w val="0.96177967444791512"/>
          <c:h val="0.1795680460155258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708268034271450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18.209021389781668</c:v>
                </c:pt>
                <c:pt idx="1">
                  <c:v>17.258077568801532</c:v>
                </c:pt>
                <c:pt idx="2">
                  <c:v>17.744978359782486</c:v>
                </c:pt>
                <c:pt idx="3">
                  <c:v>17.380660954712361</c:v>
                </c:pt>
                <c:pt idx="4">
                  <c:v>15.402451142762505</c:v>
                </c:pt>
                <c:pt idx="5">
                  <c:v>16.113120683985528</c:v>
                </c:pt>
                <c:pt idx="6">
                  <c:v>15.837252542929017</c:v>
                </c:pt>
                <c:pt idx="7">
                  <c:v>15.6522712016111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13.05552477003214</c:v>
                </c:pt>
                <c:pt idx="1">
                  <c:v>13.345070720134574</c:v>
                </c:pt>
                <c:pt idx="2">
                  <c:v>14.149372988569525</c:v>
                </c:pt>
                <c:pt idx="3">
                  <c:v>14.543229108712586</c:v>
                </c:pt>
                <c:pt idx="4">
                  <c:v>14.298332781274153</c:v>
                </c:pt>
                <c:pt idx="5">
                  <c:v>15.334867916255618</c:v>
                </c:pt>
                <c:pt idx="6">
                  <c:v>12.829487039265011</c:v>
                </c:pt>
                <c:pt idx="7">
                  <c:v>12.016110986797942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4.3555358528205694</c:v>
                </c:pt>
                <c:pt idx="1">
                  <c:v>3.4355226568981969</c:v>
                </c:pt>
                <c:pt idx="2">
                  <c:v>3.6621906558650537</c:v>
                </c:pt>
                <c:pt idx="3">
                  <c:v>3.8500055635918544</c:v>
                </c:pt>
                <c:pt idx="4">
                  <c:v>4.7808325052445628</c:v>
                </c:pt>
                <c:pt idx="5">
                  <c:v>4.4722130878000659</c:v>
                </c:pt>
                <c:pt idx="6">
                  <c:v>3.3577600349994525</c:v>
                </c:pt>
                <c:pt idx="7">
                  <c:v>3.3340792123517566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20.336916768258895</c:v>
                </c:pt>
                <c:pt idx="1">
                  <c:v>20.781752573126123</c:v>
                </c:pt>
                <c:pt idx="2">
                  <c:v>18.87692819886805</c:v>
                </c:pt>
                <c:pt idx="3">
                  <c:v>20.741070435072885</c:v>
                </c:pt>
                <c:pt idx="4">
                  <c:v>21.055537153582865</c:v>
                </c:pt>
                <c:pt idx="5">
                  <c:v>19.533048339362054</c:v>
                </c:pt>
                <c:pt idx="6">
                  <c:v>19.895001640599368</c:v>
                </c:pt>
                <c:pt idx="7">
                  <c:v>19.993287088834194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6371712"/>
        <c:axId val="1446371168"/>
      </c:barChart>
      <c:catAx>
        <c:axId val="144637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446371168"/>
        <c:crosses val="autoZero"/>
        <c:auto val="1"/>
        <c:lblAlgn val="ctr"/>
        <c:lblOffset val="100"/>
        <c:noMultiLvlLbl val="0"/>
      </c:catAx>
      <c:valAx>
        <c:axId val="1446371168"/>
        <c:scaling>
          <c:orientation val="minMax"/>
          <c:max val="6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446371712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4415851014911703"/>
          <c:w val="0.95561111111111163"/>
          <c:h val="0.1280639727480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72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86.51</c:v>
                </c:pt>
                <c:pt idx="1">
                  <c:v>80.44</c:v>
                </c:pt>
                <c:pt idx="2">
                  <c:v>80.8</c:v>
                </c:pt>
                <c:pt idx="3">
                  <c:v>84.02</c:v>
                </c:pt>
                <c:pt idx="4">
                  <c:v>76.58</c:v>
                </c:pt>
                <c:pt idx="5">
                  <c:v>79.73</c:v>
                </c:pt>
                <c:pt idx="6">
                  <c:v>70.244303489009326</c:v>
                </c:pt>
                <c:pt idx="7">
                  <c:v>75.808763163281867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77.22</c:v>
                </c:pt>
                <c:pt idx="1">
                  <c:v>76.03</c:v>
                </c:pt>
                <c:pt idx="2">
                  <c:v>77.72</c:v>
                </c:pt>
                <c:pt idx="3">
                  <c:v>77.150000000000006</c:v>
                </c:pt>
                <c:pt idx="4">
                  <c:v>74.95</c:v>
                </c:pt>
                <c:pt idx="5">
                  <c:v>79.650000000000006</c:v>
                </c:pt>
                <c:pt idx="6">
                  <c:v>90.048536650673185</c:v>
                </c:pt>
                <c:pt idx="7">
                  <c:v>88.391167378442475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74.709999999999994</c:v>
                </c:pt>
                <c:pt idx="1">
                  <c:v>60.55</c:v>
                </c:pt>
                <c:pt idx="2">
                  <c:v>63.26</c:v>
                </c:pt>
                <c:pt idx="3">
                  <c:v>61.78</c:v>
                </c:pt>
                <c:pt idx="4">
                  <c:v>64.25</c:v>
                </c:pt>
                <c:pt idx="5">
                  <c:v>67.28</c:v>
                </c:pt>
                <c:pt idx="6">
                  <c:v>73.347745957457988</c:v>
                </c:pt>
                <c:pt idx="7">
                  <c:v>69.321381216125204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76.28</c:v>
                </c:pt>
                <c:pt idx="1">
                  <c:v>74.709999999999994</c:v>
                </c:pt>
                <c:pt idx="2">
                  <c:v>77.099999999999994</c:v>
                </c:pt>
                <c:pt idx="3">
                  <c:v>76.37</c:v>
                </c:pt>
                <c:pt idx="4">
                  <c:v>74.02</c:v>
                </c:pt>
                <c:pt idx="5">
                  <c:v>78.89</c:v>
                </c:pt>
                <c:pt idx="6">
                  <c:v>76.778923003409261</c:v>
                </c:pt>
                <c:pt idx="7">
                  <c:v>81.840586811502419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72256"/>
        <c:axId val="1187604176"/>
      </c:lineChart>
      <c:catAx>
        <c:axId val="144637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87604176"/>
        <c:crosses val="autoZero"/>
        <c:auto val="1"/>
        <c:lblAlgn val="ctr"/>
        <c:lblOffset val="100"/>
        <c:noMultiLvlLbl val="0"/>
      </c:catAx>
      <c:valAx>
        <c:axId val="1187604176"/>
        <c:scaling>
          <c:orientation val="minMax"/>
          <c:max val="92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4637225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68E-2"/>
          <c:y val="0"/>
          <c:w val="0.95679921453118566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-9.5428953144383998E-3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63431625155086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333.25</c:v>
                </c:pt>
                <c:pt idx="1">
                  <c:v>327.52999999999997</c:v>
                </c:pt>
                <c:pt idx="2">
                  <c:v>325.56</c:v>
                </c:pt>
                <c:pt idx="3">
                  <c:v>327.98</c:v>
                </c:pt>
                <c:pt idx="4">
                  <c:v>338.26</c:v>
                </c:pt>
                <c:pt idx="5">
                  <c:v>309.08999999999997</c:v>
                </c:pt>
                <c:pt idx="6">
                  <c:v>332.91</c:v>
                </c:pt>
                <c:pt idx="7">
                  <c:v>328.32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609072"/>
        <c:axId val="1187605808"/>
      </c:barChart>
      <c:catAx>
        <c:axId val="118760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87605808"/>
        <c:crosses val="autoZero"/>
        <c:auto val="1"/>
        <c:lblAlgn val="ctr"/>
        <c:lblOffset val="100"/>
        <c:noMultiLvlLbl val="0"/>
      </c:catAx>
      <c:valAx>
        <c:axId val="1187605808"/>
        <c:scaling>
          <c:orientation val="minMax"/>
          <c:max val="4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18760907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1181099</xdr:colOff>
      <xdr:row>24</xdr:row>
      <xdr:rowOff>9524</xdr:rowOff>
    </xdr:from>
    <xdr:to>
      <xdr:col>10</xdr:col>
      <xdr:colOff>358140</xdr:colOff>
      <xdr:row>49</xdr:row>
      <xdr:rowOff>38100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1539240</xdr:colOff>
      <xdr:row>53</xdr:row>
      <xdr:rowOff>0</xdr:rowOff>
    </xdr:from>
    <xdr:to>
      <xdr:col>10</xdr:col>
      <xdr:colOff>419100</xdr:colOff>
      <xdr:row>75</xdr:row>
      <xdr:rowOff>47625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236220</xdr:colOff>
      <xdr:row>31</xdr:row>
      <xdr:rowOff>57149</xdr:rowOff>
    </xdr:from>
    <xdr:to>
      <xdr:col>11</xdr:col>
      <xdr:colOff>236221</xdr:colOff>
      <xdr:row>48</xdr:row>
      <xdr:rowOff>104774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2811779</xdr:colOff>
      <xdr:row>30</xdr:row>
      <xdr:rowOff>45720</xdr:rowOff>
    </xdr:from>
    <xdr:to>
      <xdr:col>9</xdr:col>
      <xdr:colOff>670560</xdr:colOff>
      <xdr:row>54</xdr:row>
      <xdr:rowOff>144780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1912620</xdr:colOff>
      <xdr:row>58</xdr:row>
      <xdr:rowOff>85725</xdr:rowOff>
    </xdr:from>
    <xdr:to>
      <xdr:col>10</xdr:col>
      <xdr:colOff>182880</xdr:colOff>
      <xdr:row>80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12</xdr:row>
      <xdr:rowOff>19049</xdr:rowOff>
    </xdr:from>
    <xdr:to>
      <xdr:col>10</xdr:col>
      <xdr:colOff>438150</xdr:colOff>
      <xdr:row>30</xdr:row>
      <xdr:rowOff>28575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style="99" bestFit="1" customWidth="1"/>
    <col min="13" max="13" width="7.109375" style="99" customWidth="1"/>
    <col min="14" max="15" width="15.33203125" style="99" bestFit="1" customWidth="1"/>
    <col min="16" max="16" width="7.109375" style="99" customWidth="1"/>
    <col min="17" max="18" width="15.33203125" style="99" bestFit="1" customWidth="1"/>
    <col min="19" max="19" width="7.109375" style="99" customWidth="1"/>
    <col min="20" max="21" width="15.33203125" style="99" bestFit="1" customWidth="1"/>
    <col min="22" max="22" width="7.109375" style="99" customWidth="1"/>
    <col min="23" max="24" width="15.33203125" bestFit="1" customWidth="1"/>
    <col min="25" max="25" width="7.109375" customWidth="1"/>
    <col min="26" max="27" width="8.88671875" style="99"/>
  </cols>
  <sheetData>
    <row r="1" spans="1:27" x14ac:dyDescent="0.3">
      <c r="B1" s="131">
        <v>2016</v>
      </c>
      <c r="C1" s="131"/>
      <c r="D1" s="132"/>
      <c r="E1" s="133">
        <v>2017</v>
      </c>
      <c r="F1" s="134"/>
      <c r="G1" s="135"/>
      <c r="H1" s="133">
        <v>2018</v>
      </c>
      <c r="I1" s="134"/>
      <c r="J1" s="135"/>
      <c r="K1" s="133">
        <v>2019</v>
      </c>
      <c r="L1" s="134"/>
      <c r="M1" s="135"/>
      <c r="N1" s="133">
        <v>2020</v>
      </c>
      <c r="O1" s="134"/>
      <c r="P1" s="135"/>
      <c r="Q1" s="133">
        <v>2021</v>
      </c>
      <c r="R1" s="134"/>
      <c r="S1" s="135"/>
      <c r="T1" s="133">
        <v>2022</v>
      </c>
      <c r="U1" s="134"/>
      <c r="V1" s="135"/>
      <c r="W1" s="133">
        <v>2023</v>
      </c>
      <c r="X1" s="134"/>
      <c r="Y1" s="135"/>
      <c r="Z1" s="130" t="s">
        <v>233</v>
      </c>
      <c r="AA1" s="130"/>
    </row>
    <row r="2" spans="1:27" x14ac:dyDescent="0.3">
      <c r="B2" s="15" t="s">
        <v>73</v>
      </c>
      <c r="C2" s="15" t="s">
        <v>74</v>
      </c>
      <c r="D2" s="16" t="s">
        <v>234</v>
      </c>
      <c r="E2" s="21" t="s">
        <v>73</v>
      </c>
      <c r="F2" s="15" t="s">
        <v>74</v>
      </c>
      <c r="G2" s="16" t="s">
        <v>234</v>
      </c>
      <c r="H2" s="21" t="s">
        <v>73</v>
      </c>
      <c r="I2" s="96" t="s">
        <v>74</v>
      </c>
      <c r="J2" s="97" t="s">
        <v>234</v>
      </c>
      <c r="K2" s="21" t="s">
        <v>73</v>
      </c>
      <c r="L2" s="111" t="s">
        <v>74</v>
      </c>
      <c r="M2" s="112" t="s">
        <v>234</v>
      </c>
      <c r="N2" s="21" t="s">
        <v>73</v>
      </c>
      <c r="O2" s="119" t="s">
        <v>74</v>
      </c>
      <c r="P2" s="120" t="s">
        <v>234</v>
      </c>
      <c r="Q2" s="21" t="s">
        <v>73</v>
      </c>
      <c r="R2" s="122" t="s">
        <v>74</v>
      </c>
      <c r="S2" s="123" t="s">
        <v>234</v>
      </c>
      <c r="T2" s="21" t="s">
        <v>73</v>
      </c>
      <c r="U2" s="127" t="s">
        <v>74</v>
      </c>
      <c r="V2" s="128" t="s">
        <v>234</v>
      </c>
      <c r="W2" s="21" t="s">
        <v>73</v>
      </c>
      <c r="X2" s="15" t="s">
        <v>74</v>
      </c>
      <c r="Y2" s="16" t="s">
        <v>234</v>
      </c>
      <c r="Z2" s="107" t="s">
        <v>73</v>
      </c>
      <c r="AA2" s="107" t="s">
        <v>74</v>
      </c>
    </row>
    <row r="3" spans="1:27" x14ac:dyDescent="0.3">
      <c r="A3" t="s">
        <v>20</v>
      </c>
      <c r="B3" s="26">
        <v>144606391.49000001</v>
      </c>
      <c r="C3" s="26">
        <v>117399778.04000001</v>
      </c>
      <c r="D3" s="18">
        <f>IF(B3&gt;0,C3/B3*100,"-")</f>
        <v>81.185746238691365</v>
      </c>
      <c r="E3" s="26">
        <v>144841438.71000001</v>
      </c>
      <c r="F3" s="26">
        <v>122717946.78</v>
      </c>
      <c r="G3" s="18">
        <f>IF(E3&gt;0,F3/E3*100,"-")</f>
        <v>84.725716530408519</v>
      </c>
      <c r="H3" s="26">
        <v>145497957.91999999</v>
      </c>
      <c r="I3" s="26">
        <v>123756221.37</v>
      </c>
      <c r="J3" s="18">
        <f>IF(H3&gt;0,I3/H3*100,"-")</f>
        <v>85.057016015335165</v>
      </c>
      <c r="K3" s="105">
        <v>145054593.78999999</v>
      </c>
      <c r="L3" s="105">
        <v>126986688.8</v>
      </c>
      <c r="M3" s="18">
        <f>IF(K3&gt;0,L3/K3*100,"-")</f>
        <v>87.544065639067284</v>
      </c>
      <c r="N3" s="105">
        <v>147542941.63999999</v>
      </c>
      <c r="O3" s="105">
        <v>126952003.63</v>
      </c>
      <c r="P3" s="18">
        <f>IF(N3&gt;0,O3/N3*100,"-")</f>
        <v>86.044105003517402</v>
      </c>
      <c r="Q3" s="105">
        <v>150464137.25</v>
      </c>
      <c r="R3" s="105">
        <v>127540061.55</v>
      </c>
      <c r="S3" s="18">
        <f>IF(Q3&gt;0,R3/Q3*100,"-")</f>
        <v>84.764425517616161</v>
      </c>
      <c r="T3" s="105">
        <v>152374712.77000001</v>
      </c>
      <c r="U3" s="105">
        <v>129363860.44</v>
      </c>
      <c r="V3" s="18">
        <f>IF(T3&gt;0,U3/T3*100,"-")</f>
        <v>84.898509790969428</v>
      </c>
      <c r="W3" s="1">
        <v>162683253.34999999</v>
      </c>
      <c r="X3" s="1">
        <v>130720032.39</v>
      </c>
      <c r="Y3" s="18">
        <f>IF(W3&gt;0,X3/W3*100,"-")</f>
        <v>80.352482322668038</v>
      </c>
      <c r="Z3" s="101">
        <f>IF(T3&gt;0,W3/T3*100-100,"-")</f>
        <v>6.7652567756174165</v>
      </c>
      <c r="AA3" s="101">
        <f>IF(U3&gt;0,X3/U3*100-100,"-")</f>
        <v>1.048339115257761</v>
      </c>
    </row>
    <row r="4" spans="1:27" x14ac:dyDescent="0.3">
      <c r="A4" t="s">
        <v>21</v>
      </c>
      <c r="B4" s="26">
        <v>23331303.68</v>
      </c>
      <c r="C4" s="26">
        <v>14387681.029999999</v>
      </c>
      <c r="D4" s="18">
        <f t="shared" ref="D4:D21" si="0">IF(B4&gt;0,C4/B4*100,"-")</f>
        <v>61.666854228696053</v>
      </c>
      <c r="E4" s="26">
        <v>20905533.32</v>
      </c>
      <c r="F4" s="26">
        <v>12613200.1</v>
      </c>
      <c r="G4" s="18">
        <f t="shared" ref="G4:G21" si="1">IF(E4&gt;0,F4/E4*100,"-")</f>
        <v>60.334266086066059</v>
      </c>
      <c r="H4" s="26">
        <v>24730952.079999998</v>
      </c>
      <c r="I4" s="26">
        <v>15535473.75</v>
      </c>
      <c r="J4" s="18">
        <f t="shared" ref="J4:J13" si="2">IF(H4&gt;0,I4/H4*100,"-")</f>
        <v>62.817936405139804</v>
      </c>
      <c r="K4" s="105">
        <v>24292112.850000001</v>
      </c>
      <c r="L4" s="105">
        <v>15277040.189999999</v>
      </c>
      <c r="M4" s="18">
        <f t="shared" ref="M4:M13" si="3">IF(K4&gt;0,L4/K4*100,"-")</f>
        <v>62.888890251471061</v>
      </c>
      <c r="N4" s="105">
        <v>49361080.369999997</v>
      </c>
      <c r="O4" s="105">
        <v>41884209.090000004</v>
      </c>
      <c r="P4" s="18">
        <f t="shared" ref="P4:P13" si="4">IF(N4&gt;0,O4/N4*100,"-")</f>
        <v>84.852699284628741</v>
      </c>
      <c r="Q4" s="105">
        <v>35142157.640000001</v>
      </c>
      <c r="R4" s="105">
        <v>28022087.77</v>
      </c>
      <c r="S4" s="18">
        <f t="shared" ref="S4:S13" si="5">IF(Q4&gt;0,R4/Q4*100,"-")</f>
        <v>79.739235299839152</v>
      </c>
      <c r="T4" s="105">
        <v>41498428.380000003</v>
      </c>
      <c r="U4" s="105">
        <v>31601992.079999998</v>
      </c>
      <c r="V4" s="18">
        <f t="shared" ref="V4:V13" si="6">IF(T4&gt;0,U4/T4*100,"-")</f>
        <v>76.152262419726839</v>
      </c>
      <c r="W4" s="1">
        <v>35680467.82</v>
      </c>
      <c r="X4" s="1">
        <v>22706087.109999999</v>
      </c>
      <c r="Y4" s="18">
        <f t="shared" ref="Y4:Y21" si="7">IF(W4&gt;0,X4/W4*100,"-")</f>
        <v>63.63730213557497</v>
      </c>
      <c r="Z4" s="101">
        <f t="shared" ref="Z4:AA55" si="8">IF(T4&gt;0,W4/T4*100-100,"-")</f>
        <v>-14.019713003887986</v>
      </c>
      <c r="AA4" s="101">
        <f t="shared" si="8"/>
        <v>-28.149823427207181</v>
      </c>
    </row>
    <row r="5" spans="1:27" x14ac:dyDescent="0.3">
      <c r="A5" t="s">
        <v>22</v>
      </c>
      <c r="B5" s="26">
        <v>56924317.490000002</v>
      </c>
      <c r="C5" s="26">
        <v>43252335.799999997</v>
      </c>
      <c r="D5" s="18">
        <f t="shared" si="0"/>
        <v>75.982177226100617</v>
      </c>
      <c r="E5" s="26">
        <v>63426889.530000001</v>
      </c>
      <c r="F5" s="26">
        <v>47382341.780000001</v>
      </c>
      <c r="G5" s="18">
        <f t="shared" si="1"/>
        <v>74.703871072833934</v>
      </c>
      <c r="H5" s="26">
        <v>50511847.289999999</v>
      </c>
      <c r="I5" s="26">
        <v>38213057.859999999</v>
      </c>
      <c r="J5" s="18">
        <f t="shared" si="2"/>
        <v>75.651673637295715</v>
      </c>
      <c r="K5" s="105">
        <v>60054704.740000002</v>
      </c>
      <c r="L5" s="105">
        <v>44708153.579999998</v>
      </c>
      <c r="M5" s="18">
        <f t="shared" si="3"/>
        <v>74.445713743092824</v>
      </c>
      <c r="N5" s="105">
        <v>47207482.18</v>
      </c>
      <c r="O5" s="105">
        <v>33477873.329999998</v>
      </c>
      <c r="P5" s="18">
        <f t="shared" si="4"/>
        <v>70.916456002356526</v>
      </c>
      <c r="Q5" s="105">
        <v>57553493.719999999</v>
      </c>
      <c r="R5" s="105">
        <v>41121663.710000001</v>
      </c>
      <c r="S5" s="18">
        <f t="shared" si="5"/>
        <v>71.449465622466818</v>
      </c>
      <c r="T5" s="105">
        <v>74693604.370000005</v>
      </c>
      <c r="U5" s="105">
        <v>51584930.299999997</v>
      </c>
      <c r="V5" s="18">
        <f t="shared" si="6"/>
        <v>69.062044515177533</v>
      </c>
      <c r="W5" s="1">
        <v>73932555.590000004</v>
      </c>
      <c r="X5" s="1">
        <v>50266263.640000001</v>
      </c>
      <c r="Y5" s="18">
        <f t="shared" si="7"/>
        <v>67.989349534670936</v>
      </c>
      <c r="Z5" s="101">
        <f t="shared" si="8"/>
        <v>-1.0188941696133611</v>
      </c>
      <c r="AA5" s="101">
        <f t="shared" si="8"/>
        <v>-2.5563021067026597</v>
      </c>
    </row>
    <row r="6" spans="1:27" x14ac:dyDescent="0.3">
      <c r="A6" t="s">
        <v>23</v>
      </c>
      <c r="B6" s="26">
        <v>19678.55</v>
      </c>
      <c r="C6" s="26">
        <v>19277.37</v>
      </c>
      <c r="D6" s="18">
        <f t="shared" si="0"/>
        <v>97.961333533212553</v>
      </c>
      <c r="E6" s="26">
        <v>24955.39</v>
      </c>
      <c r="F6" s="26">
        <v>24955.39</v>
      </c>
      <c r="G6" s="18">
        <f t="shared" si="1"/>
        <v>100</v>
      </c>
      <c r="H6" s="26">
        <v>12653.22</v>
      </c>
      <c r="I6" s="26">
        <v>12653.22</v>
      </c>
      <c r="J6" s="18">
        <f t="shared" si="2"/>
        <v>100</v>
      </c>
      <c r="K6" s="105">
        <v>4102.13</v>
      </c>
      <c r="L6" s="105">
        <v>4102.13</v>
      </c>
      <c r="M6" s="18">
        <f t="shared" si="3"/>
        <v>100</v>
      </c>
      <c r="N6" s="105">
        <v>11010.87</v>
      </c>
      <c r="O6" s="105">
        <v>11010.87</v>
      </c>
      <c r="P6" s="18">
        <f t="shared" si="4"/>
        <v>100</v>
      </c>
      <c r="Q6" s="105">
        <v>12397.33</v>
      </c>
      <c r="R6" s="105">
        <v>12397.33</v>
      </c>
      <c r="S6" s="18">
        <f t="shared" si="5"/>
        <v>100</v>
      </c>
      <c r="T6" s="105">
        <v>4164.17</v>
      </c>
      <c r="U6" s="105">
        <v>4164.17</v>
      </c>
      <c r="V6" s="18">
        <f t="shared" si="6"/>
        <v>100</v>
      </c>
      <c r="W6" s="1">
        <v>17811.310000000001</v>
      </c>
      <c r="X6" s="1">
        <v>17811.310000000001</v>
      </c>
      <c r="Y6" s="18">
        <f t="shared" si="7"/>
        <v>100</v>
      </c>
      <c r="Z6" s="101">
        <f t="shared" si="8"/>
        <v>327.72773445848753</v>
      </c>
      <c r="AA6" s="101">
        <f t="shared" si="8"/>
        <v>327.72773445848753</v>
      </c>
    </row>
    <row r="7" spans="1:27" x14ac:dyDescent="0.3">
      <c r="A7" t="s">
        <v>24</v>
      </c>
      <c r="B7" s="26">
        <v>4039527.9</v>
      </c>
      <c r="C7" s="26">
        <v>2283007.4300000002</v>
      </c>
      <c r="D7" s="18">
        <f t="shared" si="0"/>
        <v>56.51668923984905</v>
      </c>
      <c r="E7" s="26">
        <v>12635591.01</v>
      </c>
      <c r="F7" s="26">
        <v>4413076.16</v>
      </c>
      <c r="G7" s="18">
        <f t="shared" si="1"/>
        <v>34.925759756765032</v>
      </c>
      <c r="H7" s="26">
        <v>8433316.25</v>
      </c>
      <c r="I7" s="26">
        <v>3912667.15</v>
      </c>
      <c r="J7" s="18">
        <f t="shared" si="2"/>
        <v>46.395356630910172</v>
      </c>
      <c r="K7" s="105">
        <v>7493574.3799999999</v>
      </c>
      <c r="L7" s="105">
        <v>4523024.13</v>
      </c>
      <c r="M7" s="18">
        <f t="shared" si="3"/>
        <v>60.358700676565512</v>
      </c>
      <c r="N7" s="105">
        <v>17101684.079999998</v>
      </c>
      <c r="O7" s="105">
        <v>2281990.11</v>
      </c>
      <c r="P7" s="18">
        <f t="shared" si="4"/>
        <v>13.343657263957597</v>
      </c>
      <c r="Q7" s="105">
        <v>17995985.57</v>
      </c>
      <c r="R7" s="105">
        <v>5643496.2400000002</v>
      </c>
      <c r="S7" s="18">
        <f t="shared" si="5"/>
        <v>31.35975086248083</v>
      </c>
      <c r="T7" s="105">
        <v>16588863.82</v>
      </c>
      <c r="U7" s="105">
        <v>8838060.8300000001</v>
      </c>
      <c r="V7" s="18">
        <f t="shared" si="6"/>
        <v>53.277071449248893</v>
      </c>
      <c r="W7" s="1">
        <v>30383745.48</v>
      </c>
      <c r="X7" s="1">
        <v>11808424.720000001</v>
      </c>
      <c r="Y7" s="18">
        <f t="shared" si="7"/>
        <v>38.864282640113792</v>
      </c>
      <c r="Z7" s="101">
        <f t="shared" si="8"/>
        <v>83.157483295320702</v>
      </c>
      <c r="AA7" s="101">
        <f t="shared" si="8"/>
        <v>33.608773996184425</v>
      </c>
    </row>
    <row r="8" spans="1:27" x14ac:dyDescent="0.3">
      <c r="A8" t="s">
        <v>25</v>
      </c>
      <c r="B8" s="26">
        <v>1685979.87</v>
      </c>
      <c r="C8" s="26">
        <v>1661514.96</v>
      </c>
      <c r="D8" s="18">
        <f t="shared" si="0"/>
        <v>98.548920397252431</v>
      </c>
      <c r="E8" s="26">
        <v>1472189.98</v>
      </c>
      <c r="F8" s="26">
        <v>1448077.67</v>
      </c>
      <c r="G8" s="18">
        <f t="shared" si="1"/>
        <v>98.362146847379023</v>
      </c>
      <c r="H8" s="26">
        <v>1374569.43</v>
      </c>
      <c r="I8" s="26">
        <v>1364233.13</v>
      </c>
      <c r="J8" s="18">
        <f t="shared" si="2"/>
        <v>99.248033618789265</v>
      </c>
      <c r="K8" s="105">
        <v>1212997.22</v>
      </c>
      <c r="L8" s="105">
        <v>1188161.17</v>
      </c>
      <c r="M8" s="18">
        <f t="shared" si="3"/>
        <v>97.952505612502549</v>
      </c>
      <c r="N8" s="105">
        <v>1083849.71</v>
      </c>
      <c r="O8" s="105">
        <v>1083849.71</v>
      </c>
      <c r="P8" s="18">
        <f t="shared" si="4"/>
        <v>100</v>
      </c>
      <c r="Q8" s="105">
        <v>1246830.54</v>
      </c>
      <c r="R8" s="105">
        <v>1238297.6399999999</v>
      </c>
      <c r="S8" s="18">
        <f t="shared" si="5"/>
        <v>99.315632740275987</v>
      </c>
      <c r="T8" s="105">
        <v>2851481.42</v>
      </c>
      <c r="U8" s="105">
        <v>2731964.67</v>
      </c>
      <c r="V8" s="18">
        <f t="shared" si="6"/>
        <v>95.808608495158992</v>
      </c>
      <c r="W8" s="1">
        <v>1292666.45</v>
      </c>
      <c r="X8" s="1">
        <v>1273867.6399999999</v>
      </c>
      <c r="Y8" s="18">
        <f t="shared" si="7"/>
        <v>98.545733897557255</v>
      </c>
      <c r="Z8" s="101">
        <f t="shared" si="8"/>
        <v>-54.666846470281406</v>
      </c>
      <c r="AA8" s="101">
        <f t="shared" si="8"/>
        <v>-53.371738149161352</v>
      </c>
    </row>
    <row r="9" spans="1:27" x14ac:dyDescent="0.3">
      <c r="A9" t="s">
        <v>26</v>
      </c>
      <c r="B9" s="26">
        <v>5572101.4500000002</v>
      </c>
      <c r="C9" s="26">
        <v>5467291.1900000004</v>
      </c>
      <c r="D9" s="18">
        <f t="shared" si="0"/>
        <v>98.119017377187205</v>
      </c>
      <c r="E9" s="26">
        <v>5614333.8600000003</v>
      </c>
      <c r="F9" s="26">
        <v>4225104.42</v>
      </c>
      <c r="G9" s="18">
        <f t="shared" si="1"/>
        <v>75.255667463993674</v>
      </c>
      <c r="H9" s="26">
        <v>3618295.48</v>
      </c>
      <c r="I9" s="26">
        <v>2604369.33</v>
      </c>
      <c r="J9" s="18">
        <f t="shared" si="2"/>
        <v>71.977795743757227</v>
      </c>
      <c r="K9" s="105">
        <v>5271435.9400000004</v>
      </c>
      <c r="L9" s="105">
        <v>5146524.66</v>
      </c>
      <c r="M9" s="18">
        <f t="shared" si="3"/>
        <v>97.630412634778224</v>
      </c>
      <c r="N9" s="105">
        <v>6523412.7300000004</v>
      </c>
      <c r="O9" s="105">
        <v>5256087.67</v>
      </c>
      <c r="P9" s="18">
        <f t="shared" si="4"/>
        <v>80.572667828117005</v>
      </c>
      <c r="Q9" s="105">
        <v>4358421.26</v>
      </c>
      <c r="R9" s="105">
        <v>4289299.1100000003</v>
      </c>
      <c r="S9" s="18">
        <f t="shared" si="5"/>
        <v>98.414055322408203</v>
      </c>
      <c r="T9" s="105">
        <v>7324924.96</v>
      </c>
      <c r="U9" s="105">
        <v>5475670.6200000001</v>
      </c>
      <c r="V9" s="18">
        <f t="shared" si="6"/>
        <v>74.753948332598355</v>
      </c>
      <c r="W9" s="1">
        <v>4940892.7699999996</v>
      </c>
      <c r="X9" s="1">
        <v>4804167.91</v>
      </c>
      <c r="Y9" s="18">
        <f t="shared" si="7"/>
        <v>97.232790380917351</v>
      </c>
      <c r="Z9" s="101">
        <f t="shared" si="8"/>
        <v>-32.546847961156459</v>
      </c>
      <c r="AA9" s="101">
        <f t="shared" si="8"/>
        <v>-12.263387566580846</v>
      </c>
    </row>
    <row r="10" spans="1:27" x14ac:dyDescent="0.3">
      <c r="A10" t="s">
        <v>27</v>
      </c>
      <c r="B10" s="26">
        <v>38059188.039999999</v>
      </c>
      <c r="C10" s="26">
        <v>37911820.840000004</v>
      </c>
      <c r="D10" s="18">
        <f t="shared" si="0"/>
        <v>99.612794682206271</v>
      </c>
      <c r="E10" s="26">
        <v>29808871.920000002</v>
      </c>
      <c r="F10" s="26">
        <v>7710015.7000000002</v>
      </c>
      <c r="G10" s="18">
        <f t="shared" si="1"/>
        <v>25.864835545242599</v>
      </c>
      <c r="H10" s="26">
        <v>41064025.619999997</v>
      </c>
      <c r="I10" s="26">
        <v>14541473.890000001</v>
      </c>
      <c r="J10" s="18">
        <f t="shared" si="2"/>
        <v>35.411710543346388</v>
      </c>
      <c r="K10" s="105">
        <v>24468427.760000002</v>
      </c>
      <c r="L10" s="105">
        <v>24126360.579999998</v>
      </c>
      <c r="M10" s="18">
        <f t="shared" si="3"/>
        <v>98.602005885481532</v>
      </c>
      <c r="N10" s="105">
        <v>17062012.460000001</v>
      </c>
      <c r="O10" s="105">
        <v>16892204.559999999</v>
      </c>
      <c r="P10" s="18">
        <f t="shared" si="4"/>
        <v>99.004760426719301</v>
      </c>
      <c r="Q10" s="105">
        <v>13171031.09</v>
      </c>
      <c r="R10" s="105">
        <v>13014988.27</v>
      </c>
      <c r="S10" s="18">
        <f t="shared" si="5"/>
        <v>98.815257371015747</v>
      </c>
      <c r="T10" s="105">
        <v>12975901.119999999</v>
      </c>
      <c r="U10" s="105">
        <v>10482141.26</v>
      </c>
      <c r="V10" s="18">
        <f t="shared" si="6"/>
        <v>80.781605555267987</v>
      </c>
      <c r="W10" s="1">
        <v>19841026.960000001</v>
      </c>
      <c r="X10" s="1">
        <v>18709785.190000001</v>
      </c>
      <c r="Y10" s="18">
        <f t="shared" si="7"/>
        <v>94.298471685560372</v>
      </c>
      <c r="Z10" s="101">
        <f t="shared" si="8"/>
        <v>52.906736699917161</v>
      </c>
      <c r="AA10" s="101">
        <f t="shared" si="8"/>
        <v>78.492015380452926</v>
      </c>
    </row>
    <row r="11" spans="1:27" x14ac:dyDescent="0.3">
      <c r="A11" t="s">
        <v>28</v>
      </c>
      <c r="B11" s="26">
        <v>0</v>
      </c>
      <c r="C11" s="26">
        <v>0</v>
      </c>
      <c r="D11" s="18" t="str">
        <f t="shared" si="0"/>
        <v>-</v>
      </c>
      <c r="E11" s="26">
        <v>0</v>
      </c>
      <c r="F11" s="26">
        <v>0</v>
      </c>
      <c r="G11" s="18" t="str">
        <f t="shared" si="1"/>
        <v>-</v>
      </c>
      <c r="H11" s="26">
        <v>0</v>
      </c>
      <c r="I11" s="26">
        <v>0</v>
      </c>
      <c r="J11" s="18" t="str">
        <f t="shared" si="2"/>
        <v>-</v>
      </c>
      <c r="K11" s="105">
        <v>0</v>
      </c>
      <c r="L11" s="105">
        <v>0</v>
      </c>
      <c r="M11" s="18" t="str">
        <f t="shared" si="3"/>
        <v>-</v>
      </c>
      <c r="N11" s="105">
        <v>26432.14</v>
      </c>
      <c r="O11" s="105">
        <v>26432.14</v>
      </c>
      <c r="P11" s="18">
        <f t="shared" si="4"/>
        <v>100</v>
      </c>
      <c r="Q11" s="105">
        <v>1236046.49</v>
      </c>
      <c r="R11" s="105">
        <v>1235257.4099999999</v>
      </c>
      <c r="S11" s="18">
        <f t="shared" si="5"/>
        <v>99.936160977246075</v>
      </c>
      <c r="T11" s="105">
        <v>150931.74</v>
      </c>
      <c r="U11" s="105">
        <v>150931.74</v>
      </c>
      <c r="V11" s="18">
        <f t="shared" si="6"/>
        <v>100</v>
      </c>
      <c r="W11" s="105">
        <v>0</v>
      </c>
      <c r="X11" s="105">
        <v>0</v>
      </c>
      <c r="Y11" s="18" t="str">
        <f t="shared" si="7"/>
        <v>-</v>
      </c>
      <c r="Z11" s="101">
        <f t="shared" si="8"/>
        <v>-100</v>
      </c>
      <c r="AA11" s="101">
        <f t="shared" si="8"/>
        <v>-100</v>
      </c>
    </row>
    <row r="12" spans="1:27" x14ac:dyDescent="0.3">
      <c r="A12" t="s">
        <v>29</v>
      </c>
      <c r="B12" s="26">
        <v>0</v>
      </c>
      <c r="C12" s="26">
        <v>0</v>
      </c>
      <c r="D12" s="18" t="str">
        <f t="shared" si="0"/>
        <v>-</v>
      </c>
      <c r="E12" s="26">
        <v>4377405.55</v>
      </c>
      <c r="F12" s="26">
        <v>0</v>
      </c>
      <c r="G12" s="18">
        <f t="shared" si="1"/>
        <v>0</v>
      </c>
      <c r="H12" s="26">
        <v>0</v>
      </c>
      <c r="I12" s="26">
        <v>0</v>
      </c>
      <c r="J12" s="18" t="str">
        <f t="shared" si="2"/>
        <v>-</v>
      </c>
      <c r="K12" s="105">
        <v>0</v>
      </c>
      <c r="L12" s="105">
        <v>0</v>
      </c>
      <c r="M12" s="18" t="str">
        <f t="shared" si="3"/>
        <v>-</v>
      </c>
      <c r="N12" s="105">
        <v>0</v>
      </c>
      <c r="O12" s="105">
        <v>0</v>
      </c>
      <c r="P12" s="18" t="str">
        <f t="shared" si="4"/>
        <v>-</v>
      </c>
      <c r="Q12" s="105">
        <v>46074.45</v>
      </c>
      <c r="R12" s="105">
        <v>46074.45</v>
      </c>
      <c r="S12" s="18">
        <f t="shared" si="5"/>
        <v>100</v>
      </c>
      <c r="T12" s="105">
        <v>0</v>
      </c>
      <c r="U12" s="105">
        <v>0</v>
      </c>
      <c r="V12" s="18" t="str">
        <f t="shared" si="6"/>
        <v>-</v>
      </c>
      <c r="W12" s="105">
        <v>0</v>
      </c>
      <c r="X12" s="105">
        <v>0</v>
      </c>
      <c r="Y12" s="18" t="str">
        <f t="shared" si="7"/>
        <v>-</v>
      </c>
      <c r="Z12" s="101" t="str">
        <f t="shared" si="8"/>
        <v>-</v>
      </c>
      <c r="AA12" s="101" t="str">
        <f t="shared" si="8"/>
        <v>-</v>
      </c>
    </row>
    <row r="13" spans="1:27" x14ac:dyDescent="0.3">
      <c r="A13" t="s">
        <v>30</v>
      </c>
      <c r="B13" s="26">
        <v>74900.91</v>
      </c>
      <c r="C13" s="26">
        <v>74900.91</v>
      </c>
      <c r="D13" s="18">
        <f t="shared" si="0"/>
        <v>100</v>
      </c>
      <c r="E13" s="26">
        <v>0</v>
      </c>
      <c r="F13" s="26">
        <v>0</v>
      </c>
      <c r="G13" s="18" t="str">
        <f t="shared" si="1"/>
        <v>-</v>
      </c>
      <c r="H13" s="26">
        <v>0</v>
      </c>
      <c r="I13" s="26">
        <v>0</v>
      </c>
      <c r="J13" s="18" t="str">
        <f t="shared" si="2"/>
        <v>-</v>
      </c>
      <c r="K13" s="105">
        <v>11831.47</v>
      </c>
      <c r="L13" s="105">
        <v>11831.47</v>
      </c>
      <c r="M13" s="18">
        <f t="shared" si="3"/>
        <v>100</v>
      </c>
      <c r="N13" s="105">
        <v>0</v>
      </c>
      <c r="O13" s="105">
        <v>0</v>
      </c>
      <c r="P13" s="18" t="str">
        <f t="shared" si="4"/>
        <v>-</v>
      </c>
      <c r="Q13" s="105">
        <v>0</v>
      </c>
      <c r="R13" s="105">
        <v>0</v>
      </c>
      <c r="S13" s="18" t="str">
        <f t="shared" si="5"/>
        <v>-</v>
      </c>
      <c r="T13" s="105">
        <v>0</v>
      </c>
      <c r="U13" s="105">
        <v>0</v>
      </c>
      <c r="V13" s="18" t="str">
        <f t="shared" si="6"/>
        <v>-</v>
      </c>
      <c r="W13" s="1">
        <v>907933.31</v>
      </c>
      <c r="X13" s="1">
        <v>163039.37</v>
      </c>
      <c r="Y13" s="18">
        <f t="shared" si="7"/>
        <v>17.957196657979207</v>
      </c>
      <c r="Z13" s="101" t="str">
        <f t="shared" si="8"/>
        <v>-</v>
      </c>
      <c r="AA13" s="101" t="str">
        <f t="shared" si="8"/>
        <v>-</v>
      </c>
    </row>
    <row r="14" spans="1:27" x14ac:dyDescent="0.3">
      <c r="A14" t="s">
        <v>31</v>
      </c>
      <c r="B14" s="26">
        <f t="shared" ref="B14:C14" si="9">SUM(B3:B5)</f>
        <v>224862012.66000003</v>
      </c>
      <c r="C14" s="26">
        <f t="shared" si="9"/>
        <v>175039794.87</v>
      </c>
      <c r="D14" s="18">
        <f>IF(B14&gt;0,C14/B14*100,"-")</f>
        <v>77.843203838376596</v>
      </c>
      <c r="E14" s="26">
        <f t="shared" ref="E14:F14" si="10">SUM(E3:E5)</f>
        <v>229173861.56</v>
      </c>
      <c r="F14" s="26">
        <f t="shared" si="10"/>
        <v>182713488.66</v>
      </c>
      <c r="G14" s="18">
        <f>IF(E14&gt;0,F14/E14*100,"-")</f>
        <v>79.727019222985774</v>
      </c>
      <c r="H14" s="26">
        <f t="shared" ref="H14:I14" si="11">SUM(H3:H5)</f>
        <v>220740757.28999999</v>
      </c>
      <c r="I14" s="26">
        <f t="shared" si="11"/>
        <v>177504752.98000002</v>
      </c>
      <c r="J14" s="18">
        <f>IF(H14&gt;0,I14/H14*100,"-")</f>
        <v>80.413220992443044</v>
      </c>
      <c r="K14" s="105">
        <v>229401411.38</v>
      </c>
      <c r="L14" s="105">
        <v>186971882.56999999</v>
      </c>
      <c r="M14" s="18">
        <f>IF(K14&gt;0,L14/K14*100,"-")</f>
        <v>81.504242474029027</v>
      </c>
      <c r="N14" s="105">
        <f t="shared" ref="N14:O14" si="12">SUM(N3:N5)</f>
        <v>244111504.19</v>
      </c>
      <c r="O14" s="105">
        <f t="shared" si="12"/>
        <v>202314086.05000001</v>
      </c>
      <c r="P14" s="18">
        <f>IF(N14&gt;0,O14/N14*100,"-")</f>
        <v>82.877735206011565</v>
      </c>
      <c r="Q14" s="105">
        <f t="shared" ref="Q14:R14" si="13">SUM(Q3:Q5)</f>
        <v>243159788.60999998</v>
      </c>
      <c r="R14" s="105">
        <f t="shared" si="13"/>
        <v>196683813.03</v>
      </c>
      <c r="S14" s="18">
        <f>IF(Q14&gt;0,R14/Q14*100,"-")</f>
        <v>80.886652416637006</v>
      </c>
      <c r="T14" s="105">
        <f t="shared" ref="T14:U14" si="14">SUM(T3:T5)</f>
        <v>268566745.51999998</v>
      </c>
      <c r="U14" s="105">
        <f t="shared" si="14"/>
        <v>212550782.81999999</v>
      </c>
      <c r="V14" s="18">
        <f>IF(T14&gt;0,U14/T14*100,"-")</f>
        <v>79.142628923941544</v>
      </c>
      <c r="W14" s="105">
        <f t="shared" ref="W14:X14" si="15">SUM(W3:W5)</f>
        <v>272296276.75999999</v>
      </c>
      <c r="X14" s="105">
        <f t="shared" si="15"/>
        <v>203692383.13999999</v>
      </c>
      <c r="Y14" s="18">
        <f>IF(W14&gt;0,X14/W14*100,"-")</f>
        <v>74.805423549559961</v>
      </c>
      <c r="Z14" s="101">
        <f t="shared" si="8"/>
        <v>1.3886794631922328</v>
      </c>
      <c r="AA14" s="101">
        <f t="shared" si="8"/>
        <v>-4.1676626933441128</v>
      </c>
    </row>
    <row r="15" spans="1:27" x14ac:dyDescent="0.3">
      <c r="A15" t="s">
        <v>32</v>
      </c>
      <c r="B15" s="25">
        <f t="shared" ref="B15:C15" si="16">SUM(B6:B10)</f>
        <v>49376475.810000002</v>
      </c>
      <c r="C15" s="25">
        <f t="shared" si="16"/>
        <v>47342911.790000007</v>
      </c>
      <c r="D15" s="18">
        <f>IF(B15&gt;0,C15/B15*100,"-")</f>
        <v>95.881512427445969</v>
      </c>
      <c r="E15" s="25">
        <f t="shared" ref="E15:F15" si="17">SUM(E6:E10)</f>
        <v>49555942.160000004</v>
      </c>
      <c r="F15" s="25">
        <f t="shared" si="17"/>
        <v>17821229.34</v>
      </c>
      <c r="G15" s="18">
        <f>IF(E15&gt;0,F15/E15*100,"-")</f>
        <v>35.961841432579469</v>
      </c>
      <c r="H15" s="25">
        <f t="shared" ref="H15:I15" si="18">SUM(H6:H10)</f>
        <v>54502860</v>
      </c>
      <c r="I15" s="25">
        <f t="shared" si="18"/>
        <v>22435396.719999999</v>
      </c>
      <c r="J15" s="18">
        <f>IF(H15&gt;0,I15/H15*100,"-")</f>
        <v>41.163705390873062</v>
      </c>
      <c r="K15" s="104">
        <v>38450537.430000007</v>
      </c>
      <c r="L15" s="104">
        <v>34988172.670000002</v>
      </c>
      <c r="M15" s="18">
        <f>IF(K15&gt;0,L15/K15*100,"-")</f>
        <v>90.99527603143828</v>
      </c>
      <c r="N15" s="104">
        <f t="shared" ref="N15:O15" si="19">SUM(N6:N10)</f>
        <v>41781969.850000001</v>
      </c>
      <c r="O15" s="104">
        <f t="shared" si="19"/>
        <v>25525142.919999998</v>
      </c>
      <c r="P15" s="18">
        <f>IF(N15&gt;0,O15/N15*100,"-")</f>
        <v>61.091286532532877</v>
      </c>
      <c r="Q15" s="104">
        <f t="shared" ref="Q15:R15" si="20">SUM(Q6:Q10)</f>
        <v>36784665.789999992</v>
      </c>
      <c r="R15" s="104">
        <f t="shared" si="20"/>
        <v>24198478.59</v>
      </c>
      <c r="S15" s="18">
        <f>IF(Q15&gt;0,R15/Q15*100,"-")</f>
        <v>65.784146927273213</v>
      </c>
      <c r="T15" s="104">
        <f t="shared" ref="T15:U15" si="21">SUM(T6:T10)</f>
        <v>39745335.490000002</v>
      </c>
      <c r="U15" s="104">
        <f t="shared" si="21"/>
        <v>27532001.549999997</v>
      </c>
      <c r="V15" s="18">
        <f>IF(T15&gt;0,U15/T15*100,"-")</f>
        <v>69.271025670237705</v>
      </c>
      <c r="W15" s="104">
        <f t="shared" ref="W15:X15" si="22">SUM(W6:W10)</f>
        <v>56476142.969999999</v>
      </c>
      <c r="X15" s="104">
        <f t="shared" si="22"/>
        <v>36614056.770000003</v>
      </c>
      <c r="Y15" s="18">
        <f>IF(W15&gt;0,X15/W15*100,"-")</f>
        <v>64.831015087997969</v>
      </c>
      <c r="Z15" s="101">
        <f t="shared" si="8"/>
        <v>42.095021399956465</v>
      </c>
      <c r="AA15" s="101">
        <f t="shared" si="8"/>
        <v>32.987268301239823</v>
      </c>
    </row>
    <row r="16" spans="1:27" x14ac:dyDescent="0.3">
      <c r="A16" t="s">
        <v>33</v>
      </c>
      <c r="B16" s="26">
        <f t="shared" ref="B16:C16" si="23">SUM(B11:B13)</f>
        <v>74900.91</v>
      </c>
      <c r="C16" s="26">
        <f t="shared" si="23"/>
        <v>74900.91</v>
      </c>
      <c r="D16" s="18">
        <f t="shared" si="0"/>
        <v>100</v>
      </c>
      <c r="E16" s="26">
        <f t="shared" ref="E16:F16" si="24">SUM(E11:E13)</f>
        <v>4377405.55</v>
      </c>
      <c r="F16" s="26">
        <f t="shared" si="24"/>
        <v>0</v>
      </c>
      <c r="G16" s="18">
        <f t="shared" si="1"/>
        <v>0</v>
      </c>
      <c r="H16" s="26">
        <f t="shared" ref="H16:I16" si="25">SUM(H11:H13)</f>
        <v>0</v>
      </c>
      <c r="I16" s="26">
        <f t="shared" si="25"/>
        <v>0</v>
      </c>
      <c r="J16" s="18" t="str">
        <f t="shared" ref="J16:J21" si="26">IF(H16&gt;0,I16/H16*100,"-")</f>
        <v>-</v>
      </c>
      <c r="K16" s="105">
        <v>11831.47</v>
      </c>
      <c r="L16" s="105">
        <v>11831.47</v>
      </c>
      <c r="M16" s="18">
        <f t="shared" ref="M16:M21" si="27">IF(K16&gt;0,L16/K16*100,"-")</f>
        <v>100</v>
      </c>
      <c r="N16" s="105">
        <f t="shared" ref="N16:O16" si="28">SUM(N11:N13)</f>
        <v>26432.14</v>
      </c>
      <c r="O16" s="105">
        <f t="shared" si="28"/>
        <v>26432.14</v>
      </c>
      <c r="P16" s="18">
        <f t="shared" ref="P16:P21" si="29">IF(N16&gt;0,O16/N16*100,"-")</f>
        <v>100</v>
      </c>
      <c r="Q16" s="105">
        <f t="shared" ref="Q16:R16" si="30">SUM(Q11:Q13)</f>
        <v>1282120.94</v>
      </c>
      <c r="R16" s="105">
        <f t="shared" si="30"/>
        <v>1281331.8599999999</v>
      </c>
      <c r="S16" s="18">
        <f t="shared" ref="S16:S21" si="31">IF(Q16&gt;0,R16/Q16*100,"-")</f>
        <v>99.938455103931148</v>
      </c>
      <c r="T16" s="105">
        <f t="shared" ref="T16:U16" si="32">SUM(T11:T13)</f>
        <v>150931.74</v>
      </c>
      <c r="U16" s="105">
        <f t="shared" si="32"/>
        <v>150931.74</v>
      </c>
      <c r="V16" s="18">
        <f t="shared" ref="V16:V21" si="33">IF(T16&gt;0,U16/T16*100,"-")</f>
        <v>100</v>
      </c>
      <c r="W16" s="105">
        <f t="shared" ref="W16:X16" si="34">SUM(W11:W13)</f>
        <v>907933.31</v>
      </c>
      <c r="X16" s="105">
        <f t="shared" si="34"/>
        <v>163039.37</v>
      </c>
      <c r="Y16" s="18">
        <f t="shared" si="7"/>
        <v>17.957196657979207</v>
      </c>
      <c r="Z16" s="101">
        <f t="shared" si="8"/>
        <v>501.5522712452663</v>
      </c>
      <c r="AA16" s="101">
        <f t="shared" si="8"/>
        <v>8.0219243480529769</v>
      </c>
    </row>
    <row r="17" spans="1:27" x14ac:dyDescent="0.3">
      <c r="A17" t="s">
        <v>34</v>
      </c>
      <c r="B17" s="26">
        <v>196499.69</v>
      </c>
      <c r="C17" s="26">
        <v>196499.69</v>
      </c>
      <c r="D17" s="18">
        <f t="shared" si="0"/>
        <v>100</v>
      </c>
      <c r="E17" s="26">
        <v>3862307.15</v>
      </c>
      <c r="F17" s="26">
        <v>3862307.15</v>
      </c>
      <c r="G17" s="18">
        <f t="shared" si="1"/>
        <v>100</v>
      </c>
      <c r="H17" s="26">
        <v>0</v>
      </c>
      <c r="I17" s="26">
        <v>0</v>
      </c>
      <c r="J17" s="18" t="str">
        <f t="shared" si="26"/>
        <v>-</v>
      </c>
      <c r="K17" s="105">
        <v>0</v>
      </c>
      <c r="L17" s="105">
        <v>0</v>
      </c>
      <c r="M17" s="18" t="str">
        <f t="shared" si="27"/>
        <v>-</v>
      </c>
      <c r="N17" s="105">
        <v>3638767.98</v>
      </c>
      <c r="O17" s="105">
        <v>438767.98</v>
      </c>
      <c r="P17" s="18">
        <f t="shared" si="29"/>
        <v>12.058146669741774</v>
      </c>
      <c r="Q17" s="105">
        <v>3991278.08</v>
      </c>
      <c r="R17" s="105">
        <v>0</v>
      </c>
      <c r="S17" s="18">
        <f t="shared" si="31"/>
        <v>0</v>
      </c>
      <c r="T17" s="105">
        <v>900000</v>
      </c>
      <c r="U17" s="105">
        <v>900000</v>
      </c>
      <c r="V17" s="18">
        <f t="shared" si="33"/>
        <v>100</v>
      </c>
      <c r="W17" s="1">
        <v>1280000</v>
      </c>
      <c r="X17" s="1">
        <v>1280000</v>
      </c>
      <c r="Y17" s="18">
        <f t="shared" si="7"/>
        <v>100</v>
      </c>
      <c r="Z17" s="101">
        <f t="shared" si="8"/>
        <v>42.222222222222229</v>
      </c>
      <c r="AA17" s="101">
        <f t="shared" si="8"/>
        <v>42.222222222222229</v>
      </c>
    </row>
    <row r="18" spans="1:27" x14ac:dyDescent="0.3">
      <c r="A18" t="s">
        <v>35</v>
      </c>
      <c r="B18" s="26">
        <v>0</v>
      </c>
      <c r="C18" s="26">
        <v>0</v>
      </c>
      <c r="D18" s="18" t="str">
        <f t="shared" si="0"/>
        <v>-</v>
      </c>
      <c r="E18" s="26">
        <v>0</v>
      </c>
      <c r="F18" s="26">
        <v>0</v>
      </c>
      <c r="G18" s="18" t="str">
        <f t="shared" si="1"/>
        <v>-</v>
      </c>
      <c r="H18" s="26">
        <v>0</v>
      </c>
      <c r="I18" s="26">
        <v>0</v>
      </c>
      <c r="J18" s="18" t="str">
        <f t="shared" si="26"/>
        <v>-</v>
      </c>
      <c r="K18" s="105">
        <v>0</v>
      </c>
      <c r="L18" s="105">
        <v>0</v>
      </c>
      <c r="M18" s="18" t="str">
        <f t="shared" si="27"/>
        <v>-</v>
      </c>
      <c r="N18" s="105">
        <v>0</v>
      </c>
      <c r="O18" s="105">
        <v>0</v>
      </c>
      <c r="P18" s="18" t="str">
        <f t="shared" si="29"/>
        <v>-</v>
      </c>
      <c r="Q18" s="105">
        <v>0</v>
      </c>
      <c r="R18" s="105">
        <v>0</v>
      </c>
      <c r="S18" s="18" t="str">
        <f t="shared" si="31"/>
        <v>-</v>
      </c>
      <c r="T18" s="105">
        <v>0</v>
      </c>
      <c r="U18" s="105">
        <v>0</v>
      </c>
      <c r="V18" s="18" t="str">
        <f t="shared" si="33"/>
        <v>-</v>
      </c>
      <c r="W18" s="105">
        <v>0</v>
      </c>
      <c r="X18" s="105">
        <v>0</v>
      </c>
      <c r="Y18" s="18" t="str">
        <f t="shared" si="7"/>
        <v>-</v>
      </c>
      <c r="Z18" s="101" t="str">
        <f t="shared" si="8"/>
        <v>-</v>
      </c>
      <c r="AA18" s="101" t="str">
        <f t="shared" si="8"/>
        <v>-</v>
      </c>
    </row>
    <row r="19" spans="1:27" x14ac:dyDescent="0.3">
      <c r="A19" t="s">
        <v>36</v>
      </c>
      <c r="B19" s="26">
        <v>32534689.379999999</v>
      </c>
      <c r="C19" s="26">
        <v>29794541.969999999</v>
      </c>
      <c r="D19" s="18">
        <f t="shared" si="0"/>
        <v>91.57776680147299</v>
      </c>
      <c r="E19" s="26">
        <v>29074150.050000001</v>
      </c>
      <c r="F19" s="26">
        <v>28409286.530000001</v>
      </c>
      <c r="G19" s="18">
        <f t="shared" si="1"/>
        <v>97.713214250952802</v>
      </c>
      <c r="H19" s="26">
        <v>31809047.370000001</v>
      </c>
      <c r="I19" s="26">
        <v>30454198.25</v>
      </c>
      <c r="J19" s="18">
        <f t="shared" si="26"/>
        <v>95.740679988807855</v>
      </c>
      <c r="K19" s="105">
        <v>31367309.399999999</v>
      </c>
      <c r="L19" s="105">
        <v>30021241.469999999</v>
      </c>
      <c r="M19" s="18">
        <f t="shared" si="27"/>
        <v>95.708691769399906</v>
      </c>
      <c r="N19" s="105">
        <v>30584257.300000001</v>
      </c>
      <c r="O19" s="105">
        <v>29486029.440000001</v>
      </c>
      <c r="P19" s="18">
        <f t="shared" si="29"/>
        <v>96.40917270206198</v>
      </c>
      <c r="Q19" s="105">
        <v>30828057.739999998</v>
      </c>
      <c r="R19" s="105">
        <v>30184339.969999999</v>
      </c>
      <c r="S19" s="18">
        <f t="shared" si="31"/>
        <v>97.911909418916252</v>
      </c>
      <c r="T19" s="105">
        <v>32425011.809999999</v>
      </c>
      <c r="U19" s="105">
        <v>31435085.800000001</v>
      </c>
      <c r="V19" s="18">
        <f t="shared" si="33"/>
        <v>96.947029608499008</v>
      </c>
      <c r="W19" s="1">
        <v>44186092.770000003</v>
      </c>
      <c r="X19" s="1">
        <v>38310009.609999999</v>
      </c>
      <c r="Y19" s="18">
        <f t="shared" si="7"/>
        <v>86.701509928505033</v>
      </c>
      <c r="Z19" s="101">
        <f t="shared" si="8"/>
        <v>36.271632000987722</v>
      </c>
      <c r="AA19" s="101">
        <f t="shared" si="8"/>
        <v>21.870224416565762</v>
      </c>
    </row>
    <row r="20" spans="1:27" x14ac:dyDescent="0.3">
      <c r="A20" t="s">
        <v>37</v>
      </c>
      <c r="B20" s="26">
        <f t="shared" ref="B20:C20" si="35">B14+B15+B16+B17+B18+B19</f>
        <v>307044578.45000005</v>
      </c>
      <c r="C20" s="26">
        <f t="shared" si="35"/>
        <v>252448649.23000002</v>
      </c>
      <c r="D20" s="18">
        <f t="shared" si="0"/>
        <v>82.21889163599397</v>
      </c>
      <c r="E20" s="26">
        <f t="shared" ref="E20:F20" si="36">E14+E15+E16+E17+E18+E19</f>
        <v>316043666.47000003</v>
      </c>
      <c r="F20" s="26">
        <f t="shared" si="36"/>
        <v>232806311.68000001</v>
      </c>
      <c r="G20" s="18">
        <f t="shared" si="1"/>
        <v>73.662704359904893</v>
      </c>
      <c r="H20" s="26">
        <f t="shared" ref="H20:I20" si="37">H14+H15+H16+H17+H18+H19</f>
        <v>307052664.65999997</v>
      </c>
      <c r="I20" s="26">
        <f t="shared" si="37"/>
        <v>230394347.95000002</v>
      </c>
      <c r="J20" s="18">
        <f t="shared" si="26"/>
        <v>75.034147059142484</v>
      </c>
      <c r="K20" s="105">
        <v>299231089.68000001</v>
      </c>
      <c r="L20" s="105">
        <v>251993128.18000001</v>
      </c>
      <c r="M20" s="18">
        <f t="shared" si="27"/>
        <v>84.213551623089486</v>
      </c>
      <c r="N20" s="105">
        <f t="shared" ref="N20:O20" si="38">N14+N15+N16+N17+N18+N19</f>
        <v>320142931.46000004</v>
      </c>
      <c r="O20" s="105">
        <f t="shared" si="38"/>
        <v>257790458.52999997</v>
      </c>
      <c r="P20" s="18">
        <f t="shared" si="29"/>
        <v>80.523551575652817</v>
      </c>
      <c r="Q20" s="105">
        <f t="shared" ref="Q20:R20" si="39">Q14+Q15+Q16+Q17+Q18+Q19</f>
        <v>316045911.15999997</v>
      </c>
      <c r="R20" s="105">
        <f t="shared" si="39"/>
        <v>252347963.45000002</v>
      </c>
      <c r="S20" s="18">
        <f t="shared" si="31"/>
        <v>79.845349849265247</v>
      </c>
      <c r="T20" s="105">
        <f t="shared" ref="T20:U20" si="40">T14+T15+T16+T17+T18+T19</f>
        <v>341788024.56</v>
      </c>
      <c r="U20" s="105">
        <f t="shared" si="40"/>
        <v>272568801.91000003</v>
      </c>
      <c r="V20" s="18">
        <f t="shared" si="33"/>
        <v>79.747908739895394</v>
      </c>
      <c r="W20" s="105">
        <f t="shared" ref="W20:X20" si="41">W14+W15+W16+W17+W18+W19</f>
        <v>375146445.81</v>
      </c>
      <c r="X20" s="105">
        <f t="shared" si="41"/>
        <v>280059488.88999999</v>
      </c>
      <c r="Y20" s="18">
        <f t="shared" si="7"/>
        <v>74.653376572796162</v>
      </c>
      <c r="Z20" s="101">
        <f t="shared" si="8"/>
        <v>9.7599736833798829</v>
      </c>
      <c r="AA20" s="101">
        <f t="shared" si="8"/>
        <v>2.7481820837563617</v>
      </c>
    </row>
    <row r="21" spans="1:27" x14ac:dyDescent="0.3">
      <c r="A21" t="s">
        <v>38</v>
      </c>
      <c r="B21" s="26">
        <f t="shared" ref="B21:C21" si="42">B20-B19</f>
        <v>274509889.07000005</v>
      </c>
      <c r="C21" s="26">
        <f t="shared" si="42"/>
        <v>222654107.26000002</v>
      </c>
      <c r="D21" s="18">
        <f t="shared" si="0"/>
        <v>81.10968534296525</v>
      </c>
      <c r="E21" s="26">
        <f t="shared" ref="E21:F21" si="43">E20-E19</f>
        <v>286969516.42000002</v>
      </c>
      <c r="F21" s="26">
        <f t="shared" si="43"/>
        <v>204397025.15000001</v>
      </c>
      <c r="G21" s="18">
        <f t="shared" si="1"/>
        <v>71.226040904933825</v>
      </c>
      <c r="H21" s="26">
        <f t="shared" ref="H21:I21" si="44">H20-H19</f>
        <v>275243617.28999996</v>
      </c>
      <c r="I21" s="26">
        <f t="shared" si="44"/>
        <v>199940149.70000002</v>
      </c>
      <c r="J21" s="18">
        <f t="shared" si="26"/>
        <v>72.641157556558582</v>
      </c>
      <c r="K21" s="105">
        <v>267863780.28</v>
      </c>
      <c r="L21" s="105">
        <v>221971886.71000001</v>
      </c>
      <c r="M21" s="18">
        <f t="shared" si="27"/>
        <v>82.867450940164872</v>
      </c>
      <c r="N21" s="105">
        <f t="shared" ref="N21:O21" si="45">N20-N19</f>
        <v>289558674.16000003</v>
      </c>
      <c r="O21" s="105">
        <f t="shared" si="45"/>
        <v>228304429.08999997</v>
      </c>
      <c r="P21" s="18">
        <f t="shared" si="29"/>
        <v>78.845653563065738</v>
      </c>
      <c r="Q21" s="105">
        <f t="shared" ref="Q21:R21" si="46">Q20-Q19</f>
        <v>285217853.41999996</v>
      </c>
      <c r="R21" s="105">
        <f t="shared" si="46"/>
        <v>222163623.48000002</v>
      </c>
      <c r="S21" s="18">
        <f t="shared" si="31"/>
        <v>77.89260763871296</v>
      </c>
      <c r="T21" s="105">
        <f t="shared" ref="T21:U21" si="47">T20-T19</f>
        <v>309363012.75</v>
      </c>
      <c r="U21" s="105">
        <f t="shared" si="47"/>
        <v>241133716.11000001</v>
      </c>
      <c r="V21" s="18">
        <f t="shared" si="33"/>
        <v>77.945231385777561</v>
      </c>
      <c r="W21" s="105">
        <f t="shared" ref="W21:X21" si="48">W20-W19</f>
        <v>330960353.04000002</v>
      </c>
      <c r="X21" s="105">
        <f t="shared" si="48"/>
        <v>241749479.27999997</v>
      </c>
      <c r="Y21" s="18">
        <f t="shared" si="7"/>
        <v>73.044845722285658</v>
      </c>
      <c r="Z21" s="101">
        <f t="shared" si="8"/>
        <v>6.9812289769278522</v>
      </c>
      <c r="AA21" s="101">
        <f t="shared" si="8"/>
        <v>0.25536170550246595</v>
      </c>
    </row>
    <row r="22" spans="1:27" x14ac:dyDescent="0.3">
      <c r="B22" s="12" t="s">
        <v>75</v>
      </c>
      <c r="C22" s="12" t="s">
        <v>76</v>
      </c>
      <c r="D22" s="16"/>
      <c r="E22" s="12" t="s">
        <v>75</v>
      </c>
      <c r="F22" s="12" t="s">
        <v>76</v>
      </c>
      <c r="G22" s="16"/>
      <c r="H22" s="12" t="s">
        <v>75</v>
      </c>
      <c r="I22" s="12" t="s">
        <v>76</v>
      </c>
      <c r="J22" s="97"/>
      <c r="K22" s="107" t="s">
        <v>75</v>
      </c>
      <c r="L22" s="107" t="s">
        <v>76</v>
      </c>
      <c r="M22" s="112"/>
      <c r="N22" s="107" t="s">
        <v>75</v>
      </c>
      <c r="O22" s="107" t="s">
        <v>76</v>
      </c>
      <c r="P22" s="120"/>
      <c r="Q22" s="107" t="s">
        <v>75</v>
      </c>
      <c r="R22" s="107" t="s">
        <v>76</v>
      </c>
      <c r="S22" s="123"/>
      <c r="T22" s="107" t="s">
        <v>75</v>
      </c>
      <c r="U22" s="107" t="s">
        <v>76</v>
      </c>
      <c r="V22" s="128"/>
      <c r="W22" s="107" t="s">
        <v>75</v>
      </c>
      <c r="X22" s="107" t="s">
        <v>76</v>
      </c>
      <c r="Y22" s="16"/>
    </row>
    <row r="23" spans="1:27" x14ac:dyDescent="0.3">
      <c r="A23" s="5" t="s">
        <v>39</v>
      </c>
      <c r="B23" s="25">
        <v>58628196.229999997</v>
      </c>
      <c r="C23" s="25">
        <v>58516152.229999997</v>
      </c>
      <c r="D23" s="18">
        <f>IF(B23&gt;0,C23/B23*100,"-")</f>
        <v>99.808890589844438</v>
      </c>
      <c r="E23" s="25">
        <v>57936829.549999997</v>
      </c>
      <c r="F23" s="25">
        <v>57888518.420000002</v>
      </c>
      <c r="G23" s="18">
        <f>IF(E23&gt;0,F23/E23*100,"-")</f>
        <v>99.916614128913793</v>
      </c>
      <c r="H23" s="25">
        <v>57805999.090000004</v>
      </c>
      <c r="I23" s="25">
        <v>57660835.890000001</v>
      </c>
      <c r="J23" s="18">
        <f>IF(H23&gt;0,I23/H23*100,"-")</f>
        <v>99.748878659161321</v>
      </c>
      <c r="K23" s="104">
        <v>58057244.590000004</v>
      </c>
      <c r="L23" s="104">
        <v>57966973.009999998</v>
      </c>
      <c r="M23" s="18">
        <f>IF(K23&gt;0,L23/K23*100,"-")</f>
        <v>99.844512806907218</v>
      </c>
      <c r="N23" s="104">
        <v>56597851.859999999</v>
      </c>
      <c r="O23" s="104">
        <v>56245443.899999999</v>
      </c>
      <c r="P23" s="18">
        <f>IF(N23&gt;0,O23/N23*100,"-")</f>
        <v>99.377347463872454</v>
      </c>
      <c r="Q23" s="104">
        <v>55496434.600000001</v>
      </c>
      <c r="R23" s="104">
        <v>55454399.329999998</v>
      </c>
      <c r="S23" s="18">
        <f>IF(Q23&gt;0,R23/Q23*100,"-")</f>
        <v>99.924255908865177</v>
      </c>
      <c r="T23" s="104">
        <v>56826266.469999999</v>
      </c>
      <c r="U23" s="104">
        <v>56644165.210000001</v>
      </c>
      <c r="V23" s="18">
        <f>IF(T23&gt;0,U23/T23*100,"-")</f>
        <v>99.679547379562351</v>
      </c>
      <c r="W23" s="1">
        <v>56394425.479999997</v>
      </c>
      <c r="X23" s="1">
        <v>55602766.310000002</v>
      </c>
      <c r="Y23" s="18">
        <f>IF(W23&gt;0,X23/W23*100,"-")</f>
        <v>98.596210240175679</v>
      </c>
      <c r="Z23" s="101">
        <f t="shared" si="8"/>
        <v>-0.75993201177132619</v>
      </c>
      <c r="AA23" s="101">
        <f t="shared" si="8"/>
        <v>-1.8384928017548816</v>
      </c>
    </row>
    <row r="24" spans="1:27" x14ac:dyDescent="0.3">
      <c r="A24" s="5" t="s">
        <v>40</v>
      </c>
      <c r="B24" s="25">
        <v>3055289.56</v>
      </c>
      <c r="C24" s="25">
        <v>2908316.84</v>
      </c>
      <c r="D24" s="18">
        <f t="shared" ref="D24:D55" si="49">IF(B24&gt;0,C24/B24*100,"-")</f>
        <v>95.189564945850819</v>
      </c>
      <c r="E24" s="25">
        <v>2983572.13</v>
      </c>
      <c r="F24" s="25">
        <v>2928368.52</v>
      </c>
      <c r="G24" s="18">
        <f t="shared" ref="G24:G55" si="50">IF(E24&gt;0,F24/E24*100,"-")</f>
        <v>98.149747765608737</v>
      </c>
      <c r="H24" s="25">
        <v>2965579.59</v>
      </c>
      <c r="I24" s="25">
        <v>2906050.81</v>
      </c>
      <c r="J24" s="18">
        <f t="shared" ref="J24:J55" si="51">IF(H24&gt;0,I24/H24*100,"-")</f>
        <v>97.992676365836473</v>
      </c>
      <c r="K24" s="104">
        <v>2967483.64</v>
      </c>
      <c r="L24" s="104">
        <v>2947658.31</v>
      </c>
      <c r="M24" s="18">
        <f t="shared" ref="M24:M55" si="52">IF(K24&gt;0,L24/K24*100,"-")</f>
        <v>99.331914429695047</v>
      </c>
      <c r="N24" s="104">
        <v>2857148.33</v>
      </c>
      <c r="O24" s="104">
        <v>2827609.61</v>
      </c>
      <c r="P24" s="18">
        <f t="shared" ref="P24:P55" si="53">IF(N24&gt;0,O24/N24*100,"-")</f>
        <v>98.966146780345838</v>
      </c>
      <c r="Q24" s="104">
        <v>2833709.56</v>
      </c>
      <c r="R24" s="104">
        <v>2828497.92</v>
      </c>
      <c r="S24" s="18">
        <f t="shared" ref="S24:S55" si="54">IF(Q24&gt;0,R24/Q24*100,"-")</f>
        <v>99.816084186129501</v>
      </c>
      <c r="T24" s="104">
        <v>3030649.64</v>
      </c>
      <c r="U24" s="104">
        <v>3014893.49</v>
      </c>
      <c r="V24" s="18">
        <f t="shared" ref="V24:V55" si="55">IF(T24&gt;0,U24/T24*100,"-")</f>
        <v>99.480106516040564</v>
      </c>
      <c r="W24" s="1">
        <v>3075520.25</v>
      </c>
      <c r="X24" s="1">
        <v>3016310.83</v>
      </c>
      <c r="Y24" s="18">
        <f t="shared" ref="Y24:Y55" si="56">IF(W24&gt;0,X24/W24*100,"-")</f>
        <v>98.074816122573083</v>
      </c>
      <c r="Z24" s="101">
        <f t="shared" si="8"/>
        <v>1.4805607816811062</v>
      </c>
      <c r="AA24" s="101">
        <f t="shared" si="8"/>
        <v>4.701127932713689E-2</v>
      </c>
    </row>
    <row r="25" spans="1:27" x14ac:dyDescent="0.3">
      <c r="A25" s="5" t="s">
        <v>41</v>
      </c>
      <c r="B25" s="25">
        <v>119422310.93000001</v>
      </c>
      <c r="C25" s="25">
        <v>89374124.340000004</v>
      </c>
      <c r="D25" s="18">
        <f t="shared" si="49"/>
        <v>74.838716186280379</v>
      </c>
      <c r="E25" s="25">
        <v>132666754.91</v>
      </c>
      <c r="F25" s="25">
        <v>92700635.040000007</v>
      </c>
      <c r="G25" s="18">
        <f t="shared" si="50"/>
        <v>69.874804055384729</v>
      </c>
      <c r="H25" s="25">
        <v>118502458.68000001</v>
      </c>
      <c r="I25" s="25">
        <v>83756743.780000001</v>
      </c>
      <c r="J25" s="18">
        <f t="shared" si="51"/>
        <v>70.679329959029673</v>
      </c>
      <c r="K25" s="104">
        <v>119524545.17</v>
      </c>
      <c r="L25" s="104">
        <v>84981724.859999999</v>
      </c>
      <c r="M25" s="18">
        <f t="shared" si="52"/>
        <v>71.099810285101128</v>
      </c>
      <c r="N25" s="104">
        <v>115275687.68000001</v>
      </c>
      <c r="O25" s="104">
        <v>76223717.569999993</v>
      </c>
      <c r="P25" s="18">
        <f t="shared" si="53"/>
        <v>66.122977970509723</v>
      </c>
      <c r="Q25" s="104">
        <v>123975807.76000001</v>
      </c>
      <c r="R25" s="104">
        <v>84120317.659999996</v>
      </c>
      <c r="S25" s="18">
        <f t="shared" si="54"/>
        <v>67.852203732235623</v>
      </c>
      <c r="T25" s="104">
        <v>143000441.19999999</v>
      </c>
      <c r="U25" s="104">
        <v>101545840.48</v>
      </c>
      <c r="V25" s="18">
        <f t="shared" si="55"/>
        <v>71.010858167897752</v>
      </c>
      <c r="W25" s="1">
        <v>143222261.86000001</v>
      </c>
      <c r="X25" s="1">
        <v>101015621.06999999</v>
      </c>
      <c r="Y25" s="18">
        <f t="shared" si="56"/>
        <v>70.530670133350455</v>
      </c>
      <c r="Z25" s="101">
        <f t="shared" si="8"/>
        <v>0.15511886406684994</v>
      </c>
      <c r="AA25" s="101">
        <f t="shared" si="8"/>
        <v>-0.52214783736458514</v>
      </c>
    </row>
    <row r="26" spans="1:27" x14ac:dyDescent="0.3">
      <c r="A26" s="5" t="s">
        <v>42</v>
      </c>
      <c r="B26" s="25">
        <v>23087611.059999999</v>
      </c>
      <c r="C26" s="25">
        <v>16519949.199999999</v>
      </c>
      <c r="D26" s="18">
        <f t="shared" si="49"/>
        <v>71.553306910221309</v>
      </c>
      <c r="E26" s="25">
        <v>22268390.649999999</v>
      </c>
      <c r="F26" s="25">
        <v>16799851.32</v>
      </c>
      <c r="G26" s="18">
        <f t="shared" si="50"/>
        <v>75.442592974270468</v>
      </c>
      <c r="H26" s="25">
        <v>23058332.91</v>
      </c>
      <c r="I26" s="25">
        <v>17518516.129999999</v>
      </c>
      <c r="J26" s="18">
        <f t="shared" si="51"/>
        <v>75.974773191007756</v>
      </c>
      <c r="K26" s="104">
        <v>21433582.879999999</v>
      </c>
      <c r="L26" s="104">
        <v>17366895.02</v>
      </c>
      <c r="M26" s="18">
        <f t="shared" si="52"/>
        <v>81.026560595267128</v>
      </c>
      <c r="N26" s="104">
        <v>24245055.789999999</v>
      </c>
      <c r="O26" s="104">
        <v>17748299.129999999</v>
      </c>
      <c r="P26" s="18">
        <f t="shared" si="53"/>
        <v>73.203787542202221</v>
      </c>
      <c r="Q26" s="104">
        <v>30574011.48</v>
      </c>
      <c r="R26" s="104">
        <v>25791789.02</v>
      </c>
      <c r="S26" s="18">
        <f t="shared" si="54"/>
        <v>84.358537762935384</v>
      </c>
      <c r="T26" s="104">
        <v>28998981.600000001</v>
      </c>
      <c r="U26" s="104">
        <v>23042874.969999999</v>
      </c>
      <c r="V26" s="18">
        <f t="shared" si="55"/>
        <v>79.46098000213911</v>
      </c>
      <c r="W26" s="1">
        <v>29657571.899999999</v>
      </c>
      <c r="X26" s="1">
        <v>24077962.129999999</v>
      </c>
      <c r="Y26" s="18">
        <f t="shared" si="56"/>
        <v>81.186559072288716</v>
      </c>
      <c r="Z26" s="101">
        <f t="shared" si="8"/>
        <v>2.2710807885749915</v>
      </c>
      <c r="AA26" s="101">
        <f t="shared" si="8"/>
        <v>4.4920052786277864</v>
      </c>
    </row>
    <row r="27" spans="1:27" x14ac:dyDescent="0.3">
      <c r="A27" s="5" t="s">
        <v>43</v>
      </c>
      <c r="B27" s="25">
        <v>322519.92</v>
      </c>
      <c r="C27" s="25">
        <v>275973.74</v>
      </c>
      <c r="D27" s="18">
        <f t="shared" si="49"/>
        <v>85.567967398726879</v>
      </c>
      <c r="E27" s="25">
        <v>217043.12</v>
      </c>
      <c r="F27" s="25">
        <v>187043.12</v>
      </c>
      <c r="G27" s="18">
        <f t="shared" si="50"/>
        <v>86.177861799996236</v>
      </c>
      <c r="H27" s="25">
        <v>247044.54</v>
      </c>
      <c r="I27" s="25">
        <v>242780.31</v>
      </c>
      <c r="J27" s="18">
        <f t="shared" si="51"/>
        <v>98.273902349754422</v>
      </c>
      <c r="K27" s="104">
        <v>191731.12</v>
      </c>
      <c r="L27" s="104">
        <v>191731.12</v>
      </c>
      <c r="M27" s="18">
        <f t="shared" si="52"/>
        <v>100</v>
      </c>
      <c r="N27" s="104">
        <v>197642.32</v>
      </c>
      <c r="O27" s="104">
        <v>196827.41</v>
      </c>
      <c r="P27" s="18">
        <f t="shared" si="53"/>
        <v>99.587684459482162</v>
      </c>
      <c r="Q27" s="104">
        <v>251517.83</v>
      </c>
      <c r="R27" s="104">
        <v>223908.96</v>
      </c>
      <c r="S27" s="18">
        <f t="shared" si="54"/>
        <v>89.023096295002219</v>
      </c>
      <c r="T27" s="104">
        <v>292831.11</v>
      </c>
      <c r="U27" s="104">
        <v>193351.91</v>
      </c>
      <c r="V27" s="18">
        <f t="shared" si="55"/>
        <v>66.028472862736479</v>
      </c>
      <c r="W27" s="1">
        <v>289192.14</v>
      </c>
      <c r="X27" s="1">
        <v>151801.76999999999</v>
      </c>
      <c r="Y27" s="18">
        <f t="shared" si="56"/>
        <v>52.491665229905614</v>
      </c>
      <c r="Z27" s="101">
        <f t="shared" si="8"/>
        <v>-1.2426855876071272</v>
      </c>
      <c r="AA27" s="101">
        <f t="shared" si="8"/>
        <v>-21.489386890463109</v>
      </c>
    </row>
    <row r="28" spans="1:27" x14ac:dyDescent="0.3">
      <c r="A28" s="5" t="s">
        <v>44</v>
      </c>
      <c r="B28" s="25">
        <v>0</v>
      </c>
      <c r="C28" s="25">
        <v>0</v>
      </c>
      <c r="D28" s="18" t="str">
        <f t="shared" si="49"/>
        <v>-</v>
      </c>
      <c r="E28" s="25">
        <v>0</v>
      </c>
      <c r="F28" s="25">
        <v>0</v>
      </c>
      <c r="G28" s="18" t="str">
        <f t="shared" si="50"/>
        <v>-</v>
      </c>
      <c r="H28" s="25">
        <v>0</v>
      </c>
      <c r="I28" s="25">
        <v>0</v>
      </c>
      <c r="J28" s="18" t="str">
        <f t="shared" si="51"/>
        <v>-</v>
      </c>
      <c r="K28" s="104">
        <v>0</v>
      </c>
      <c r="L28" s="104">
        <v>0</v>
      </c>
      <c r="M28" s="18" t="str">
        <f t="shared" si="52"/>
        <v>-</v>
      </c>
      <c r="N28" s="104">
        <v>0</v>
      </c>
      <c r="O28" s="104">
        <v>0</v>
      </c>
      <c r="P28" s="18" t="str">
        <f t="shared" si="53"/>
        <v>-</v>
      </c>
      <c r="Q28" s="104">
        <v>0</v>
      </c>
      <c r="R28" s="104">
        <v>0</v>
      </c>
      <c r="S28" s="18" t="str">
        <f t="shared" si="54"/>
        <v>-</v>
      </c>
      <c r="T28" s="104">
        <v>0</v>
      </c>
      <c r="U28" s="104">
        <v>0</v>
      </c>
      <c r="V28" s="18" t="str">
        <f t="shared" si="55"/>
        <v>-</v>
      </c>
      <c r="W28" s="1">
        <v>0</v>
      </c>
      <c r="X28" s="1">
        <v>0</v>
      </c>
      <c r="Y28" s="18" t="str">
        <f t="shared" si="56"/>
        <v>-</v>
      </c>
      <c r="Z28" s="101" t="str">
        <f t="shared" si="8"/>
        <v>-</v>
      </c>
      <c r="AA28" s="101" t="str">
        <f t="shared" si="8"/>
        <v>-</v>
      </c>
    </row>
    <row r="29" spans="1:27" x14ac:dyDescent="0.3">
      <c r="A29" s="5" t="s">
        <v>45</v>
      </c>
      <c r="B29" s="25">
        <v>196564.51</v>
      </c>
      <c r="C29" s="25">
        <v>74497.05</v>
      </c>
      <c r="D29" s="18">
        <f t="shared" si="49"/>
        <v>37.899542496252245</v>
      </c>
      <c r="E29" s="25">
        <v>337368.72</v>
      </c>
      <c r="F29" s="25">
        <v>115508.55</v>
      </c>
      <c r="G29" s="18">
        <f t="shared" si="50"/>
        <v>34.238073405264132</v>
      </c>
      <c r="H29" s="25">
        <v>578498.17000000004</v>
      </c>
      <c r="I29" s="25">
        <v>315306.07</v>
      </c>
      <c r="J29" s="18">
        <f t="shared" si="51"/>
        <v>54.504246746363947</v>
      </c>
      <c r="K29" s="104">
        <v>551883.98</v>
      </c>
      <c r="L29" s="104">
        <v>269526.96000000002</v>
      </c>
      <c r="M29" s="18">
        <f t="shared" si="52"/>
        <v>48.837612572120683</v>
      </c>
      <c r="N29" s="104">
        <v>1219792.3799999999</v>
      </c>
      <c r="O29" s="104">
        <v>566419.36</v>
      </c>
      <c r="P29" s="18">
        <f t="shared" si="53"/>
        <v>46.435718839299525</v>
      </c>
      <c r="Q29" s="104">
        <v>1271560.97</v>
      </c>
      <c r="R29" s="104">
        <v>90309.79</v>
      </c>
      <c r="S29" s="18">
        <f t="shared" si="54"/>
        <v>7.1022776045099905</v>
      </c>
      <c r="T29" s="104">
        <v>556316.19999999995</v>
      </c>
      <c r="U29" s="104">
        <v>160359.19</v>
      </c>
      <c r="V29" s="18">
        <f t="shared" si="55"/>
        <v>28.825187905726995</v>
      </c>
      <c r="W29" s="1">
        <v>755488.95</v>
      </c>
      <c r="X29" s="1">
        <v>487072.22</v>
      </c>
      <c r="Y29" s="18">
        <f t="shared" si="56"/>
        <v>64.471124296391096</v>
      </c>
      <c r="Z29" s="101">
        <f t="shared" si="8"/>
        <v>35.802076229309876</v>
      </c>
      <c r="AA29" s="101">
        <f t="shared" si="8"/>
        <v>203.73826408078014</v>
      </c>
    </row>
    <row r="30" spans="1:27" x14ac:dyDescent="0.3">
      <c r="A30" s="5" t="s">
        <v>46</v>
      </c>
      <c r="B30" s="25">
        <v>3436333.17</v>
      </c>
      <c r="C30" s="25">
        <v>3132397.47</v>
      </c>
      <c r="D30" s="18">
        <f t="shared" si="49"/>
        <v>91.155231900869509</v>
      </c>
      <c r="E30" s="25">
        <v>3620831.3</v>
      </c>
      <c r="F30" s="25">
        <v>3133316.75</v>
      </c>
      <c r="G30" s="18">
        <f t="shared" si="50"/>
        <v>86.535839159366532</v>
      </c>
      <c r="H30" s="25">
        <v>3498648.39</v>
      </c>
      <c r="I30" s="25">
        <v>3092759.89</v>
      </c>
      <c r="J30" s="18">
        <f t="shared" si="51"/>
        <v>88.398705592704616</v>
      </c>
      <c r="K30" s="104">
        <v>3386215.81</v>
      </c>
      <c r="L30" s="104">
        <v>3078706.63</v>
      </c>
      <c r="M30" s="18">
        <f t="shared" si="52"/>
        <v>90.918795574343505</v>
      </c>
      <c r="N30" s="104">
        <v>3174376.1</v>
      </c>
      <c r="O30" s="104">
        <v>2369631.65</v>
      </c>
      <c r="P30" s="18">
        <f t="shared" si="53"/>
        <v>74.648736487147815</v>
      </c>
      <c r="Q30" s="104">
        <v>2629540.7000000002</v>
      </c>
      <c r="R30" s="104">
        <v>2330455.8199999998</v>
      </c>
      <c r="S30" s="18">
        <f t="shared" si="54"/>
        <v>88.625964983162248</v>
      </c>
      <c r="T30" s="104">
        <v>2873537.54</v>
      </c>
      <c r="U30" s="104">
        <v>2638499.5499999998</v>
      </c>
      <c r="V30" s="18">
        <f t="shared" si="55"/>
        <v>91.820604856270634</v>
      </c>
      <c r="W30" s="1">
        <v>3157832.47</v>
      </c>
      <c r="X30" s="1">
        <v>2743882.54</v>
      </c>
      <c r="Y30" s="18">
        <f t="shared" si="56"/>
        <v>86.891327075372047</v>
      </c>
      <c r="Z30" s="101">
        <f t="shared" si="8"/>
        <v>9.8935519735719311</v>
      </c>
      <c r="AA30" s="101">
        <f t="shared" si="8"/>
        <v>3.99404995160981</v>
      </c>
    </row>
    <row r="31" spans="1:27" x14ac:dyDescent="0.3">
      <c r="A31" s="5" t="s">
        <v>47</v>
      </c>
      <c r="B31" s="26">
        <v>0</v>
      </c>
      <c r="C31" s="26">
        <v>0</v>
      </c>
      <c r="D31" s="18" t="str">
        <f t="shared" si="49"/>
        <v>-</v>
      </c>
      <c r="E31" s="26">
        <v>0</v>
      </c>
      <c r="F31" s="26">
        <v>0</v>
      </c>
      <c r="G31" s="18" t="str">
        <f t="shared" si="50"/>
        <v>-</v>
      </c>
      <c r="H31" s="26">
        <v>0</v>
      </c>
      <c r="I31" s="26">
        <v>0</v>
      </c>
      <c r="J31" s="18" t="str">
        <f t="shared" si="51"/>
        <v>-</v>
      </c>
      <c r="K31" s="105">
        <v>0</v>
      </c>
      <c r="L31" s="105">
        <v>0</v>
      </c>
      <c r="M31" s="18" t="str">
        <f t="shared" si="52"/>
        <v>-</v>
      </c>
      <c r="N31" s="105">
        <v>0</v>
      </c>
      <c r="O31" s="105">
        <v>0</v>
      </c>
      <c r="P31" s="18" t="str">
        <f t="shared" si="53"/>
        <v>-</v>
      </c>
      <c r="Q31" s="105">
        <v>0</v>
      </c>
      <c r="R31" s="105">
        <v>0</v>
      </c>
      <c r="S31" s="18" t="str">
        <f t="shared" si="54"/>
        <v>-</v>
      </c>
      <c r="T31" s="105">
        <v>0</v>
      </c>
      <c r="U31" s="105">
        <v>0</v>
      </c>
      <c r="V31" s="18" t="str">
        <f t="shared" si="55"/>
        <v>-</v>
      </c>
      <c r="W31" s="1">
        <v>0</v>
      </c>
      <c r="X31" s="1">
        <v>0</v>
      </c>
      <c r="Y31" s="18" t="str">
        <f t="shared" si="56"/>
        <v>-</v>
      </c>
      <c r="Z31" s="101" t="str">
        <f t="shared" si="8"/>
        <v>-</v>
      </c>
      <c r="AA31" s="101" t="str">
        <f t="shared" si="8"/>
        <v>-</v>
      </c>
    </row>
    <row r="32" spans="1:27" x14ac:dyDescent="0.3">
      <c r="A32" s="5" t="s">
        <v>48</v>
      </c>
      <c r="B32" s="25">
        <v>52410560.090000004</v>
      </c>
      <c r="C32" s="25">
        <v>48505340.549999997</v>
      </c>
      <c r="D32" s="18">
        <f t="shared" si="49"/>
        <v>92.548792584368641</v>
      </c>
      <c r="E32" s="25">
        <v>51510780.039999999</v>
      </c>
      <c r="F32" s="25">
        <v>13594471.66</v>
      </c>
      <c r="G32" s="18">
        <f t="shared" si="50"/>
        <v>26.391508048302505</v>
      </c>
      <c r="H32" s="25">
        <v>46205003.560000002</v>
      </c>
      <c r="I32" s="25">
        <v>18472000.420000002</v>
      </c>
      <c r="J32" s="18">
        <f t="shared" si="51"/>
        <v>39.978355149378977</v>
      </c>
      <c r="K32" s="104">
        <v>34668646.890000001</v>
      </c>
      <c r="L32" s="104">
        <v>31160538.399999999</v>
      </c>
      <c r="M32" s="18">
        <f t="shared" si="52"/>
        <v>89.881034292653922</v>
      </c>
      <c r="N32" s="104">
        <v>33727038.079999998</v>
      </c>
      <c r="O32" s="104">
        <v>27918720.18</v>
      </c>
      <c r="P32" s="18">
        <f t="shared" si="53"/>
        <v>82.778452450456044</v>
      </c>
      <c r="Q32" s="104">
        <v>38304505.950000003</v>
      </c>
      <c r="R32" s="104">
        <v>31274563.16</v>
      </c>
      <c r="S32" s="18">
        <f t="shared" si="54"/>
        <v>81.647217172892411</v>
      </c>
      <c r="T32" s="104">
        <v>38070966.710000001</v>
      </c>
      <c r="U32" s="104">
        <v>24179100</v>
      </c>
      <c r="V32" s="18">
        <f t="shared" si="55"/>
        <v>63.510601619813713</v>
      </c>
      <c r="W32" s="1">
        <v>55286288.560000002</v>
      </c>
      <c r="X32" s="1">
        <v>40519900.640000001</v>
      </c>
      <c r="Y32" s="18">
        <f t="shared" si="56"/>
        <v>73.291048640433459</v>
      </c>
      <c r="Z32" s="101">
        <f t="shared" si="8"/>
        <v>45.219029979288905</v>
      </c>
      <c r="AA32" s="101">
        <f t="shared" si="8"/>
        <v>67.582336149815347</v>
      </c>
    </row>
    <row r="33" spans="1:27" x14ac:dyDescent="0.3">
      <c r="A33" s="5" t="s">
        <v>49</v>
      </c>
      <c r="B33" s="25">
        <v>1029177.61</v>
      </c>
      <c r="C33" s="25">
        <v>784815.39</v>
      </c>
      <c r="D33" s="18">
        <f t="shared" si="49"/>
        <v>76.256554978882605</v>
      </c>
      <c r="E33" s="25">
        <v>4813557.42</v>
      </c>
      <c r="F33" s="25">
        <v>689533.25</v>
      </c>
      <c r="G33" s="18">
        <f t="shared" si="50"/>
        <v>14.324816135672066</v>
      </c>
      <c r="H33" s="25">
        <v>1914378.42</v>
      </c>
      <c r="I33" s="25">
        <v>1914378.42</v>
      </c>
      <c r="J33" s="18">
        <f t="shared" si="51"/>
        <v>100</v>
      </c>
      <c r="K33" s="104">
        <v>1069047.79</v>
      </c>
      <c r="L33" s="104">
        <v>929904.89</v>
      </c>
      <c r="M33" s="18">
        <f t="shared" si="52"/>
        <v>86.984407871981091</v>
      </c>
      <c r="N33" s="104">
        <v>4926567.9800000004</v>
      </c>
      <c r="O33" s="104">
        <v>3162339.84</v>
      </c>
      <c r="P33" s="18">
        <f t="shared" si="53"/>
        <v>64.189509874580068</v>
      </c>
      <c r="Q33" s="104">
        <v>1919611.55</v>
      </c>
      <c r="R33" s="104">
        <v>1585742.96</v>
      </c>
      <c r="S33" s="18">
        <f t="shared" si="54"/>
        <v>82.607492125164597</v>
      </c>
      <c r="T33" s="104">
        <v>4330269.88</v>
      </c>
      <c r="U33" s="104">
        <v>4330269.88</v>
      </c>
      <c r="V33" s="18">
        <f t="shared" si="55"/>
        <v>100</v>
      </c>
      <c r="W33" s="1">
        <v>6855797.8099999996</v>
      </c>
      <c r="X33" s="1">
        <v>5945742.8499999996</v>
      </c>
      <c r="Y33" s="18">
        <f t="shared" si="56"/>
        <v>86.725761388812018</v>
      </c>
      <c r="Z33" s="101">
        <f t="shared" si="8"/>
        <v>58.322645007982715</v>
      </c>
      <c r="AA33" s="101">
        <f t="shared" si="8"/>
        <v>37.306519334079013</v>
      </c>
    </row>
    <row r="34" spans="1:27" x14ac:dyDescent="0.3">
      <c r="A34" s="5" t="s">
        <v>50</v>
      </c>
      <c r="B34" s="25">
        <v>0</v>
      </c>
      <c r="C34" s="25">
        <v>0</v>
      </c>
      <c r="D34" s="18" t="str">
        <f t="shared" si="49"/>
        <v>-</v>
      </c>
      <c r="E34" s="25">
        <v>0</v>
      </c>
      <c r="F34" s="25">
        <v>0</v>
      </c>
      <c r="G34" s="18" t="str">
        <f t="shared" si="50"/>
        <v>-</v>
      </c>
      <c r="H34" s="25">
        <v>0</v>
      </c>
      <c r="I34" s="25">
        <v>0</v>
      </c>
      <c r="J34" s="18" t="str">
        <f t="shared" si="51"/>
        <v>-</v>
      </c>
      <c r="K34" s="104">
        <v>0</v>
      </c>
      <c r="L34" s="104">
        <v>0</v>
      </c>
      <c r="M34" s="18" t="str">
        <f t="shared" si="52"/>
        <v>-</v>
      </c>
      <c r="N34" s="104">
        <v>0</v>
      </c>
      <c r="O34" s="104">
        <v>0</v>
      </c>
      <c r="P34" s="18" t="str">
        <f t="shared" si="53"/>
        <v>-</v>
      </c>
      <c r="Q34" s="104">
        <v>46074.45</v>
      </c>
      <c r="R34" s="104">
        <v>46074.45</v>
      </c>
      <c r="S34" s="18">
        <f t="shared" si="54"/>
        <v>100</v>
      </c>
      <c r="T34" s="104">
        <v>0</v>
      </c>
      <c r="U34" s="104">
        <v>0</v>
      </c>
      <c r="V34" s="18" t="str">
        <f t="shared" si="55"/>
        <v>-</v>
      </c>
      <c r="W34" s="1">
        <v>0</v>
      </c>
      <c r="X34" s="1">
        <v>0</v>
      </c>
      <c r="Y34" s="18" t="str">
        <f t="shared" si="56"/>
        <v>-</v>
      </c>
      <c r="Z34" s="101" t="str">
        <f t="shared" si="8"/>
        <v>-</v>
      </c>
      <c r="AA34" s="101" t="str">
        <f t="shared" si="8"/>
        <v>-</v>
      </c>
    </row>
    <row r="35" spans="1:27" x14ac:dyDescent="0.3">
      <c r="A35" s="5" t="s">
        <v>51</v>
      </c>
      <c r="B35" s="25">
        <v>1376959.34</v>
      </c>
      <c r="C35" s="25">
        <v>1308919.79</v>
      </c>
      <c r="D35" s="18">
        <f t="shared" si="49"/>
        <v>95.058710302949095</v>
      </c>
      <c r="E35" s="25">
        <v>1782849.71</v>
      </c>
      <c r="F35" s="25">
        <v>391036.14</v>
      </c>
      <c r="G35" s="18">
        <f t="shared" si="50"/>
        <v>21.933208268014919</v>
      </c>
      <c r="H35" s="25">
        <v>997161.81</v>
      </c>
      <c r="I35" s="25">
        <v>253223.51</v>
      </c>
      <c r="J35" s="18">
        <f t="shared" si="51"/>
        <v>25.394425203668803</v>
      </c>
      <c r="K35" s="104">
        <v>2204734.6800000002</v>
      </c>
      <c r="L35" s="104">
        <v>1942599.62</v>
      </c>
      <c r="M35" s="18">
        <f t="shared" si="52"/>
        <v>88.110358022762171</v>
      </c>
      <c r="N35" s="104">
        <v>1193896.75</v>
      </c>
      <c r="O35" s="104">
        <v>1161912.74</v>
      </c>
      <c r="P35" s="18">
        <f t="shared" si="53"/>
        <v>97.321040533865258</v>
      </c>
      <c r="Q35" s="104">
        <v>1671199.43</v>
      </c>
      <c r="R35" s="104">
        <v>1491270.6</v>
      </c>
      <c r="S35" s="18">
        <f t="shared" si="54"/>
        <v>89.233551258451556</v>
      </c>
      <c r="T35" s="104">
        <v>1437328.36</v>
      </c>
      <c r="U35" s="104">
        <v>1327655.6599999999</v>
      </c>
      <c r="V35" s="18">
        <f t="shared" si="55"/>
        <v>92.369683709573494</v>
      </c>
      <c r="W35" s="1">
        <v>1828502.33</v>
      </c>
      <c r="X35" s="1">
        <v>1742978.21</v>
      </c>
      <c r="Y35" s="18">
        <f t="shared" si="56"/>
        <v>95.322722941239007</v>
      </c>
      <c r="Z35" s="101">
        <f t="shared" si="8"/>
        <v>27.21535182120806</v>
      </c>
      <c r="AA35" s="101">
        <f t="shared" si="8"/>
        <v>31.282399684870086</v>
      </c>
    </row>
    <row r="36" spans="1:27" x14ac:dyDescent="0.3">
      <c r="A36" s="5" t="s">
        <v>52</v>
      </c>
      <c r="B36" s="25">
        <v>0</v>
      </c>
      <c r="C36" s="25">
        <v>0</v>
      </c>
      <c r="D36" s="18" t="str">
        <f t="shared" si="49"/>
        <v>-</v>
      </c>
      <c r="E36" s="25">
        <v>0</v>
      </c>
      <c r="F36" s="25">
        <v>0</v>
      </c>
      <c r="G36" s="18" t="str">
        <f t="shared" si="50"/>
        <v>-</v>
      </c>
      <c r="H36" s="25">
        <v>0</v>
      </c>
      <c r="I36" s="25">
        <v>0</v>
      </c>
      <c r="J36" s="18" t="str">
        <f t="shared" si="51"/>
        <v>-</v>
      </c>
      <c r="K36" s="104">
        <v>0</v>
      </c>
      <c r="L36" s="104">
        <v>0</v>
      </c>
      <c r="M36" s="18" t="str">
        <f t="shared" si="52"/>
        <v>-</v>
      </c>
      <c r="N36" s="104">
        <v>0</v>
      </c>
      <c r="O36" s="104">
        <v>0</v>
      </c>
      <c r="P36" s="18" t="str">
        <f t="shared" si="53"/>
        <v>-</v>
      </c>
      <c r="Q36" s="104">
        <v>0</v>
      </c>
      <c r="R36" s="104">
        <v>0</v>
      </c>
      <c r="S36" s="18" t="str">
        <f t="shared" si="54"/>
        <v>-</v>
      </c>
      <c r="T36" s="104">
        <v>0</v>
      </c>
      <c r="U36" s="104">
        <v>0</v>
      </c>
      <c r="V36" s="18" t="str">
        <f t="shared" si="55"/>
        <v>-</v>
      </c>
      <c r="W36" s="104">
        <v>0</v>
      </c>
      <c r="X36" s="104">
        <v>0</v>
      </c>
      <c r="Y36" s="18" t="str">
        <f t="shared" si="56"/>
        <v>-</v>
      </c>
      <c r="Z36" s="101" t="str">
        <f t="shared" si="8"/>
        <v>-</v>
      </c>
      <c r="AA36" s="101" t="str">
        <f t="shared" si="8"/>
        <v>-</v>
      </c>
    </row>
    <row r="37" spans="1:27" x14ac:dyDescent="0.3">
      <c r="A37" s="5" t="s">
        <v>263</v>
      </c>
      <c r="B37" s="25">
        <v>0</v>
      </c>
      <c r="C37" s="25">
        <v>0</v>
      </c>
      <c r="D37" s="18" t="str">
        <f t="shared" si="49"/>
        <v>-</v>
      </c>
      <c r="E37" s="25">
        <v>0</v>
      </c>
      <c r="F37" s="25">
        <v>0</v>
      </c>
      <c r="G37" s="18" t="str">
        <f t="shared" si="50"/>
        <v>-</v>
      </c>
      <c r="H37" s="25">
        <v>0</v>
      </c>
      <c r="I37" s="25">
        <v>0</v>
      </c>
      <c r="J37" s="18" t="str">
        <f t="shared" si="51"/>
        <v>-</v>
      </c>
      <c r="K37" s="104">
        <v>0</v>
      </c>
      <c r="L37" s="104">
        <v>0</v>
      </c>
      <c r="M37" s="18" t="str">
        <f t="shared" si="52"/>
        <v>-</v>
      </c>
      <c r="N37" s="104">
        <v>0</v>
      </c>
      <c r="O37" s="104">
        <v>0</v>
      </c>
      <c r="P37" s="18" t="str">
        <f t="shared" si="53"/>
        <v>-</v>
      </c>
      <c r="Q37" s="104">
        <v>0</v>
      </c>
      <c r="R37" s="104">
        <v>0</v>
      </c>
      <c r="S37" s="18" t="str">
        <f t="shared" si="54"/>
        <v>-</v>
      </c>
      <c r="T37" s="104">
        <v>0</v>
      </c>
      <c r="U37" s="104">
        <v>0</v>
      </c>
      <c r="V37" s="18" t="str">
        <f t="shared" si="55"/>
        <v>-</v>
      </c>
      <c r="W37" s="104">
        <v>0</v>
      </c>
      <c r="X37" s="104">
        <v>0</v>
      </c>
      <c r="Y37" s="18" t="str">
        <f t="shared" si="56"/>
        <v>-</v>
      </c>
      <c r="Z37" s="101" t="str">
        <f t="shared" si="8"/>
        <v>-</v>
      </c>
      <c r="AA37" s="101" t="str">
        <f t="shared" si="8"/>
        <v>-</v>
      </c>
    </row>
    <row r="38" spans="1:27" x14ac:dyDescent="0.3">
      <c r="A38" s="5" t="s">
        <v>53</v>
      </c>
      <c r="B38" s="25">
        <v>0</v>
      </c>
      <c r="C38" s="25">
        <v>0</v>
      </c>
      <c r="D38" s="18" t="str">
        <f t="shared" si="49"/>
        <v>-</v>
      </c>
      <c r="E38" s="25">
        <v>4377405.55</v>
      </c>
      <c r="F38" s="25">
        <v>4377405.55</v>
      </c>
      <c r="G38" s="18">
        <f t="shared" si="50"/>
        <v>100</v>
      </c>
      <c r="H38" s="25">
        <v>0</v>
      </c>
      <c r="I38" s="25">
        <v>0</v>
      </c>
      <c r="J38" s="18" t="str">
        <f t="shared" si="51"/>
        <v>-</v>
      </c>
      <c r="K38" s="104">
        <v>0</v>
      </c>
      <c r="L38" s="104">
        <v>0</v>
      </c>
      <c r="M38" s="18" t="str">
        <f t="shared" si="52"/>
        <v>-</v>
      </c>
      <c r="N38" s="104">
        <v>0</v>
      </c>
      <c r="O38" s="104">
        <v>0</v>
      </c>
      <c r="P38" s="18" t="str">
        <f t="shared" si="53"/>
        <v>-</v>
      </c>
      <c r="Q38" s="104">
        <v>46074.45</v>
      </c>
      <c r="R38" s="104">
        <v>46074.45</v>
      </c>
      <c r="S38" s="18">
        <f t="shared" si="54"/>
        <v>100</v>
      </c>
      <c r="T38" s="104">
        <v>0</v>
      </c>
      <c r="U38" s="104">
        <v>0</v>
      </c>
      <c r="V38" s="18" t="str">
        <f t="shared" si="55"/>
        <v>-</v>
      </c>
      <c r="W38" s="104">
        <v>0</v>
      </c>
      <c r="X38" s="104">
        <v>0</v>
      </c>
      <c r="Y38" s="18" t="str">
        <f t="shared" si="56"/>
        <v>-</v>
      </c>
      <c r="Z38" s="101" t="str">
        <f t="shared" si="8"/>
        <v>-</v>
      </c>
      <c r="AA38" s="101" t="str">
        <f t="shared" si="8"/>
        <v>-</v>
      </c>
    </row>
    <row r="39" spans="1:27" x14ac:dyDescent="0.3">
      <c r="A39" s="5" t="s">
        <v>54</v>
      </c>
      <c r="B39" s="25">
        <v>0</v>
      </c>
      <c r="C39" s="25">
        <v>0</v>
      </c>
      <c r="D39" s="18" t="str">
        <f t="shared" si="49"/>
        <v>-</v>
      </c>
      <c r="E39" s="25">
        <v>0</v>
      </c>
      <c r="F39" s="25">
        <v>0</v>
      </c>
      <c r="G39" s="18" t="str">
        <f t="shared" si="50"/>
        <v>-</v>
      </c>
      <c r="H39" s="25">
        <v>0</v>
      </c>
      <c r="I39" s="25">
        <v>0</v>
      </c>
      <c r="J39" s="18" t="str">
        <f t="shared" si="51"/>
        <v>-</v>
      </c>
      <c r="K39" s="104">
        <v>0</v>
      </c>
      <c r="L39" s="104">
        <v>0</v>
      </c>
      <c r="M39" s="18" t="str">
        <f t="shared" si="52"/>
        <v>-</v>
      </c>
      <c r="N39" s="104">
        <v>0</v>
      </c>
      <c r="O39" s="104">
        <v>0</v>
      </c>
      <c r="P39" s="18" t="str">
        <f t="shared" si="53"/>
        <v>-</v>
      </c>
      <c r="Q39" s="104">
        <v>0</v>
      </c>
      <c r="R39" s="104">
        <v>0</v>
      </c>
      <c r="S39" s="18" t="str">
        <f t="shared" si="54"/>
        <v>-</v>
      </c>
      <c r="T39" s="104">
        <v>0</v>
      </c>
      <c r="U39" s="104">
        <v>0</v>
      </c>
      <c r="V39" s="18" t="str">
        <f t="shared" si="55"/>
        <v>-</v>
      </c>
      <c r="W39" s="104">
        <v>0</v>
      </c>
      <c r="X39" s="104">
        <v>0</v>
      </c>
      <c r="Y39" s="18" t="str">
        <f t="shared" si="56"/>
        <v>-</v>
      </c>
      <c r="Z39" s="101" t="str">
        <f t="shared" si="8"/>
        <v>-</v>
      </c>
      <c r="AA39" s="101" t="str">
        <f t="shared" si="8"/>
        <v>-</v>
      </c>
    </row>
    <row r="40" spans="1:27" x14ac:dyDescent="0.3">
      <c r="A40" s="5" t="s">
        <v>55</v>
      </c>
      <c r="B40" s="25">
        <v>1002644.71</v>
      </c>
      <c r="C40" s="25">
        <v>1002644.71</v>
      </c>
      <c r="D40" s="18">
        <f t="shared" si="49"/>
        <v>100</v>
      </c>
      <c r="E40" s="25">
        <v>1034314.66</v>
      </c>
      <c r="F40" s="25">
        <v>1034314.66</v>
      </c>
      <c r="G40" s="18">
        <f t="shared" si="50"/>
        <v>100</v>
      </c>
      <c r="H40" s="25">
        <v>690579.35</v>
      </c>
      <c r="I40" s="25">
        <v>690579.35</v>
      </c>
      <c r="J40" s="18">
        <f t="shared" si="51"/>
        <v>100</v>
      </c>
      <c r="K40" s="104">
        <v>0</v>
      </c>
      <c r="L40" s="104">
        <v>0</v>
      </c>
      <c r="M40" s="18" t="str">
        <f t="shared" si="52"/>
        <v>-</v>
      </c>
      <c r="N40" s="104">
        <v>0</v>
      </c>
      <c r="O40" s="104">
        <v>0</v>
      </c>
      <c r="P40" s="18" t="str">
        <f t="shared" si="53"/>
        <v>-</v>
      </c>
      <c r="Q40" s="104">
        <v>0</v>
      </c>
      <c r="R40" s="104">
        <v>0</v>
      </c>
      <c r="S40" s="18" t="str">
        <f t="shared" si="54"/>
        <v>-</v>
      </c>
      <c r="T40" s="104">
        <v>0</v>
      </c>
      <c r="U40" s="104">
        <v>0</v>
      </c>
      <c r="V40" s="18" t="str">
        <f t="shared" si="55"/>
        <v>-</v>
      </c>
      <c r="W40" s="104">
        <v>0</v>
      </c>
      <c r="X40" s="104">
        <v>0</v>
      </c>
      <c r="Y40" s="18" t="str">
        <f t="shared" si="56"/>
        <v>-</v>
      </c>
      <c r="Z40" s="101" t="str">
        <f t="shared" si="8"/>
        <v>-</v>
      </c>
      <c r="AA40" s="101" t="str">
        <f t="shared" si="8"/>
        <v>-</v>
      </c>
    </row>
    <row r="41" spans="1:27" x14ac:dyDescent="0.3">
      <c r="A41" s="5" t="s">
        <v>56</v>
      </c>
      <c r="B41" s="25">
        <v>0</v>
      </c>
      <c r="C41" s="25">
        <v>0</v>
      </c>
      <c r="D41" s="18" t="str">
        <f t="shared" si="49"/>
        <v>-</v>
      </c>
      <c r="E41" s="25">
        <v>0</v>
      </c>
      <c r="F41" s="25">
        <v>0</v>
      </c>
      <c r="G41" s="18" t="str">
        <f t="shared" si="50"/>
        <v>-</v>
      </c>
      <c r="H41" s="25">
        <v>0</v>
      </c>
      <c r="I41" s="25">
        <v>0</v>
      </c>
      <c r="J41" s="18" t="str">
        <f t="shared" si="51"/>
        <v>-</v>
      </c>
      <c r="K41" s="104">
        <v>0</v>
      </c>
      <c r="L41" s="104">
        <v>0</v>
      </c>
      <c r="M41" s="18" t="str">
        <f t="shared" si="52"/>
        <v>-</v>
      </c>
      <c r="N41" s="104">
        <v>0</v>
      </c>
      <c r="O41" s="104">
        <v>0</v>
      </c>
      <c r="P41" s="18" t="str">
        <f t="shared" si="53"/>
        <v>-</v>
      </c>
      <c r="Q41" s="104">
        <v>0</v>
      </c>
      <c r="R41" s="104">
        <v>0</v>
      </c>
      <c r="S41" s="18" t="str">
        <f t="shared" si="54"/>
        <v>-</v>
      </c>
      <c r="T41" s="104">
        <v>0</v>
      </c>
      <c r="U41" s="104">
        <v>0</v>
      </c>
      <c r="V41" s="18" t="str">
        <f t="shared" si="55"/>
        <v>-</v>
      </c>
      <c r="W41" s="104">
        <v>0</v>
      </c>
      <c r="X41" s="104">
        <v>0</v>
      </c>
      <c r="Y41" s="18" t="str">
        <f t="shared" si="56"/>
        <v>-</v>
      </c>
      <c r="Z41" s="101" t="str">
        <f t="shared" si="8"/>
        <v>-</v>
      </c>
      <c r="AA41" s="101" t="str">
        <f t="shared" si="8"/>
        <v>-</v>
      </c>
    </row>
    <row r="42" spans="1:27" x14ac:dyDescent="0.3">
      <c r="A42" s="5" t="s">
        <v>57</v>
      </c>
      <c r="B42" s="25">
        <v>672242.76</v>
      </c>
      <c r="C42" s="25">
        <v>672242.76</v>
      </c>
      <c r="D42" s="18">
        <f t="shared" si="49"/>
        <v>100</v>
      </c>
      <c r="E42" s="25">
        <v>568619.98</v>
      </c>
      <c r="F42" s="25">
        <v>568619.98</v>
      </c>
      <c r="G42" s="18">
        <f t="shared" si="50"/>
        <v>100</v>
      </c>
      <c r="H42" s="25">
        <v>630193.75</v>
      </c>
      <c r="I42" s="25">
        <v>630193.75</v>
      </c>
      <c r="J42" s="18">
        <f t="shared" si="51"/>
        <v>100</v>
      </c>
      <c r="K42" s="104">
        <v>661786.03</v>
      </c>
      <c r="L42" s="104">
        <v>661786.03</v>
      </c>
      <c r="M42" s="18">
        <f t="shared" si="52"/>
        <v>100</v>
      </c>
      <c r="N42" s="104">
        <v>73459.649999999994</v>
      </c>
      <c r="O42" s="104">
        <v>72865.600000000006</v>
      </c>
      <c r="P42" s="18">
        <f t="shared" si="53"/>
        <v>99.191324761280526</v>
      </c>
      <c r="Q42" s="104">
        <v>643415.55000000005</v>
      </c>
      <c r="R42" s="104">
        <v>643415.55000000005</v>
      </c>
      <c r="S42" s="18">
        <f t="shared" si="54"/>
        <v>100</v>
      </c>
      <c r="T42" s="104">
        <v>808054.88</v>
      </c>
      <c r="U42" s="104">
        <v>634459.78</v>
      </c>
      <c r="V42" s="18">
        <f t="shared" si="55"/>
        <v>78.516917068801078</v>
      </c>
      <c r="W42" s="1">
        <v>775696.16</v>
      </c>
      <c r="X42" s="104">
        <v>599711.43999999994</v>
      </c>
      <c r="Y42" s="18">
        <f t="shared" si="56"/>
        <v>77.312673560224908</v>
      </c>
      <c r="Z42" s="101">
        <f t="shared" si="8"/>
        <v>-4.0045200890315726</v>
      </c>
      <c r="AA42" s="101">
        <f t="shared" si="8"/>
        <v>-5.476838894342535</v>
      </c>
    </row>
    <row r="43" spans="1:27" x14ac:dyDescent="0.3">
      <c r="A43" s="5" t="s">
        <v>58</v>
      </c>
      <c r="B43" s="25">
        <v>0</v>
      </c>
      <c r="C43" s="25">
        <v>0</v>
      </c>
      <c r="D43" s="18" t="str">
        <f t="shared" si="49"/>
        <v>-</v>
      </c>
      <c r="E43" s="25">
        <v>0</v>
      </c>
      <c r="F43" s="25">
        <v>0</v>
      </c>
      <c r="G43" s="18" t="str">
        <f t="shared" si="50"/>
        <v>-</v>
      </c>
      <c r="H43" s="25">
        <v>0</v>
      </c>
      <c r="I43" s="25">
        <v>0</v>
      </c>
      <c r="J43" s="18" t="str">
        <f t="shared" si="51"/>
        <v>-</v>
      </c>
      <c r="K43" s="104">
        <v>0</v>
      </c>
      <c r="L43" s="104">
        <v>0</v>
      </c>
      <c r="M43" s="18" t="str">
        <f t="shared" si="52"/>
        <v>-</v>
      </c>
      <c r="N43" s="104">
        <v>0</v>
      </c>
      <c r="O43" s="104">
        <v>0</v>
      </c>
      <c r="P43" s="18" t="str">
        <f t="shared" si="53"/>
        <v>-</v>
      </c>
      <c r="Q43" s="104">
        <v>0</v>
      </c>
      <c r="R43" s="104">
        <v>0</v>
      </c>
      <c r="S43" s="18" t="str">
        <f t="shared" si="54"/>
        <v>-</v>
      </c>
      <c r="T43" s="104">
        <v>0</v>
      </c>
      <c r="U43" s="104">
        <v>0</v>
      </c>
      <c r="V43" s="18" t="str">
        <f t="shared" si="55"/>
        <v>-</v>
      </c>
      <c r="W43" s="104">
        <v>0</v>
      </c>
      <c r="X43" s="104">
        <v>0</v>
      </c>
      <c r="Y43" s="18" t="str">
        <f t="shared" si="56"/>
        <v>-</v>
      </c>
      <c r="Z43" s="101" t="str">
        <f t="shared" si="8"/>
        <v>-</v>
      </c>
      <c r="AA43" s="101" t="str">
        <f t="shared" si="8"/>
        <v>-</v>
      </c>
    </row>
    <row r="44" spans="1:27" x14ac:dyDescent="0.3">
      <c r="A44" s="5" t="s">
        <v>59</v>
      </c>
      <c r="B44" s="25">
        <v>0</v>
      </c>
      <c r="C44" s="25">
        <v>0</v>
      </c>
      <c r="D44" s="18" t="str">
        <f t="shared" si="49"/>
        <v>-</v>
      </c>
      <c r="E44" s="25">
        <v>0</v>
      </c>
      <c r="F44" s="25">
        <v>0</v>
      </c>
      <c r="G44" s="18" t="str">
        <f t="shared" si="50"/>
        <v>-</v>
      </c>
      <c r="H44" s="25">
        <v>0</v>
      </c>
      <c r="I44" s="25">
        <v>0</v>
      </c>
      <c r="J44" s="18" t="str">
        <f t="shared" si="51"/>
        <v>-</v>
      </c>
      <c r="K44" s="104">
        <v>0</v>
      </c>
      <c r="L44" s="104">
        <v>0</v>
      </c>
      <c r="M44" s="18" t="str">
        <f t="shared" si="52"/>
        <v>-</v>
      </c>
      <c r="N44" s="104">
        <v>0</v>
      </c>
      <c r="O44" s="104">
        <v>0</v>
      </c>
      <c r="P44" s="18" t="str">
        <f t="shared" si="53"/>
        <v>-</v>
      </c>
      <c r="Q44" s="104">
        <v>0</v>
      </c>
      <c r="R44" s="104">
        <v>0</v>
      </c>
      <c r="S44" s="18" t="str">
        <f t="shared" si="54"/>
        <v>-</v>
      </c>
      <c r="T44" s="104">
        <v>0</v>
      </c>
      <c r="U44" s="104">
        <v>0</v>
      </c>
      <c r="V44" s="18" t="str">
        <f t="shared" si="55"/>
        <v>-</v>
      </c>
      <c r="W44" s="104">
        <v>0</v>
      </c>
      <c r="X44" s="104">
        <v>0</v>
      </c>
      <c r="Y44" s="18" t="str">
        <f t="shared" si="56"/>
        <v>-</v>
      </c>
      <c r="Z44" s="101" t="str">
        <f t="shared" si="8"/>
        <v>-</v>
      </c>
      <c r="AA44" s="101" t="str">
        <f t="shared" si="8"/>
        <v>-</v>
      </c>
    </row>
    <row r="45" spans="1:27" x14ac:dyDescent="0.3">
      <c r="A45" s="5" t="s">
        <v>60</v>
      </c>
      <c r="B45" s="25">
        <v>0</v>
      </c>
      <c r="C45" s="25">
        <v>0</v>
      </c>
      <c r="D45" s="18" t="str">
        <f t="shared" si="49"/>
        <v>-</v>
      </c>
      <c r="E45" s="25">
        <v>0</v>
      </c>
      <c r="F45" s="25">
        <v>0</v>
      </c>
      <c r="G45" s="18" t="str">
        <f t="shared" si="50"/>
        <v>-</v>
      </c>
      <c r="H45" s="25">
        <v>0</v>
      </c>
      <c r="I45" s="25">
        <v>0</v>
      </c>
      <c r="J45" s="18" t="str">
        <f t="shared" si="51"/>
        <v>-</v>
      </c>
      <c r="K45" s="104">
        <v>0</v>
      </c>
      <c r="L45" s="104">
        <v>0</v>
      </c>
      <c r="M45" s="18" t="str">
        <f t="shared" si="52"/>
        <v>-</v>
      </c>
      <c r="N45" s="104">
        <v>0</v>
      </c>
      <c r="O45" s="104">
        <v>0</v>
      </c>
      <c r="P45" s="18" t="str">
        <f t="shared" si="53"/>
        <v>-</v>
      </c>
      <c r="Q45" s="104">
        <v>0</v>
      </c>
      <c r="R45" s="104">
        <v>0</v>
      </c>
      <c r="S45" s="18" t="str">
        <f t="shared" si="54"/>
        <v>-</v>
      </c>
      <c r="T45" s="104">
        <v>0</v>
      </c>
      <c r="U45" s="104">
        <v>0</v>
      </c>
      <c r="V45" s="18" t="str">
        <f t="shared" si="55"/>
        <v>-</v>
      </c>
      <c r="W45" s="104">
        <v>0</v>
      </c>
      <c r="X45" s="104">
        <v>0</v>
      </c>
      <c r="Y45" s="18" t="str">
        <f t="shared" si="56"/>
        <v>-</v>
      </c>
      <c r="Z45" s="101" t="str">
        <f t="shared" si="8"/>
        <v>-</v>
      </c>
      <c r="AA45" s="101" t="str">
        <f t="shared" si="8"/>
        <v>-</v>
      </c>
    </row>
    <row r="46" spans="1:27" x14ac:dyDescent="0.3">
      <c r="A46" s="5" t="s">
        <v>61</v>
      </c>
      <c r="B46" s="25">
        <v>27469212.82</v>
      </c>
      <c r="C46" s="25">
        <v>0</v>
      </c>
      <c r="D46" s="18">
        <f t="shared" si="49"/>
        <v>0</v>
      </c>
      <c r="E46" s="25">
        <v>27885807.23</v>
      </c>
      <c r="F46" s="25">
        <v>0</v>
      </c>
      <c r="G46" s="18">
        <f t="shared" si="50"/>
        <v>0</v>
      </c>
      <c r="H46" s="25">
        <v>28695482.350000001</v>
      </c>
      <c r="I46" s="25">
        <v>0</v>
      </c>
      <c r="J46" s="18">
        <f t="shared" si="51"/>
        <v>0</v>
      </c>
      <c r="K46" s="104">
        <v>28152156.399999999</v>
      </c>
      <c r="L46" s="104">
        <v>0</v>
      </c>
      <c r="M46" s="18">
        <f t="shared" si="52"/>
        <v>0</v>
      </c>
      <c r="N46" s="104">
        <v>27669357.149999999</v>
      </c>
      <c r="O46" s="104">
        <v>0</v>
      </c>
      <c r="P46" s="18">
        <f t="shared" si="53"/>
        <v>0</v>
      </c>
      <c r="Q46" s="104">
        <v>29504413.809999999</v>
      </c>
      <c r="R46" s="104">
        <v>0</v>
      </c>
      <c r="S46" s="18">
        <f t="shared" si="54"/>
        <v>0</v>
      </c>
      <c r="T46" s="104">
        <v>31172397.5</v>
      </c>
      <c r="U46" s="104">
        <v>0</v>
      </c>
      <c r="V46" s="18">
        <f t="shared" si="55"/>
        <v>0</v>
      </c>
      <c r="W46" s="1">
        <v>42823828.640000001</v>
      </c>
      <c r="X46" s="104">
        <v>0</v>
      </c>
      <c r="Y46" s="18">
        <f t="shared" si="56"/>
        <v>0</v>
      </c>
      <c r="Z46" s="101">
        <f t="shared" si="8"/>
        <v>37.377398193385687</v>
      </c>
      <c r="AA46" s="101" t="str">
        <f t="shared" si="8"/>
        <v>-</v>
      </c>
    </row>
    <row r="47" spans="1:27" x14ac:dyDescent="0.3">
      <c r="A47" s="5" t="s">
        <v>62</v>
      </c>
      <c r="B47" s="25">
        <v>5065476.5599999996</v>
      </c>
      <c r="C47" s="25">
        <v>0</v>
      </c>
      <c r="D47" s="18">
        <f t="shared" si="49"/>
        <v>0</v>
      </c>
      <c r="E47" s="25">
        <v>1188342.82</v>
      </c>
      <c r="F47" s="25">
        <v>0</v>
      </c>
      <c r="G47" s="18">
        <f t="shared" si="50"/>
        <v>0</v>
      </c>
      <c r="H47" s="25">
        <v>3113565.02</v>
      </c>
      <c r="I47" s="25">
        <v>0</v>
      </c>
      <c r="J47" s="18">
        <f t="shared" si="51"/>
        <v>0</v>
      </c>
      <c r="K47" s="104">
        <v>3215153</v>
      </c>
      <c r="L47" s="104">
        <v>0</v>
      </c>
      <c r="M47" s="18">
        <f t="shared" si="52"/>
        <v>0</v>
      </c>
      <c r="N47" s="104">
        <v>2914900.15</v>
      </c>
      <c r="O47" s="104">
        <v>0</v>
      </c>
      <c r="P47" s="18">
        <f t="shared" si="53"/>
        <v>0</v>
      </c>
      <c r="Q47" s="104">
        <v>1323643.93</v>
      </c>
      <c r="R47" s="104">
        <v>0</v>
      </c>
      <c r="S47" s="18">
        <f t="shared" si="54"/>
        <v>0</v>
      </c>
      <c r="T47" s="104">
        <v>1252614.31</v>
      </c>
      <c r="U47" s="104">
        <v>0</v>
      </c>
      <c r="V47" s="18">
        <f t="shared" si="55"/>
        <v>0</v>
      </c>
      <c r="W47" s="1">
        <v>1362264.13</v>
      </c>
      <c r="X47" s="104">
        <v>0</v>
      </c>
      <c r="Y47" s="18">
        <f t="shared" si="56"/>
        <v>0</v>
      </c>
      <c r="Z47" s="101">
        <f t="shared" si="8"/>
        <v>8.7536777382017732</v>
      </c>
      <c r="AA47" s="101" t="str">
        <f t="shared" si="8"/>
        <v>-</v>
      </c>
    </row>
    <row r="48" spans="1:27" x14ac:dyDescent="0.3">
      <c r="A48" s="5" t="s">
        <v>63</v>
      </c>
      <c r="B48" s="25">
        <f t="shared" ref="B48:C48" si="57">SUM(B23:B30)</f>
        <v>208148825.37999997</v>
      </c>
      <c r="C48" s="25">
        <f t="shared" si="57"/>
        <v>170801410.87</v>
      </c>
      <c r="D48" s="18">
        <f t="shared" si="49"/>
        <v>82.057350339682245</v>
      </c>
      <c r="E48" s="25">
        <f t="shared" ref="E48:F48" si="58">SUM(E23:E30)</f>
        <v>220030790.38000003</v>
      </c>
      <c r="F48" s="25">
        <f t="shared" si="58"/>
        <v>173753241.72000003</v>
      </c>
      <c r="G48" s="18">
        <f t="shared" si="50"/>
        <v>78.967694212215832</v>
      </c>
      <c r="H48" s="25">
        <f t="shared" ref="H48:I48" si="59">SUM(H23:H30)</f>
        <v>206656561.36999997</v>
      </c>
      <c r="I48" s="25">
        <f t="shared" si="59"/>
        <v>165492992.88</v>
      </c>
      <c r="J48" s="18">
        <f t="shared" si="51"/>
        <v>80.081170316048997</v>
      </c>
      <c r="K48" s="104">
        <v>206112687.19</v>
      </c>
      <c r="L48" s="104">
        <v>166803215.91000003</v>
      </c>
      <c r="M48" s="18">
        <f t="shared" si="52"/>
        <v>80.928165162504769</v>
      </c>
      <c r="N48" s="104">
        <f t="shared" ref="N48:O48" si="60">SUM(N23:N30)</f>
        <v>203567554.45999998</v>
      </c>
      <c r="O48" s="104">
        <f t="shared" si="60"/>
        <v>156177948.63</v>
      </c>
      <c r="P48" s="18">
        <f t="shared" si="53"/>
        <v>76.720452355136089</v>
      </c>
      <c r="Q48" s="104">
        <f t="shared" ref="Q48:R48" si="61">SUM(Q23:Q30)</f>
        <v>217032582.90000001</v>
      </c>
      <c r="R48" s="104">
        <f t="shared" si="61"/>
        <v>170839678.5</v>
      </c>
      <c r="S48" s="18">
        <f t="shared" si="54"/>
        <v>78.716143086550346</v>
      </c>
      <c r="T48" s="104">
        <f t="shared" ref="T48:U48" si="62">SUM(T23:T30)</f>
        <v>235579023.75999999</v>
      </c>
      <c r="U48" s="104">
        <f t="shared" si="62"/>
        <v>187239984.80000001</v>
      </c>
      <c r="V48" s="18">
        <f t="shared" si="55"/>
        <v>79.480754190896818</v>
      </c>
      <c r="W48" s="104">
        <f t="shared" ref="W48:X48" si="63">SUM(W23:W30)</f>
        <v>236552293.04999998</v>
      </c>
      <c r="X48" s="104">
        <f t="shared" si="63"/>
        <v>187095416.86999997</v>
      </c>
      <c r="Y48" s="18">
        <f t="shared" si="56"/>
        <v>79.092624492316247</v>
      </c>
      <c r="Z48" s="101">
        <f t="shared" si="8"/>
        <v>0.41313919824692391</v>
      </c>
      <c r="AA48" s="101">
        <f t="shared" si="8"/>
        <v>-7.7209966746394798E-2</v>
      </c>
    </row>
    <row r="49" spans="1:27" x14ac:dyDescent="0.3">
      <c r="A49" s="5" t="s">
        <v>64</v>
      </c>
      <c r="B49" s="25">
        <f t="shared" ref="B49:C49" si="64">SUM(B31:B35)</f>
        <v>54816697.040000007</v>
      </c>
      <c r="C49" s="25">
        <f t="shared" si="64"/>
        <v>50599075.729999997</v>
      </c>
      <c r="D49" s="18">
        <f t="shared" si="49"/>
        <v>92.30595505066205</v>
      </c>
      <c r="E49" s="25">
        <f t="shared" ref="E49:F49" si="65">SUM(E31:E35)</f>
        <v>58107187.170000002</v>
      </c>
      <c r="F49" s="25">
        <f t="shared" si="65"/>
        <v>14675041.050000001</v>
      </c>
      <c r="G49" s="18">
        <f t="shared" si="50"/>
        <v>25.255122067888596</v>
      </c>
      <c r="H49" s="25">
        <f t="shared" ref="H49:I49" si="66">SUM(H31:H35)</f>
        <v>49116543.790000007</v>
      </c>
      <c r="I49" s="25">
        <f t="shared" si="66"/>
        <v>20639602.350000005</v>
      </c>
      <c r="J49" s="18">
        <f t="shared" si="51"/>
        <v>42.021691180563423</v>
      </c>
      <c r="K49" s="104">
        <v>37942429.359999999</v>
      </c>
      <c r="L49" s="104">
        <v>34033042.909999996</v>
      </c>
      <c r="M49" s="18">
        <f t="shared" si="52"/>
        <v>89.696530991973361</v>
      </c>
      <c r="N49" s="104">
        <f t="shared" ref="N49:O49" si="67">SUM(N31:N35)</f>
        <v>39847502.810000002</v>
      </c>
      <c r="O49" s="104">
        <f t="shared" si="67"/>
        <v>32242972.759999998</v>
      </c>
      <c r="P49" s="18">
        <f t="shared" si="53"/>
        <v>80.915918153617412</v>
      </c>
      <c r="Q49" s="104">
        <f t="shared" ref="Q49:R49" si="68">SUM(Q31:Q35)</f>
        <v>41941391.380000003</v>
      </c>
      <c r="R49" s="104">
        <f t="shared" si="68"/>
        <v>34397651.170000002</v>
      </c>
      <c r="S49" s="18">
        <f t="shared" si="54"/>
        <v>82.013614804402323</v>
      </c>
      <c r="T49" s="104">
        <f t="shared" ref="T49:U49" si="69">SUM(T31:T35)</f>
        <v>43838564.950000003</v>
      </c>
      <c r="U49" s="104">
        <f t="shared" si="69"/>
        <v>29837025.539999999</v>
      </c>
      <c r="V49" s="18">
        <f t="shared" si="55"/>
        <v>68.061136522216387</v>
      </c>
      <c r="W49" s="104">
        <f t="shared" ref="W49:X49" si="70">SUM(W31:W35)</f>
        <v>63970588.700000003</v>
      </c>
      <c r="X49" s="104">
        <f t="shared" si="70"/>
        <v>48208621.700000003</v>
      </c>
      <c r="Y49" s="18">
        <f t="shared" si="56"/>
        <v>75.360603489334466</v>
      </c>
      <c r="Z49" s="101">
        <f t="shared" si="8"/>
        <v>45.923090258455176</v>
      </c>
      <c r="AA49" s="101">
        <f t="shared" si="8"/>
        <v>61.573148889693243</v>
      </c>
    </row>
    <row r="50" spans="1:27" x14ac:dyDescent="0.3">
      <c r="A50" s="5" t="s">
        <v>65</v>
      </c>
      <c r="B50" s="25">
        <f t="shared" ref="B50:C50" si="71">SUM(B36:B39)</f>
        <v>0</v>
      </c>
      <c r="C50" s="25">
        <f t="shared" si="71"/>
        <v>0</v>
      </c>
      <c r="D50" s="18" t="str">
        <f t="shared" si="49"/>
        <v>-</v>
      </c>
      <c r="E50" s="25">
        <f t="shared" ref="E50:F50" si="72">SUM(E36:E39)</f>
        <v>4377405.55</v>
      </c>
      <c r="F50" s="25">
        <f t="shared" si="72"/>
        <v>4377405.55</v>
      </c>
      <c r="G50" s="18">
        <f t="shared" si="50"/>
        <v>100</v>
      </c>
      <c r="H50" s="25">
        <f t="shared" ref="H50:I50" si="73">SUM(H36:H39)</f>
        <v>0</v>
      </c>
      <c r="I50" s="25">
        <f t="shared" si="73"/>
        <v>0</v>
      </c>
      <c r="J50" s="18" t="str">
        <f t="shared" si="51"/>
        <v>-</v>
      </c>
      <c r="K50" s="104">
        <v>0</v>
      </c>
      <c r="L50" s="104">
        <v>0</v>
      </c>
      <c r="M50" s="18" t="str">
        <f t="shared" si="52"/>
        <v>-</v>
      </c>
      <c r="N50" s="104">
        <f t="shared" ref="N50:O50" si="74">SUM(N36:N39)</f>
        <v>0</v>
      </c>
      <c r="O50" s="104">
        <f t="shared" si="74"/>
        <v>0</v>
      </c>
      <c r="P50" s="18" t="str">
        <f t="shared" si="53"/>
        <v>-</v>
      </c>
      <c r="Q50" s="104">
        <f t="shared" ref="Q50:R50" si="75">SUM(Q36:Q39)</f>
        <v>46074.45</v>
      </c>
      <c r="R50" s="104">
        <f t="shared" si="75"/>
        <v>46074.45</v>
      </c>
      <c r="S50" s="18">
        <f t="shared" si="54"/>
        <v>100</v>
      </c>
      <c r="T50" s="104">
        <f t="shared" ref="T50:U50" si="76">SUM(T36:T39)</f>
        <v>0</v>
      </c>
      <c r="U50" s="104">
        <f t="shared" si="76"/>
        <v>0</v>
      </c>
      <c r="V50" s="18" t="str">
        <f t="shared" si="55"/>
        <v>-</v>
      </c>
      <c r="W50" s="104">
        <f t="shared" ref="W50:X50" si="77">SUM(W36:W39)</f>
        <v>0</v>
      </c>
      <c r="X50" s="104">
        <f t="shared" si="77"/>
        <v>0</v>
      </c>
      <c r="Y50" s="18" t="str">
        <f t="shared" si="56"/>
        <v>-</v>
      </c>
      <c r="Z50" s="101" t="str">
        <f t="shared" si="8"/>
        <v>-</v>
      </c>
      <c r="AA50" s="101" t="str">
        <f t="shared" si="8"/>
        <v>-</v>
      </c>
    </row>
    <row r="51" spans="1:27" x14ac:dyDescent="0.3">
      <c r="A51" s="5" t="s">
        <v>66</v>
      </c>
      <c r="B51" s="25">
        <f t="shared" ref="B51:C51" si="78">SUM(B40:B44)</f>
        <v>1674887.47</v>
      </c>
      <c r="C51" s="25">
        <f t="shared" si="78"/>
        <v>1674887.47</v>
      </c>
      <c r="D51" s="18">
        <f t="shared" si="49"/>
        <v>100</v>
      </c>
      <c r="E51" s="25">
        <f t="shared" ref="E51:F51" si="79">SUM(E40:E44)</f>
        <v>1602934.6400000001</v>
      </c>
      <c r="F51" s="25">
        <f t="shared" si="79"/>
        <v>1602934.6400000001</v>
      </c>
      <c r="G51" s="18">
        <f t="shared" si="50"/>
        <v>100</v>
      </c>
      <c r="H51" s="25">
        <f t="shared" ref="H51:I51" si="80">SUM(H40:H44)</f>
        <v>1320773.1000000001</v>
      </c>
      <c r="I51" s="25">
        <f t="shared" si="80"/>
        <v>1320773.1000000001</v>
      </c>
      <c r="J51" s="18">
        <f t="shared" si="51"/>
        <v>100</v>
      </c>
      <c r="K51" s="104">
        <v>661786.03</v>
      </c>
      <c r="L51" s="104">
        <v>661786.03</v>
      </c>
      <c r="M51" s="18">
        <f t="shared" si="52"/>
        <v>100</v>
      </c>
      <c r="N51" s="104">
        <f t="shared" ref="N51:O51" si="81">SUM(N40:N44)</f>
        <v>73459.649999999994</v>
      </c>
      <c r="O51" s="104">
        <f t="shared" si="81"/>
        <v>72865.600000000006</v>
      </c>
      <c r="P51" s="18">
        <f t="shared" si="53"/>
        <v>99.191324761280526</v>
      </c>
      <c r="Q51" s="104">
        <f t="shared" ref="Q51:R51" si="82">SUM(Q40:Q44)</f>
        <v>643415.55000000005</v>
      </c>
      <c r="R51" s="104">
        <f t="shared" si="82"/>
        <v>643415.55000000005</v>
      </c>
      <c r="S51" s="18">
        <f t="shared" si="54"/>
        <v>100</v>
      </c>
      <c r="T51" s="104">
        <f t="shared" ref="T51:U51" si="83">SUM(T40:T44)</f>
        <v>808054.88</v>
      </c>
      <c r="U51" s="104">
        <f t="shared" si="83"/>
        <v>634459.78</v>
      </c>
      <c r="V51" s="18">
        <f t="shared" si="55"/>
        <v>78.516917068801078</v>
      </c>
      <c r="W51" s="104">
        <f t="shared" ref="W51:X51" si="84">SUM(W40:W44)</f>
        <v>775696.16</v>
      </c>
      <c r="X51" s="104">
        <f t="shared" si="84"/>
        <v>599711.43999999994</v>
      </c>
      <c r="Y51" s="18">
        <f t="shared" si="56"/>
        <v>77.312673560224908</v>
      </c>
      <c r="Z51" s="101">
        <f t="shared" si="8"/>
        <v>-4.0045200890315726</v>
      </c>
      <c r="AA51" s="101">
        <f t="shared" si="8"/>
        <v>-5.476838894342535</v>
      </c>
    </row>
    <row r="52" spans="1:27" x14ac:dyDescent="0.3">
      <c r="A52" s="5" t="s">
        <v>67</v>
      </c>
      <c r="B52" s="25">
        <f t="shared" ref="B52:C52" si="85">B45</f>
        <v>0</v>
      </c>
      <c r="C52" s="95">
        <f t="shared" si="85"/>
        <v>0</v>
      </c>
      <c r="D52" s="18" t="str">
        <f t="shared" si="49"/>
        <v>-</v>
      </c>
      <c r="E52" s="25">
        <f t="shared" ref="E52:F52" si="86">E45</f>
        <v>0</v>
      </c>
      <c r="F52" s="25">
        <f t="shared" si="86"/>
        <v>0</v>
      </c>
      <c r="G52" s="18" t="str">
        <f t="shared" si="50"/>
        <v>-</v>
      </c>
      <c r="H52" s="25">
        <f t="shared" ref="H52:I52" si="87">H45</f>
        <v>0</v>
      </c>
      <c r="I52" s="25">
        <f t="shared" si="87"/>
        <v>0</v>
      </c>
      <c r="J52" s="18" t="str">
        <f t="shared" si="51"/>
        <v>-</v>
      </c>
      <c r="K52" s="104">
        <v>0</v>
      </c>
      <c r="L52" s="104">
        <v>0</v>
      </c>
      <c r="M52" s="18" t="str">
        <f t="shared" si="52"/>
        <v>-</v>
      </c>
      <c r="N52" s="104">
        <f t="shared" ref="N52:O52" si="88">N45</f>
        <v>0</v>
      </c>
      <c r="O52" s="104">
        <f t="shared" si="88"/>
        <v>0</v>
      </c>
      <c r="P52" s="18" t="str">
        <f t="shared" si="53"/>
        <v>-</v>
      </c>
      <c r="Q52" s="104">
        <f t="shared" ref="Q52:R52" si="89">Q45</f>
        <v>0</v>
      </c>
      <c r="R52" s="104">
        <f t="shared" si="89"/>
        <v>0</v>
      </c>
      <c r="S52" s="18" t="str">
        <f t="shared" si="54"/>
        <v>-</v>
      </c>
      <c r="T52" s="104">
        <f t="shared" ref="T52:U52" si="90">T45</f>
        <v>0</v>
      </c>
      <c r="U52" s="104">
        <f t="shared" si="90"/>
        <v>0</v>
      </c>
      <c r="V52" s="18" t="str">
        <f t="shared" si="55"/>
        <v>-</v>
      </c>
      <c r="W52" s="104">
        <f t="shared" ref="W52:X52" si="91">W45</f>
        <v>0</v>
      </c>
      <c r="X52" s="104">
        <f t="shared" si="91"/>
        <v>0</v>
      </c>
      <c r="Y52" s="18" t="str">
        <f t="shared" si="56"/>
        <v>-</v>
      </c>
      <c r="Z52" s="101" t="str">
        <f t="shared" si="8"/>
        <v>-</v>
      </c>
      <c r="AA52" s="101" t="str">
        <f t="shared" si="8"/>
        <v>-</v>
      </c>
    </row>
    <row r="53" spans="1:27" x14ac:dyDescent="0.3">
      <c r="A53" s="5" t="s">
        <v>68</v>
      </c>
      <c r="B53" s="25">
        <f>SUM(B46:B47)</f>
        <v>32534689.379999999</v>
      </c>
      <c r="C53" s="27">
        <v>28267538.670000002</v>
      </c>
      <c r="D53" s="18">
        <f t="shared" si="49"/>
        <v>86.88430474881639</v>
      </c>
      <c r="E53" s="25">
        <f>SUM(E46:E47)</f>
        <v>29074150.050000001</v>
      </c>
      <c r="F53" s="27">
        <v>27913387.84</v>
      </c>
      <c r="G53" s="18">
        <f t="shared" si="50"/>
        <v>96.007579901720973</v>
      </c>
      <c r="H53" s="25">
        <f>SUM(H46:H47)</f>
        <v>31809047.370000001</v>
      </c>
      <c r="I53" s="27">
        <v>26848845.870000001</v>
      </c>
      <c r="J53" s="18">
        <f t="shared" si="51"/>
        <v>84.406318610226265</v>
      </c>
      <c r="K53" s="104">
        <v>31367309.399999999</v>
      </c>
      <c r="L53" s="106">
        <v>28247266.670000002</v>
      </c>
      <c r="M53" s="18">
        <f t="shared" si="52"/>
        <v>90.053202554886653</v>
      </c>
      <c r="N53" s="104">
        <f>SUM(N46:N47)</f>
        <v>30584257.299999997</v>
      </c>
      <c r="O53" s="106">
        <v>27347614.82</v>
      </c>
      <c r="P53" s="18">
        <f t="shared" si="53"/>
        <v>89.417292536314108</v>
      </c>
      <c r="Q53" s="104">
        <f>SUM(Q46:Q47)</f>
        <v>30828057.739999998</v>
      </c>
      <c r="R53" s="106">
        <v>29341615.48</v>
      </c>
      <c r="S53" s="18">
        <f t="shared" si="54"/>
        <v>95.178281186130945</v>
      </c>
      <c r="T53" s="104">
        <f>SUM(T46:T47)</f>
        <v>32425011.809999999</v>
      </c>
      <c r="U53" s="106">
        <v>28977074.690000001</v>
      </c>
      <c r="V53" s="18">
        <f t="shared" si="55"/>
        <v>89.366427558442268</v>
      </c>
      <c r="W53" s="104">
        <f>SUM(W46:W47)</f>
        <v>44186092.770000003</v>
      </c>
      <c r="X53" s="106">
        <v>36148726.259999998</v>
      </c>
      <c r="Y53" s="18">
        <f t="shared" si="56"/>
        <v>81.810189572912535</v>
      </c>
      <c r="Z53" s="101">
        <f t="shared" si="8"/>
        <v>36.271632000987722</v>
      </c>
      <c r="AA53" s="101">
        <f t="shared" si="8"/>
        <v>24.749398090466784</v>
      </c>
    </row>
    <row r="54" spans="1:27" x14ac:dyDescent="0.3">
      <c r="A54" s="5" t="s">
        <v>69</v>
      </c>
      <c r="B54" s="17">
        <f t="shared" ref="B54:C54" si="92">SUM(B48:B53)</f>
        <v>297175099.26999998</v>
      </c>
      <c r="C54" s="17">
        <f t="shared" si="92"/>
        <v>251342912.74000001</v>
      </c>
      <c r="D54" s="18">
        <f t="shared" si="49"/>
        <v>84.57737992093378</v>
      </c>
      <c r="E54" s="22">
        <f t="shared" ref="E54:F54" si="93">SUM(E48:E53)</f>
        <v>313192467.79000002</v>
      </c>
      <c r="F54" s="17">
        <f t="shared" si="93"/>
        <v>222322010.80000004</v>
      </c>
      <c r="G54" s="18">
        <f t="shared" si="50"/>
        <v>70.98574635871195</v>
      </c>
      <c r="H54" s="22">
        <f t="shared" ref="H54:I54" si="94">SUM(H48:H53)</f>
        <v>288902925.62999994</v>
      </c>
      <c r="I54" s="17">
        <f t="shared" si="94"/>
        <v>214302214.19999999</v>
      </c>
      <c r="J54" s="18">
        <f t="shared" si="51"/>
        <v>74.177931473929888</v>
      </c>
      <c r="K54" s="22">
        <f t="shared" ref="K54:L54" si="95">SUM(K48:K53)</f>
        <v>276084211.98000002</v>
      </c>
      <c r="L54" s="17">
        <f t="shared" si="95"/>
        <v>229745311.52000004</v>
      </c>
      <c r="M54" s="18">
        <f t="shared" si="52"/>
        <v>83.215664478721862</v>
      </c>
      <c r="N54" s="22">
        <f t="shared" ref="N54:O54" si="96">SUM(N48:N53)</f>
        <v>274072774.21999997</v>
      </c>
      <c r="O54" s="17">
        <f t="shared" si="96"/>
        <v>215841401.80999997</v>
      </c>
      <c r="P54" s="18">
        <f t="shared" si="53"/>
        <v>78.753317407858503</v>
      </c>
      <c r="Q54" s="22">
        <f t="shared" ref="Q54:R54" si="97">SUM(Q48:Q53)</f>
        <v>290491522.01999998</v>
      </c>
      <c r="R54" s="17">
        <f t="shared" si="97"/>
        <v>235268435.15000001</v>
      </c>
      <c r="S54" s="18">
        <f t="shared" si="54"/>
        <v>80.989776745980919</v>
      </c>
      <c r="T54" s="22">
        <f t="shared" ref="T54:U54" si="98">SUM(T48:T53)</f>
        <v>312650655.39999998</v>
      </c>
      <c r="U54" s="17">
        <f t="shared" si="98"/>
        <v>246688544.81</v>
      </c>
      <c r="V54" s="18">
        <f t="shared" si="55"/>
        <v>78.902295757029776</v>
      </c>
      <c r="W54" s="105">
        <f t="shared" ref="W54:X54" si="99">SUM(W48:W53)</f>
        <v>345484670.68000001</v>
      </c>
      <c r="X54" s="105">
        <f t="shared" si="99"/>
        <v>272052476.26999998</v>
      </c>
      <c r="Y54" s="18">
        <f t="shared" si="56"/>
        <v>78.745165663800037</v>
      </c>
      <c r="Z54" s="101">
        <f t="shared" si="8"/>
        <v>10.501821989783693</v>
      </c>
      <c r="AA54" s="101">
        <f t="shared" si="8"/>
        <v>10.281762973443037</v>
      </c>
    </row>
    <row r="55" spans="1:27" x14ac:dyDescent="0.3">
      <c r="A55" s="13" t="s">
        <v>70</v>
      </c>
      <c r="B55" s="14">
        <f t="shared" ref="B55:F55" si="100">B54-B53</f>
        <v>264640409.88999999</v>
      </c>
      <c r="C55" s="14">
        <f t="shared" si="100"/>
        <v>223075374.06999999</v>
      </c>
      <c r="D55" s="19">
        <f t="shared" si="49"/>
        <v>84.293768348803255</v>
      </c>
      <c r="E55" s="23">
        <f t="shared" si="100"/>
        <v>284118317.74000001</v>
      </c>
      <c r="F55" s="14">
        <f t="shared" si="100"/>
        <v>194408622.96000004</v>
      </c>
      <c r="G55" s="19">
        <f t="shared" si="50"/>
        <v>68.42523372178546</v>
      </c>
      <c r="H55" s="23">
        <f t="shared" ref="H55:I55" si="101">H54-H53</f>
        <v>257093878.25999993</v>
      </c>
      <c r="I55" s="14">
        <f t="shared" si="101"/>
        <v>187453368.32999998</v>
      </c>
      <c r="J55" s="19">
        <f t="shared" si="51"/>
        <v>72.912420007304775</v>
      </c>
      <c r="K55" s="23">
        <f t="shared" ref="K55:L55" si="102">K54-K53</f>
        <v>244716902.58000001</v>
      </c>
      <c r="L55" s="14">
        <f t="shared" si="102"/>
        <v>201498044.85000002</v>
      </c>
      <c r="M55" s="19">
        <f t="shared" si="52"/>
        <v>82.339242907068353</v>
      </c>
      <c r="N55" s="23">
        <f t="shared" ref="N55:O55" si="103">N54-N53</f>
        <v>243488516.91999996</v>
      </c>
      <c r="O55" s="14">
        <f t="shared" si="103"/>
        <v>188493786.98999998</v>
      </c>
      <c r="P55" s="19">
        <f t="shared" si="53"/>
        <v>77.413830177433411</v>
      </c>
      <c r="Q55" s="23">
        <f t="shared" ref="Q55:R55" si="104">Q54-Q53</f>
        <v>259663464.27999997</v>
      </c>
      <c r="R55" s="14">
        <f t="shared" si="104"/>
        <v>205926819.67000002</v>
      </c>
      <c r="S55" s="19">
        <f t="shared" si="54"/>
        <v>79.305273170023355</v>
      </c>
      <c r="T55" s="23">
        <f t="shared" ref="T55:U55" si="105">T54-T53</f>
        <v>280225643.58999997</v>
      </c>
      <c r="U55" s="14">
        <f t="shared" si="105"/>
        <v>217711470.12</v>
      </c>
      <c r="V55" s="19">
        <f t="shared" si="55"/>
        <v>77.691487235384898</v>
      </c>
      <c r="W55" s="105">
        <f t="shared" ref="W55:X55" si="106">W54-W53</f>
        <v>301298577.91000003</v>
      </c>
      <c r="X55" s="105">
        <f t="shared" si="106"/>
        <v>235903750.00999999</v>
      </c>
      <c r="Y55" s="19">
        <f t="shared" si="56"/>
        <v>78.295673230978906</v>
      </c>
      <c r="Z55" s="102">
        <f t="shared" si="8"/>
        <v>7.5199878390972685</v>
      </c>
      <c r="AA55" s="102">
        <f t="shared" si="8"/>
        <v>8.3561421361826262</v>
      </c>
    </row>
    <row r="56" spans="1:27" s="99" customFormat="1" x14ac:dyDescent="0.3">
      <c r="A56" s="103" t="s">
        <v>71</v>
      </c>
      <c r="B56" s="105">
        <f t="shared" ref="B56:C57" si="107">B14-B48</f>
        <v>16713187.280000061</v>
      </c>
      <c r="C56" s="105">
        <f t="shared" si="107"/>
        <v>4238384</v>
      </c>
      <c r="D56" s="20"/>
      <c r="E56" s="105">
        <f t="shared" ref="E56:F57" si="108">E14-E48</f>
        <v>9143071.1799999774</v>
      </c>
      <c r="F56" s="105">
        <f t="shared" si="108"/>
        <v>8960246.9399999678</v>
      </c>
      <c r="G56" s="20"/>
      <c r="H56" s="105">
        <f t="shared" ref="H56:I57" si="109">H14-H48</f>
        <v>14084195.920000017</v>
      </c>
      <c r="I56" s="105">
        <f t="shared" si="109"/>
        <v>12011760.100000024</v>
      </c>
      <c r="J56" s="20"/>
      <c r="K56" s="105">
        <f t="shared" ref="K56:L56" si="110">K14-K48</f>
        <v>23288724.189999998</v>
      </c>
      <c r="L56" s="105">
        <f t="shared" si="110"/>
        <v>20168666.659999967</v>
      </c>
      <c r="M56" s="20"/>
      <c r="N56" s="105">
        <f t="shared" ref="N56:O56" si="111">N14-N48</f>
        <v>40543949.730000019</v>
      </c>
      <c r="O56" s="105">
        <f t="shared" si="111"/>
        <v>46136137.420000017</v>
      </c>
      <c r="P56" s="20"/>
      <c r="Q56" s="105">
        <f t="shared" ref="Q56:R56" si="112">Q14-Q48</f>
        <v>26127205.709999979</v>
      </c>
      <c r="R56" s="105">
        <f t="shared" si="112"/>
        <v>25844134.530000001</v>
      </c>
      <c r="S56" s="20"/>
      <c r="T56" s="105">
        <f t="shared" ref="T56:U56" si="113">T14-T48</f>
        <v>32987721.75999999</v>
      </c>
      <c r="U56" s="105">
        <f t="shared" si="113"/>
        <v>25310798.019999981</v>
      </c>
      <c r="V56" s="20"/>
      <c r="W56" s="105">
        <f t="shared" ref="W56:X57" si="114">W14-W48</f>
        <v>35743983.710000008</v>
      </c>
      <c r="X56" s="105">
        <f t="shared" si="114"/>
        <v>16596966.270000011</v>
      </c>
      <c r="Y56" s="20"/>
      <c r="Z56" s="101">
        <f t="shared" ref="Z56:AA59" si="115">IF(T56&gt;0,W56/T56*100-100,"-")</f>
        <v>8.3554177219421888</v>
      </c>
      <c r="AA56" s="101">
        <f t="shared" si="115"/>
        <v>-34.427329170397996</v>
      </c>
    </row>
    <row r="57" spans="1:27" s="99" customFormat="1" x14ac:dyDescent="0.3">
      <c r="A57" s="103" t="s">
        <v>72</v>
      </c>
      <c r="B57" s="105">
        <f t="shared" si="107"/>
        <v>-5440221.2300000042</v>
      </c>
      <c r="C57" s="105">
        <f t="shared" si="107"/>
        <v>-3256163.9399999902</v>
      </c>
      <c r="D57" s="20"/>
      <c r="E57" s="105">
        <f t="shared" si="108"/>
        <v>-8551245.0099999979</v>
      </c>
      <c r="F57" s="105">
        <f t="shared" si="108"/>
        <v>3146188.2899999991</v>
      </c>
      <c r="G57" s="20"/>
      <c r="H57" s="105">
        <f t="shared" si="109"/>
        <v>5386316.2099999934</v>
      </c>
      <c r="I57" s="105">
        <f t="shared" si="109"/>
        <v>1795794.3699999936</v>
      </c>
      <c r="J57" s="20"/>
      <c r="K57" s="105">
        <f t="shared" ref="K57:L57" si="116">K15-K49</f>
        <v>508108.07000000775</v>
      </c>
      <c r="L57" s="105">
        <f t="shared" si="116"/>
        <v>955129.76000000536</v>
      </c>
      <c r="M57" s="20"/>
      <c r="N57" s="105">
        <f t="shared" ref="N57:O57" si="117">N15-N49</f>
        <v>1934467.0399999991</v>
      </c>
      <c r="O57" s="105">
        <f t="shared" si="117"/>
        <v>-6717829.8399999999</v>
      </c>
      <c r="P57" s="20"/>
      <c r="Q57" s="105">
        <f t="shared" ref="Q57:R57" si="118">Q15-Q49</f>
        <v>-5156725.590000011</v>
      </c>
      <c r="R57" s="105">
        <f t="shared" si="118"/>
        <v>-10199172.580000002</v>
      </c>
      <c r="S57" s="20"/>
      <c r="T57" s="105">
        <f t="shared" ref="T57:U57" si="119">T15-T49</f>
        <v>-4093229.4600000009</v>
      </c>
      <c r="U57" s="105">
        <f t="shared" si="119"/>
        <v>-2305023.9900000021</v>
      </c>
      <c r="V57" s="20"/>
      <c r="W57" s="105">
        <f t="shared" si="114"/>
        <v>-7494445.7300000042</v>
      </c>
      <c r="X57" s="105">
        <f t="shared" si="114"/>
        <v>-11594564.93</v>
      </c>
      <c r="Y57" s="20"/>
      <c r="Z57" s="101" t="str">
        <f t="shared" si="115"/>
        <v>-</v>
      </c>
      <c r="AA57" s="101" t="str">
        <f t="shared" si="115"/>
        <v>-</v>
      </c>
    </row>
    <row r="58" spans="1:27" s="99" customFormat="1" x14ac:dyDescent="0.3">
      <c r="A58" s="103" t="s">
        <v>358</v>
      </c>
      <c r="B58" s="105">
        <f t="shared" ref="B58:C58" si="120">SUM(B14:B16)-SUM(B48:B50)</f>
        <v>11347866.960000098</v>
      </c>
      <c r="C58" s="105">
        <f t="shared" si="120"/>
        <v>1057120.9700000286</v>
      </c>
      <c r="D58" s="20"/>
      <c r="E58" s="105">
        <f t="shared" ref="E58:F58" si="121">SUM(E14:E16)-SUM(E48:E50)</f>
        <v>591826.17000001669</v>
      </c>
      <c r="F58" s="105">
        <f t="shared" si="121"/>
        <v>7729029.6799999475</v>
      </c>
      <c r="G58" s="20"/>
      <c r="H58" s="105">
        <f t="shared" ref="H58:I58" si="122">SUM(H14:H16)-SUM(H48:H50)</f>
        <v>19470512.129999995</v>
      </c>
      <c r="I58" s="105">
        <f t="shared" si="122"/>
        <v>13807554.470000029</v>
      </c>
      <c r="J58" s="20"/>
      <c r="K58" s="105">
        <f t="shared" ref="K58:L58" si="123">SUM(K14:K16)-SUM(K48:K50)</f>
        <v>23808663.729999989</v>
      </c>
      <c r="L58" s="105">
        <f t="shared" si="123"/>
        <v>21135627.889999986</v>
      </c>
      <c r="M58" s="20"/>
      <c r="N58" s="105">
        <f t="shared" ref="N58:O58" si="124">SUM(N14:N16)-SUM(N48:N50)</f>
        <v>42504848.910000026</v>
      </c>
      <c r="O58" s="105">
        <f t="shared" si="124"/>
        <v>39444739.719999999</v>
      </c>
      <c r="P58" s="20"/>
      <c r="Q58" s="105">
        <f t="shared" ref="Q58:R58" si="125">SUM(Q14:Q16)-SUM(Q48:Q50)</f>
        <v>22206526.609999985</v>
      </c>
      <c r="R58" s="105">
        <f t="shared" si="125"/>
        <v>16880219.360000014</v>
      </c>
      <c r="S58" s="20"/>
      <c r="T58" s="105">
        <f t="shared" ref="T58:U58" si="126">SUM(T14:T16)-SUM(T48:T50)</f>
        <v>29045424.040000021</v>
      </c>
      <c r="U58" s="105">
        <f t="shared" si="126"/>
        <v>23156705.770000011</v>
      </c>
      <c r="V58" s="20"/>
      <c r="W58" s="105">
        <f t="shared" ref="W58:X58" si="127">SUM(W14:W16)-SUM(W48:W50)</f>
        <v>29157471.290000021</v>
      </c>
      <c r="X58" s="105">
        <f t="shared" si="127"/>
        <v>5165440.7100000083</v>
      </c>
      <c r="Y58" s="20"/>
      <c r="Z58" s="101">
        <f t="shared" si="115"/>
        <v>0.3857655851251991</v>
      </c>
      <c r="AA58" s="101">
        <f t="shared" si="115"/>
        <v>-77.693542590622087</v>
      </c>
    </row>
    <row r="59" spans="1:27" s="99" customFormat="1" x14ac:dyDescent="0.3">
      <c r="A59" s="103" t="s">
        <v>359</v>
      </c>
      <c r="B59" s="105">
        <f t="shared" ref="B59:C59" si="128">B21-B55</f>
        <v>9869479.1800000668</v>
      </c>
      <c r="C59" s="105">
        <f t="shared" si="128"/>
        <v>-421266.80999997258</v>
      </c>
      <c r="D59" s="98"/>
      <c r="E59" s="105">
        <f t="shared" ref="E59:F59" si="129">E21-E55</f>
        <v>2851198.6800000072</v>
      </c>
      <c r="F59" s="105">
        <f t="shared" si="129"/>
        <v>9988402.1899999678</v>
      </c>
      <c r="G59" s="98"/>
      <c r="H59" s="105">
        <f t="shared" ref="H59:I59" si="130">H21-H55</f>
        <v>18149739.030000031</v>
      </c>
      <c r="I59" s="105">
        <f t="shared" si="130"/>
        <v>12486781.370000035</v>
      </c>
      <c r="J59" s="98"/>
      <c r="K59" s="105">
        <f t="shared" ref="K59:L59" si="131">K21-K55</f>
        <v>23146877.699999988</v>
      </c>
      <c r="L59" s="105">
        <f t="shared" si="131"/>
        <v>20473841.859999985</v>
      </c>
      <c r="M59" s="98"/>
      <c r="N59" s="105">
        <f t="shared" ref="N59:O59" si="132">N21-N55</f>
        <v>46070157.240000069</v>
      </c>
      <c r="O59" s="105">
        <f t="shared" si="132"/>
        <v>39810642.099999994</v>
      </c>
      <c r="P59" s="98"/>
      <c r="Q59" s="105">
        <f t="shared" ref="Q59:R59" si="133">Q21-Q55</f>
        <v>25554389.139999986</v>
      </c>
      <c r="R59" s="105">
        <f t="shared" si="133"/>
        <v>16236803.810000002</v>
      </c>
      <c r="S59" s="98"/>
      <c r="T59" s="105">
        <f t="shared" ref="T59:U59" si="134">T21-T55</f>
        <v>29137369.160000026</v>
      </c>
      <c r="U59" s="105">
        <f t="shared" si="134"/>
        <v>23422245.99000001</v>
      </c>
      <c r="V59" s="98"/>
      <c r="W59" s="105">
        <f t="shared" ref="W59:X59" si="135">W21-W55</f>
        <v>29661775.129999995</v>
      </c>
      <c r="X59" s="105">
        <f t="shared" si="135"/>
        <v>5845729.2699999809</v>
      </c>
      <c r="Y59" s="98"/>
      <c r="Z59" s="101">
        <f t="shared" si="115"/>
        <v>1.7997711705553598</v>
      </c>
      <c r="AA59" s="101">
        <f t="shared" si="115"/>
        <v>-75.041978158303948</v>
      </c>
    </row>
    <row r="60" spans="1:27" s="99" customFormat="1" x14ac:dyDescent="0.3">
      <c r="A60" s="103" t="s">
        <v>360</v>
      </c>
      <c r="C60" s="100">
        <f>SUM(C14:C16)/SUM(B14:B16)*100</f>
        <v>81.096153590167859</v>
      </c>
      <c r="D60" s="98"/>
      <c r="F60" s="100">
        <f>SUM(F14:F16)/SUM(E14:E16)*100</f>
        <v>70.833490435331697</v>
      </c>
      <c r="G60" s="98"/>
      <c r="I60" s="100">
        <f>SUM(I14:I16)/SUM(H14:H16)*100</f>
        <v>72.641157556558582</v>
      </c>
      <c r="J60" s="98"/>
      <c r="L60" s="100">
        <f>SUM(L14:L16)/SUM(K14:K16)*100</f>
        <v>82.867450940164872</v>
      </c>
      <c r="M60" s="98"/>
      <c r="O60" s="100">
        <f>SUM(O14:O16)/SUM(N14:N16)*100</f>
        <v>79.695626706923946</v>
      </c>
      <c r="P60" s="98"/>
      <c r="R60" s="100">
        <f>SUM(R14:R16)/SUM(Q14:Q16)*100</f>
        <v>78.99809013831873</v>
      </c>
      <c r="S60" s="98"/>
      <c r="U60" s="100">
        <f>SUM(U14:U16)/SUM(T14:T16)*100</f>
        <v>77.880882368448567</v>
      </c>
      <c r="V60" s="98"/>
      <c r="X60" s="100">
        <f>SUM(X14:X16)/SUM(W14:W16)*100</f>
        <v>72.940191025221296</v>
      </c>
      <c r="Y60" s="98"/>
    </row>
    <row r="61" spans="1:27" s="99" customFormat="1" x14ac:dyDescent="0.3">
      <c r="A61" s="103" t="s">
        <v>361</v>
      </c>
      <c r="C61" s="100">
        <f>SUM(C48:C50)/SUM(B48:B50)*100</f>
        <v>84.193731772329599</v>
      </c>
      <c r="D61" s="98"/>
      <c r="F61" s="100">
        <f>SUM(F48:F50)/SUM(E48:E50)*100</f>
        <v>68.246084940356667</v>
      </c>
      <c r="G61" s="98"/>
      <c r="I61" s="100">
        <f>SUM(I48:I50)/SUM(H48:H50)*100</f>
        <v>72.772543897281125</v>
      </c>
      <c r="J61" s="98"/>
      <c r="L61" s="100">
        <f>SUM(L48:L50)/SUM(K48:K50)*100</f>
        <v>82.291353551218975</v>
      </c>
      <c r="M61" s="98"/>
      <c r="O61" s="100">
        <f>SUM(O48:O50)/SUM(N48:N50)*100</f>
        <v>77.407257999245459</v>
      </c>
      <c r="P61" s="98"/>
      <c r="R61" s="100">
        <f>SUM(R48:R50)/SUM(Q48:Q50)*100</f>
        <v>79.253866689672918</v>
      </c>
      <c r="S61" s="98"/>
      <c r="U61" s="100">
        <f>SUM(U48:U50)/SUM(T48:T50)*100</f>
        <v>77.689100153712374</v>
      </c>
      <c r="V61" s="98"/>
      <c r="X61" s="100">
        <f>SUM(X48:X50)/SUM(W48:W50)*100</f>
        <v>78.298210505563276</v>
      </c>
      <c r="Y61" s="98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L2" sqref="L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7" width="7.5546875" customWidth="1"/>
    <col min="8" max="12" width="7.5546875" style="99" customWidth="1"/>
  </cols>
  <sheetData>
    <row r="1" spans="1:12" ht="23.25" customHeight="1" x14ac:dyDescent="0.3">
      <c r="A1" s="72" t="s">
        <v>311</v>
      </c>
      <c r="B1" s="72" t="s">
        <v>312</v>
      </c>
      <c r="C1" s="72" t="s">
        <v>322</v>
      </c>
      <c r="D1" s="40" t="s">
        <v>211</v>
      </c>
      <c r="E1" s="40">
        <v>2016</v>
      </c>
      <c r="F1" s="40">
        <v>2017</v>
      </c>
      <c r="G1" s="40">
        <v>2018</v>
      </c>
      <c r="H1" s="109">
        <v>2019</v>
      </c>
      <c r="I1" s="109">
        <v>2020</v>
      </c>
      <c r="J1" s="109">
        <v>2021</v>
      </c>
      <c r="K1" s="109">
        <v>2022</v>
      </c>
      <c r="L1" s="109">
        <v>2023</v>
      </c>
    </row>
    <row r="2" spans="1:12" ht="29.25" customHeight="1" x14ac:dyDescent="0.3">
      <c r="A2" s="73" t="s">
        <v>313</v>
      </c>
      <c r="B2" s="73" t="s">
        <v>78</v>
      </c>
      <c r="C2" s="75" t="s">
        <v>321</v>
      </c>
      <c r="D2" s="85" t="s">
        <v>328</v>
      </c>
      <c r="E2" s="80">
        <f>Piano_indicatori!D3</f>
        <v>28.3</v>
      </c>
      <c r="F2" s="80">
        <f>Piano_indicatori!E3</f>
        <v>27.27</v>
      </c>
      <c r="G2" s="80">
        <f>Piano_indicatori!F3</f>
        <v>28.19</v>
      </c>
      <c r="H2" s="80">
        <f>Piano_indicatori!G3</f>
        <v>27.01</v>
      </c>
      <c r="I2" s="80">
        <f>Piano_indicatori!H3</f>
        <v>25.99</v>
      </c>
      <c r="J2" s="80">
        <f>Piano_indicatori!I3</f>
        <v>24.02</v>
      </c>
      <c r="K2" s="80">
        <f>Piano_indicatori!J3</f>
        <v>23.39</v>
      </c>
      <c r="L2" s="80">
        <f>Piano_indicatori!K3</f>
        <v>22.58</v>
      </c>
    </row>
    <row r="3" spans="1:12" ht="29.25" customHeight="1" x14ac:dyDescent="0.3">
      <c r="A3" s="74" t="s">
        <v>314</v>
      </c>
      <c r="B3" s="74" t="s">
        <v>95</v>
      </c>
      <c r="C3" s="76" t="s">
        <v>96</v>
      </c>
      <c r="D3" s="86" t="s">
        <v>329</v>
      </c>
      <c r="E3" s="81">
        <f>Piano_indicatori!D12</f>
        <v>56.32</v>
      </c>
      <c r="F3" s="81">
        <f>Piano_indicatori!E12</f>
        <v>57.12</v>
      </c>
      <c r="G3" s="81">
        <f>Piano_indicatori!F12</f>
        <v>53.91</v>
      </c>
      <c r="H3" s="81">
        <f>Piano_indicatori!G12</f>
        <v>66.37</v>
      </c>
      <c r="I3" s="81">
        <f>Piano_indicatori!H12</f>
        <v>59.37</v>
      </c>
      <c r="J3" s="81">
        <f>Piano_indicatori!I12</f>
        <v>63.95</v>
      </c>
      <c r="K3" s="81">
        <f>Piano_indicatori!J12</f>
        <v>65.28</v>
      </c>
      <c r="L3" s="81">
        <f>Piano_indicatori!K12</f>
        <v>64.040000000000006</v>
      </c>
    </row>
    <row r="4" spans="1:12" ht="29.25" customHeight="1" x14ac:dyDescent="0.3">
      <c r="A4" s="73" t="s">
        <v>315</v>
      </c>
      <c r="B4" s="73" t="s">
        <v>100</v>
      </c>
      <c r="C4" s="77" t="s">
        <v>324</v>
      </c>
      <c r="D4" s="85" t="s">
        <v>330</v>
      </c>
      <c r="E4" s="82">
        <f>Piano_indicatori!D15</f>
        <v>0</v>
      </c>
      <c r="F4" s="82">
        <f>Piano_indicatori!E15</f>
        <v>0</v>
      </c>
      <c r="G4" s="82">
        <f>Piano_indicatori!F15</f>
        <v>0</v>
      </c>
      <c r="H4" s="82">
        <f>Piano_indicatori!G15</f>
        <v>0</v>
      </c>
      <c r="I4" s="82">
        <f>Piano_indicatori!H15</f>
        <v>0</v>
      </c>
      <c r="J4" s="82">
        <f>Piano_indicatori!I15</f>
        <v>0</v>
      </c>
      <c r="K4" s="82">
        <f>Piano_indicatori!J15</f>
        <v>0</v>
      </c>
      <c r="L4" s="82">
        <f>Piano_indicatori!K15</f>
        <v>0</v>
      </c>
    </row>
    <row r="5" spans="1:12" ht="29.25" customHeight="1" x14ac:dyDescent="0.3">
      <c r="A5" s="74" t="s">
        <v>316</v>
      </c>
      <c r="B5" s="74" t="s">
        <v>165</v>
      </c>
      <c r="C5" s="78" t="s">
        <v>325</v>
      </c>
      <c r="D5" s="87" t="s">
        <v>331</v>
      </c>
      <c r="E5" s="83">
        <f>Piano_indicatori!D51</f>
        <v>0.89</v>
      </c>
      <c r="F5" s="83">
        <f>Piano_indicatori!E51</f>
        <v>0.79</v>
      </c>
      <c r="G5" s="83">
        <f>Piano_indicatori!F51</f>
        <v>0.71</v>
      </c>
      <c r="H5" s="83">
        <f>Piano_indicatori!G51</f>
        <v>0.37</v>
      </c>
      <c r="I5" s="83">
        <f>Piano_indicatori!H51</f>
        <v>0.11</v>
      </c>
      <c r="J5" s="83">
        <f>Piano_indicatori!I51</f>
        <v>0.37</v>
      </c>
      <c r="K5" s="83">
        <f>Piano_indicatori!J51</f>
        <v>0.41</v>
      </c>
      <c r="L5" s="83">
        <f>Piano_indicatori!K51</f>
        <v>0.39</v>
      </c>
    </row>
    <row r="6" spans="1:12" ht="29.25" customHeight="1" x14ac:dyDescent="0.3">
      <c r="A6" s="73" t="s">
        <v>317</v>
      </c>
      <c r="B6" s="73" t="s">
        <v>185</v>
      </c>
      <c r="C6" s="89" t="s">
        <v>186</v>
      </c>
      <c r="D6" s="88" t="s">
        <v>332</v>
      </c>
      <c r="E6" s="116">
        <f>Piano_indicatori!D62</f>
        <v>0</v>
      </c>
      <c r="F6" s="116">
        <f>Piano_indicatori!E62</f>
        <v>0</v>
      </c>
      <c r="G6" s="116">
        <f>Piano_indicatori!F62</f>
        <v>0</v>
      </c>
      <c r="H6" s="116">
        <f>Piano_indicatori!G62</f>
        <v>0</v>
      </c>
      <c r="I6" s="116">
        <f>Piano_indicatori!H62</f>
        <v>0</v>
      </c>
      <c r="J6" s="116">
        <f>Piano_indicatori!I62</f>
        <v>0</v>
      </c>
      <c r="K6" s="116">
        <f>Piano_indicatori!J62</f>
        <v>0</v>
      </c>
      <c r="L6" s="116">
        <f>Piano_indicatori!K62</f>
        <v>0</v>
      </c>
    </row>
    <row r="7" spans="1:12" ht="29.25" customHeight="1" x14ac:dyDescent="0.3">
      <c r="A7" s="74" t="s">
        <v>318</v>
      </c>
      <c r="B7" s="74" t="s">
        <v>188</v>
      </c>
      <c r="C7" s="78" t="s">
        <v>189</v>
      </c>
      <c r="D7" s="86" t="s">
        <v>333</v>
      </c>
      <c r="E7" s="117">
        <f>Piano_indicatori!D64</f>
        <v>0</v>
      </c>
      <c r="F7" s="117">
        <f>Piano_indicatori!E64</f>
        <v>0</v>
      </c>
      <c r="G7" s="117">
        <f>Piano_indicatori!F64</f>
        <v>0</v>
      </c>
      <c r="H7" s="117">
        <f>Piano_indicatori!G64</f>
        <v>0</v>
      </c>
      <c r="I7" s="117">
        <f>Piano_indicatori!H64</f>
        <v>0</v>
      </c>
      <c r="J7" s="117">
        <f>Piano_indicatori!I64</f>
        <v>0</v>
      </c>
      <c r="K7" s="117">
        <f>Piano_indicatori!J64</f>
        <v>0</v>
      </c>
      <c r="L7" s="117">
        <f>Piano_indicatori!K64</f>
        <v>0</v>
      </c>
    </row>
    <row r="8" spans="1:12" ht="29.25" customHeight="1" x14ac:dyDescent="0.3">
      <c r="A8" s="73" t="s">
        <v>319</v>
      </c>
      <c r="B8" s="73" t="s">
        <v>323</v>
      </c>
      <c r="C8" s="77" t="s">
        <v>326</v>
      </c>
      <c r="D8" s="85" t="s">
        <v>334</v>
      </c>
      <c r="E8" s="118">
        <f>Piano_indicatori!D65+Piano_indicatori!D66</f>
        <v>0</v>
      </c>
      <c r="F8" s="118">
        <f>Piano_indicatori!E65+Piano_indicatori!E66</f>
        <v>0</v>
      </c>
      <c r="G8" s="118">
        <f>Piano_indicatori!F65+Piano_indicatori!F66</f>
        <v>0</v>
      </c>
      <c r="H8" s="118">
        <f>Piano_indicatori!G65+Piano_indicatori!G66</f>
        <v>0</v>
      </c>
      <c r="I8" s="118">
        <f>Piano_indicatori!H65+Piano_indicatori!H66</f>
        <v>0</v>
      </c>
      <c r="J8" s="118">
        <f>Piano_indicatori!I65+Piano_indicatori!I66</f>
        <v>0</v>
      </c>
      <c r="K8" s="118">
        <f>Piano_indicatori!J65+Piano_indicatori!J66</f>
        <v>0</v>
      </c>
      <c r="L8" s="118">
        <f>Piano_indicatori!K65+Piano_indicatori!K66</f>
        <v>0</v>
      </c>
    </row>
    <row r="9" spans="1:12" ht="29.25" customHeight="1" x14ac:dyDescent="0.3">
      <c r="A9" s="74" t="s">
        <v>320</v>
      </c>
      <c r="B9" s="74"/>
      <c r="C9" s="79" t="s">
        <v>327</v>
      </c>
      <c r="D9" s="87" t="s">
        <v>335</v>
      </c>
      <c r="E9" s="84">
        <f>Piano_indicatori!D76</f>
        <v>74.05715737352206</v>
      </c>
      <c r="F9" s="84">
        <f>Piano_indicatori!E76</f>
        <v>65.394899269769581</v>
      </c>
      <c r="G9" s="84">
        <f>Piano_indicatori!F76</f>
        <v>68.720738361751103</v>
      </c>
      <c r="H9" s="84">
        <f>Piano_indicatori!G76</f>
        <v>78.318140832349243</v>
      </c>
      <c r="I9" s="84">
        <f>Piano_indicatori!H76</f>
        <v>70.444404181794752</v>
      </c>
      <c r="J9" s="84">
        <f>Piano_indicatori!I76</f>
        <v>70.12664586689381</v>
      </c>
      <c r="K9" s="84">
        <f>Piano_indicatori!J76</f>
        <v>68.494469812954378</v>
      </c>
      <c r="L9" s="84">
        <f>Piano_indicatori!K76</f>
        <v>64.72659490835342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B36" sqref="B36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" style="99" customWidth="1"/>
    <col min="7" max="7" width="8.88671875" style="99"/>
  </cols>
  <sheetData>
    <row r="1" spans="1:20" ht="43.2" x14ac:dyDescent="0.3">
      <c r="A1" s="92" t="s">
        <v>336</v>
      </c>
      <c r="B1" s="92" t="s">
        <v>337</v>
      </c>
      <c r="C1" s="92" t="s">
        <v>351</v>
      </c>
      <c r="D1" s="92" t="s">
        <v>352</v>
      </c>
      <c r="E1" s="92" t="s">
        <v>353</v>
      </c>
      <c r="F1" s="92" t="s">
        <v>364</v>
      </c>
      <c r="G1" s="92" t="s">
        <v>354</v>
      </c>
    </row>
    <row r="2" spans="1:20" s="99" customFormat="1" x14ac:dyDescent="0.3">
      <c r="A2" s="29">
        <v>2024</v>
      </c>
      <c r="B2" s="91">
        <v>185009</v>
      </c>
      <c r="C2" s="1">
        <v>706972</v>
      </c>
      <c r="D2" s="92"/>
    </row>
    <row r="3" spans="1:20" s="99" customFormat="1" x14ac:dyDescent="0.3">
      <c r="A3" s="29">
        <v>2023</v>
      </c>
      <c r="B3" s="91">
        <v>184836</v>
      </c>
      <c r="C3" s="1">
        <v>704332</v>
      </c>
      <c r="D3" s="92">
        <v>-797</v>
      </c>
      <c r="E3" s="99">
        <v>970</v>
      </c>
      <c r="G3" s="1">
        <f t="shared" ref="G3:G4" si="0">B2-B3-D3-E3-F3</f>
        <v>0</v>
      </c>
    </row>
    <row r="4" spans="1:20" s="99" customFormat="1" x14ac:dyDescent="0.3">
      <c r="A4" s="29">
        <v>2022</v>
      </c>
      <c r="B4" s="91">
        <v>184971</v>
      </c>
      <c r="C4" s="1">
        <v>701751</v>
      </c>
      <c r="D4" s="1">
        <v>-809</v>
      </c>
      <c r="E4" s="1">
        <v>1020</v>
      </c>
      <c r="F4" s="1">
        <v>-346</v>
      </c>
      <c r="G4" s="1">
        <f t="shared" si="0"/>
        <v>0</v>
      </c>
    </row>
    <row r="5" spans="1:20" s="99" customFormat="1" x14ac:dyDescent="0.3">
      <c r="A5" s="29">
        <v>2021</v>
      </c>
      <c r="B5" s="91">
        <v>186414</v>
      </c>
      <c r="C5" s="1">
        <v>703696</v>
      </c>
      <c r="D5" s="1">
        <v>-679</v>
      </c>
      <c r="E5" s="1">
        <v>-88</v>
      </c>
      <c r="F5" s="1">
        <v>-676</v>
      </c>
      <c r="G5" s="1">
        <f>B4-B5-D5-E5-F5</f>
        <v>0</v>
      </c>
    </row>
    <row r="6" spans="1:20" x14ac:dyDescent="0.3">
      <c r="A6" s="29">
        <v>2020</v>
      </c>
      <c r="B6" s="91">
        <v>189013</v>
      </c>
      <c r="C6" s="1">
        <v>707119</v>
      </c>
      <c r="D6" s="1">
        <v>-1034</v>
      </c>
      <c r="E6" s="1">
        <v>912</v>
      </c>
      <c r="F6" s="1">
        <v>-2477</v>
      </c>
      <c r="G6" s="1">
        <f t="shared" ref="G6:G11" si="1">B5-B6-D6-E6-F6</f>
        <v>0</v>
      </c>
      <c r="K6" s="114"/>
      <c r="L6" s="115"/>
      <c r="M6" s="115"/>
      <c r="N6" s="115"/>
      <c r="O6" s="115"/>
      <c r="P6" s="115"/>
      <c r="Q6" s="115"/>
      <c r="R6" s="115"/>
      <c r="S6" s="115"/>
      <c r="T6" s="115"/>
    </row>
    <row r="7" spans="1:20" x14ac:dyDescent="0.3">
      <c r="A7" s="29">
        <v>2019</v>
      </c>
      <c r="B7" s="91">
        <v>189016</v>
      </c>
      <c r="C7" s="1">
        <v>706757</v>
      </c>
      <c r="D7" s="1">
        <v>-549</v>
      </c>
      <c r="E7" s="1">
        <v>519</v>
      </c>
      <c r="F7" s="1">
        <v>27</v>
      </c>
      <c r="G7" s="1">
        <f t="shared" si="1"/>
        <v>0</v>
      </c>
      <c r="K7" s="114"/>
      <c r="L7" s="115"/>
      <c r="M7" s="115"/>
      <c r="N7" s="115"/>
      <c r="O7" s="115"/>
      <c r="P7" s="115"/>
      <c r="Q7" s="115"/>
      <c r="R7" s="115"/>
      <c r="S7" s="115"/>
      <c r="T7" s="115"/>
    </row>
    <row r="8" spans="1:20" x14ac:dyDescent="0.3">
      <c r="A8" s="29">
        <v>2018</v>
      </c>
      <c r="B8" s="91">
        <v>186850</v>
      </c>
      <c r="C8" s="1">
        <v>701962</v>
      </c>
      <c r="D8" s="1">
        <v>-520</v>
      </c>
      <c r="E8" s="1">
        <v>2686</v>
      </c>
      <c r="F8" s="1"/>
      <c r="G8" s="1">
        <f t="shared" si="1"/>
        <v>0</v>
      </c>
      <c r="K8" s="114"/>
      <c r="L8" s="115"/>
      <c r="M8" s="115"/>
      <c r="N8" s="115"/>
      <c r="O8" s="115"/>
      <c r="P8" s="115"/>
      <c r="Q8" s="115"/>
      <c r="R8" s="115"/>
      <c r="S8" s="115"/>
      <c r="T8" s="115"/>
    </row>
    <row r="9" spans="1:20" x14ac:dyDescent="0.3">
      <c r="A9" s="29">
        <v>2017</v>
      </c>
      <c r="B9" s="1">
        <v>186051</v>
      </c>
      <c r="C9" s="1">
        <v>700472</v>
      </c>
      <c r="D9" s="1">
        <v>-554</v>
      </c>
      <c r="E9" s="1">
        <v>1353</v>
      </c>
      <c r="F9" s="1"/>
      <c r="G9" s="1">
        <f t="shared" si="1"/>
        <v>0</v>
      </c>
      <c r="K9" s="114"/>
      <c r="L9" s="115"/>
      <c r="M9" s="115"/>
      <c r="N9" s="115"/>
      <c r="O9" s="115"/>
      <c r="P9" s="115"/>
      <c r="Q9" s="115"/>
      <c r="R9" s="114"/>
      <c r="S9" s="115"/>
      <c r="T9" s="115"/>
    </row>
    <row r="10" spans="1:20" x14ac:dyDescent="0.3">
      <c r="A10" s="29">
        <v>2016</v>
      </c>
      <c r="B10" s="91">
        <v>185399</v>
      </c>
      <c r="C10" s="1">
        <v>700166</v>
      </c>
      <c r="D10" s="1">
        <v>-453</v>
      </c>
      <c r="E10" s="1">
        <v>1105</v>
      </c>
      <c r="F10" s="1"/>
      <c r="G10" s="1">
        <f t="shared" si="1"/>
        <v>0</v>
      </c>
    </row>
    <row r="11" spans="1:20" x14ac:dyDescent="0.3">
      <c r="A11" s="29">
        <v>2015</v>
      </c>
      <c r="B11" s="1">
        <v>184863</v>
      </c>
      <c r="C11" s="1">
        <v>700222</v>
      </c>
      <c r="D11" s="1">
        <v>-447</v>
      </c>
      <c r="E11" s="1">
        <v>983</v>
      </c>
      <c r="F11" s="1"/>
      <c r="G11" s="1">
        <f t="shared" si="1"/>
        <v>0</v>
      </c>
    </row>
    <row r="32" spans="6:6" x14ac:dyDescent="0.3">
      <c r="F32" s="114"/>
    </row>
    <row r="33" spans="6:6" x14ac:dyDescent="0.3">
      <c r="F33" s="114"/>
    </row>
    <row r="34" spans="6:6" x14ac:dyDescent="0.3">
      <c r="F34" s="114"/>
    </row>
    <row r="35" spans="6:6" x14ac:dyDescent="0.3">
      <c r="F35" s="114"/>
    </row>
    <row r="36" spans="6:6" x14ac:dyDescent="0.3">
      <c r="F36" s="114"/>
    </row>
    <row r="37" spans="6:6" x14ac:dyDescent="0.3">
      <c r="F37" s="114"/>
    </row>
    <row r="38" spans="6:6" x14ac:dyDescent="0.3">
      <c r="F38" s="114"/>
    </row>
    <row r="39" spans="6:6" x14ac:dyDescent="0.3">
      <c r="F39" s="114"/>
    </row>
    <row r="40" spans="6:6" x14ac:dyDescent="0.3">
      <c r="F40" s="114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K1" sqref="K1:K21"/>
    </sheetView>
  </sheetViews>
  <sheetFormatPr defaultRowHeight="14.4" x14ac:dyDescent="0.3"/>
  <cols>
    <col min="1" max="1" width="55.6640625" bestFit="1" customWidth="1"/>
    <col min="2" max="3" width="12.44140625" bestFit="1" customWidth="1"/>
    <col min="4" max="8" width="12.44140625" style="99" bestFit="1" customWidth="1"/>
    <col min="9" max="9" width="12.44140625" bestFit="1" customWidth="1"/>
    <col min="10" max="10" width="8.44140625" customWidth="1"/>
    <col min="11" max="11" width="6.5546875" style="99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09">
        <v>2018</v>
      </c>
      <c r="E1" s="109">
        <v>2019</v>
      </c>
      <c r="F1" s="109">
        <v>2020</v>
      </c>
      <c r="G1" s="109">
        <v>2021</v>
      </c>
      <c r="H1" s="109">
        <v>2022</v>
      </c>
      <c r="I1" s="109">
        <v>2023</v>
      </c>
      <c r="J1" s="52" t="s">
        <v>297</v>
      </c>
      <c r="K1" s="109" t="s">
        <v>233</v>
      </c>
      <c r="L1" s="110" t="s">
        <v>366</v>
      </c>
      <c r="M1" s="40" t="s">
        <v>269</v>
      </c>
    </row>
    <row r="2" spans="1:13" x14ac:dyDescent="0.3">
      <c r="A2" s="53" t="s">
        <v>20</v>
      </c>
      <c r="B2" s="54">
        <f>Entrate_Uscite!B3</f>
        <v>144606391.49000001</v>
      </c>
      <c r="C2" s="54">
        <f>Entrate_Uscite!E3</f>
        <v>144841438.71000001</v>
      </c>
      <c r="D2" s="108">
        <f>Entrate_Uscite!H3</f>
        <v>145497957.91999999</v>
      </c>
      <c r="E2" s="108">
        <f>Entrate_Uscite!K3</f>
        <v>145054593.78999999</v>
      </c>
      <c r="F2" s="108">
        <f>Entrate_Uscite!N3</f>
        <v>147542941.63999999</v>
      </c>
      <c r="G2" s="108">
        <f>Entrate_Uscite!Q3</f>
        <v>150464137.25</v>
      </c>
      <c r="H2" s="108">
        <f>Entrate_Uscite!T3</f>
        <v>152374712.77000001</v>
      </c>
      <c r="I2" s="54">
        <f>Entrate_Uscite!W3</f>
        <v>162683253.34999999</v>
      </c>
      <c r="J2" s="54">
        <f>I2/I$21*100</f>
        <v>49.154906881048085</v>
      </c>
      <c r="K2" s="55">
        <f>IF(H2&gt;0,I2/H2*100-100,"-")</f>
        <v>6.7652567756174165</v>
      </c>
      <c r="L2" s="54">
        <f>Entrate_Uscite!X3</f>
        <v>130720032.39</v>
      </c>
      <c r="M2" s="56">
        <f>IF(I2&gt;0,L2/I2*100,"-")</f>
        <v>80.352482322668038</v>
      </c>
    </row>
    <row r="3" spans="1:13" x14ac:dyDescent="0.3">
      <c r="A3" s="53" t="s">
        <v>21</v>
      </c>
      <c r="B3" s="54">
        <f>Entrate_Uscite!B4</f>
        <v>23331303.68</v>
      </c>
      <c r="C3" s="54">
        <f>Entrate_Uscite!E4</f>
        <v>20905533.32</v>
      </c>
      <c r="D3" s="108">
        <f>Entrate_Uscite!H4</f>
        <v>24730952.079999998</v>
      </c>
      <c r="E3" s="108">
        <f>Entrate_Uscite!K4</f>
        <v>24292112.850000001</v>
      </c>
      <c r="F3" s="108">
        <f>Entrate_Uscite!N4</f>
        <v>49361080.369999997</v>
      </c>
      <c r="G3" s="108">
        <f>Entrate_Uscite!Q4</f>
        <v>35142157.640000001</v>
      </c>
      <c r="H3" s="108">
        <f>Entrate_Uscite!T4</f>
        <v>41498428.380000003</v>
      </c>
      <c r="I3" s="54">
        <f>Entrate_Uscite!W4</f>
        <v>35680467.82</v>
      </c>
      <c r="J3" s="54">
        <f t="shared" ref="J3:J21" si="0">I3/I$21*100</f>
        <v>10.78088885640258</v>
      </c>
      <c r="K3" s="55">
        <f t="shared" ref="K3:K21" si="1">IF(H3&gt;0,I3/H3*100-100,"-")</f>
        <v>-14.019713003887986</v>
      </c>
      <c r="L3" s="54">
        <f>Entrate_Uscite!X4</f>
        <v>22706087.109999999</v>
      </c>
      <c r="M3" s="56">
        <f t="shared" ref="M3:M21" si="2">IF(I3&gt;0,L3/I3*100,"-")</f>
        <v>63.63730213557497</v>
      </c>
    </row>
    <row r="4" spans="1:13" x14ac:dyDescent="0.3">
      <c r="A4" s="53" t="s">
        <v>22</v>
      </c>
      <c r="B4" s="54">
        <f>Entrate_Uscite!B5</f>
        <v>56924317.490000002</v>
      </c>
      <c r="C4" s="54">
        <f>Entrate_Uscite!E5</f>
        <v>63426889.530000001</v>
      </c>
      <c r="D4" s="108">
        <f>Entrate_Uscite!H5</f>
        <v>50511847.289999999</v>
      </c>
      <c r="E4" s="108">
        <f>Entrate_Uscite!K5</f>
        <v>60054704.740000002</v>
      </c>
      <c r="F4" s="108">
        <f>Entrate_Uscite!N5</f>
        <v>47207482.18</v>
      </c>
      <c r="G4" s="108">
        <f>Entrate_Uscite!Q5</f>
        <v>57553493.719999999</v>
      </c>
      <c r="H4" s="108">
        <f>Entrate_Uscite!T5</f>
        <v>74693604.370000005</v>
      </c>
      <c r="I4" s="54">
        <f>Entrate_Uscite!W5</f>
        <v>73932555.590000004</v>
      </c>
      <c r="J4" s="54">
        <f t="shared" si="0"/>
        <v>22.338795239641431</v>
      </c>
      <c r="K4" s="55">
        <f t="shared" si="1"/>
        <v>-1.0188941696133611</v>
      </c>
      <c r="L4" s="54">
        <f>Entrate_Uscite!X5</f>
        <v>50266263.640000001</v>
      </c>
      <c r="M4" s="56">
        <f t="shared" si="2"/>
        <v>67.989349534670936</v>
      </c>
    </row>
    <row r="5" spans="1:13" x14ac:dyDescent="0.3">
      <c r="A5" s="4" t="s">
        <v>31</v>
      </c>
      <c r="B5" s="41">
        <f t="shared" ref="B5:I5" si="3">SUM(B2:B4)</f>
        <v>224862012.66000003</v>
      </c>
      <c r="C5" s="41">
        <f t="shared" si="3"/>
        <v>229173861.56</v>
      </c>
      <c r="D5" s="41">
        <f t="shared" si="3"/>
        <v>220740757.28999999</v>
      </c>
      <c r="E5" s="41">
        <f t="shared" si="3"/>
        <v>229401411.38</v>
      </c>
      <c r="F5" s="41">
        <f t="shared" si="3"/>
        <v>244111504.19</v>
      </c>
      <c r="G5" s="41">
        <f t="shared" ref="G5:H5" si="4">SUM(G2:G4)</f>
        <v>243159788.60999998</v>
      </c>
      <c r="H5" s="41">
        <f t="shared" si="4"/>
        <v>268566745.51999998</v>
      </c>
      <c r="I5" s="41">
        <f t="shared" si="3"/>
        <v>272296276.75999999</v>
      </c>
      <c r="J5" s="41">
        <f t="shared" si="0"/>
        <v>82.274590977092089</v>
      </c>
      <c r="K5" s="42">
        <f t="shared" si="1"/>
        <v>1.3886794631922328</v>
      </c>
      <c r="L5" s="41">
        <f>SUM(L2:L4)</f>
        <v>203692383.13999999</v>
      </c>
      <c r="M5" s="43">
        <f>IF(I5&gt;0,L5/I5*100,"-")</f>
        <v>74.805423549559961</v>
      </c>
    </row>
    <row r="6" spans="1:13" x14ac:dyDescent="0.3">
      <c r="A6" s="53" t="s">
        <v>23</v>
      </c>
      <c r="B6" s="54">
        <f>Entrate_Uscite!B6</f>
        <v>19678.55</v>
      </c>
      <c r="C6" s="54">
        <f>Entrate_Uscite!E6</f>
        <v>24955.39</v>
      </c>
      <c r="D6" s="108">
        <f>Entrate_Uscite!H6</f>
        <v>12653.22</v>
      </c>
      <c r="E6" s="108">
        <f>Entrate_Uscite!K6</f>
        <v>4102.13</v>
      </c>
      <c r="F6" s="108">
        <f>Entrate_Uscite!N6</f>
        <v>11010.87</v>
      </c>
      <c r="G6" s="108">
        <f>Entrate_Uscite!Q6</f>
        <v>12397.33</v>
      </c>
      <c r="H6" s="108">
        <f>Entrate_Uscite!T6</f>
        <v>4164.17</v>
      </c>
      <c r="I6" s="54">
        <f>Entrate_Uscite!W6</f>
        <v>17811.310000000001</v>
      </c>
      <c r="J6" s="54">
        <f t="shared" si="0"/>
        <v>5.3817050400134531E-3</v>
      </c>
      <c r="K6" s="55">
        <f t="shared" si="1"/>
        <v>327.72773445848753</v>
      </c>
      <c r="L6" s="54">
        <f>Entrate_Uscite!X6</f>
        <v>17811.310000000001</v>
      </c>
      <c r="M6" s="56">
        <f t="shared" si="2"/>
        <v>100</v>
      </c>
    </row>
    <row r="7" spans="1:13" x14ac:dyDescent="0.3">
      <c r="A7" s="53" t="s">
        <v>24</v>
      </c>
      <c r="B7" s="54">
        <f>Entrate_Uscite!B7</f>
        <v>4039527.9</v>
      </c>
      <c r="C7" s="54">
        <f>Entrate_Uscite!E7</f>
        <v>12635591.01</v>
      </c>
      <c r="D7" s="108">
        <f>Entrate_Uscite!H7</f>
        <v>8433316.25</v>
      </c>
      <c r="E7" s="108">
        <f>Entrate_Uscite!K7</f>
        <v>7493574.3799999999</v>
      </c>
      <c r="F7" s="108">
        <f>Entrate_Uscite!N7</f>
        <v>17101684.079999998</v>
      </c>
      <c r="G7" s="108">
        <f>Entrate_Uscite!Q7</f>
        <v>17995985.57</v>
      </c>
      <c r="H7" s="108">
        <f>Entrate_Uscite!T7</f>
        <v>16588863.82</v>
      </c>
      <c r="I7" s="54">
        <f>Entrate_Uscite!W7</f>
        <v>30383745.48</v>
      </c>
      <c r="J7" s="54">
        <f t="shared" si="0"/>
        <v>9.1804789307581522</v>
      </c>
      <c r="K7" s="55">
        <f t="shared" si="1"/>
        <v>83.157483295320702</v>
      </c>
      <c r="L7" s="54">
        <f>Entrate_Uscite!X7</f>
        <v>11808424.720000001</v>
      </c>
      <c r="M7" s="56">
        <f t="shared" si="2"/>
        <v>38.864282640113792</v>
      </c>
    </row>
    <row r="8" spans="1:13" x14ac:dyDescent="0.3">
      <c r="A8" s="53" t="s">
        <v>25</v>
      </c>
      <c r="B8" s="54">
        <f>Entrate_Uscite!B8</f>
        <v>1685979.87</v>
      </c>
      <c r="C8" s="54">
        <f>Entrate_Uscite!E8</f>
        <v>1472189.98</v>
      </c>
      <c r="D8" s="108">
        <f>Entrate_Uscite!H8</f>
        <v>1374569.43</v>
      </c>
      <c r="E8" s="108">
        <f>Entrate_Uscite!K8</f>
        <v>1212997.22</v>
      </c>
      <c r="F8" s="108">
        <f>Entrate_Uscite!N8</f>
        <v>1083849.71</v>
      </c>
      <c r="G8" s="108">
        <f>Entrate_Uscite!Q8</f>
        <v>1246830.54</v>
      </c>
      <c r="H8" s="108">
        <f>Entrate_Uscite!T8</f>
        <v>2851481.42</v>
      </c>
      <c r="I8" s="54">
        <f>Entrate_Uscite!W8</f>
        <v>1292666.45</v>
      </c>
      <c r="J8" s="54">
        <f t="shared" si="0"/>
        <v>0.39058045416206327</v>
      </c>
      <c r="K8" s="55">
        <f t="shared" si="1"/>
        <v>-54.666846470281406</v>
      </c>
      <c r="L8" s="54">
        <f>Entrate_Uscite!X8</f>
        <v>1273867.6399999999</v>
      </c>
      <c r="M8" s="56">
        <f t="shared" si="2"/>
        <v>98.545733897557255</v>
      </c>
    </row>
    <row r="9" spans="1:13" x14ac:dyDescent="0.3">
      <c r="A9" s="53" t="s">
        <v>26</v>
      </c>
      <c r="B9" s="54">
        <f>Entrate_Uscite!B9</f>
        <v>5572101.4500000002</v>
      </c>
      <c r="C9" s="54">
        <f>Entrate_Uscite!E9</f>
        <v>5614333.8600000003</v>
      </c>
      <c r="D9" s="108">
        <f>Entrate_Uscite!H9</f>
        <v>3618295.48</v>
      </c>
      <c r="E9" s="108">
        <f>Entrate_Uscite!K9</f>
        <v>5271435.9400000004</v>
      </c>
      <c r="F9" s="108">
        <f>Entrate_Uscite!N9</f>
        <v>6523412.7300000004</v>
      </c>
      <c r="G9" s="108">
        <f>Entrate_Uscite!Q9</f>
        <v>4358421.26</v>
      </c>
      <c r="H9" s="108">
        <f>Entrate_Uscite!T9</f>
        <v>7324924.96</v>
      </c>
      <c r="I9" s="54">
        <f>Entrate_Uscite!W9</f>
        <v>4940892.7699999996</v>
      </c>
      <c r="J9" s="54">
        <f t="shared" si="0"/>
        <v>1.4928956669933335</v>
      </c>
      <c r="K9" s="55">
        <f t="shared" si="1"/>
        <v>-32.546847961156459</v>
      </c>
      <c r="L9" s="54">
        <f>Entrate_Uscite!X9</f>
        <v>4804167.91</v>
      </c>
      <c r="M9" s="56">
        <f t="shared" si="2"/>
        <v>97.232790380917351</v>
      </c>
    </row>
    <row r="10" spans="1:13" x14ac:dyDescent="0.3">
      <c r="A10" s="53" t="s">
        <v>27</v>
      </c>
      <c r="B10" s="54">
        <f>Entrate_Uscite!B10</f>
        <v>38059188.039999999</v>
      </c>
      <c r="C10" s="54">
        <f>Entrate_Uscite!E10</f>
        <v>29808871.920000002</v>
      </c>
      <c r="D10" s="108">
        <f>Entrate_Uscite!H10</f>
        <v>41064025.619999997</v>
      </c>
      <c r="E10" s="108">
        <f>Entrate_Uscite!K10</f>
        <v>24468427.760000002</v>
      </c>
      <c r="F10" s="108">
        <f>Entrate_Uscite!N10</f>
        <v>17062012.460000001</v>
      </c>
      <c r="G10" s="108">
        <f>Entrate_Uscite!Q10</f>
        <v>13171031.09</v>
      </c>
      <c r="H10" s="108">
        <f>Entrate_Uscite!T10</f>
        <v>12975901.119999999</v>
      </c>
      <c r="I10" s="54">
        <f>Entrate_Uscite!W10</f>
        <v>19841026.960000001</v>
      </c>
      <c r="J10" s="54">
        <f t="shared" si="0"/>
        <v>5.9949860391894152</v>
      </c>
      <c r="K10" s="55">
        <f t="shared" si="1"/>
        <v>52.906736699917161</v>
      </c>
      <c r="L10" s="54">
        <f>Entrate_Uscite!X10</f>
        <v>18709785.190000001</v>
      </c>
      <c r="M10" s="56">
        <f t="shared" si="2"/>
        <v>94.298471685560372</v>
      </c>
    </row>
    <row r="11" spans="1:13" x14ac:dyDescent="0.3">
      <c r="A11" s="4" t="s">
        <v>32</v>
      </c>
      <c r="B11" s="44">
        <f t="shared" ref="B11:I11" si="5">SUM(B6:B10)</f>
        <v>49376475.810000002</v>
      </c>
      <c r="C11" s="44">
        <f t="shared" si="5"/>
        <v>49555942.160000004</v>
      </c>
      <c r="D11" s="44">
        <f t="shared" si="5"/>
        <v>54502860</v>
      </c>
      <c r="E11" s="44">
        <f t="shared" si="5"/>
        <v>38450537.430000007</v>
      </c>
      <c r="F11" s="44">
        <f t="shared" si="5"/>
        <v>41781969.850000001</v>
      </c>
      <c r="G11" s="44">
        <f t="shared" ref="G11" si="6">SUM(G6:G10)</f>
        <v>36784665.789999992</v>
      </c>
      <c r="H11" s="44">
        <f t="shared" ref="H11" si="7">SUM(H6:H10)</f>
        <v>39745335.490000002</v>
      </c>
      <c r="I11" s="44">
        <f t="shared" si="5"/>
        <v>56476142.969999999</v>
      </c>
      <c r="J11" s="44">
        <f t="shared" si="0"/>
        <v>17.064322796142978</v>
      </c>
      <c r="K11" s="42">
        <f t="shared" si="1"/>
        <v>42.095021399956465</v>
      </c>
      <c r="L11" s="44">
        <f>SUM(L6:L10)</f>
        <v>36614056.770000003</v>
      </c>
      <c r="M11" s="43">
        <f>IF(I11&gt;0,L11/I11*100,"-")</f>
        <v>64.831015087997969</v>
      </c>
    </row>
    <row r="12" spans="1:13" x14ac:dyDescent="0.3">
      <c r="A12" s="53" t="s">
        <v>28</v>
      </c>
      <c r="B12" s="54">
        <f>Entrate_Uscite!B11</f>
        <v>0</v>
      </c>
      <c r="C12" s="54">
        <f>Entrate_Uscite!E11</f>
        <v>0</v>
      </c>
      <c r="D12" s="108">
        <f>Entrate_Uscite!H11</f>
        <v>0</v>
      </c>
      <c r="E12" s="108">
        <f>Entrate_Uscite!K11</f>
        <v>0</v>
      </c>
      <c r="F12" s="108">
        <f>Entrate_Uscite!N11</f>
        <v>26432.14</v>
      </c>
      <c r="G12" s="108">
        <f>Entrate_Uscite!Q11</f>
        <v>1236046.49</v>
      </c>
      <c r="H12" s="108">
        <f>Entrate_Uscite!T11</f>
        <v>150931.74</v>
      </c>
      <c r="I12" s="54">
        <f>Entrate_Uscite!W11</f>
        <v>0</v>
      </c>
      <c r="J12" s="54">
        <f t="shared" si="0"/>
        <v>0</v>
      </c>
      <c r="K12" s="55">
        <f t="shared" si="1"/>
        <v>-100</v>
      </c>
      <c r="L12" s="54">
        <f>Entrate_Uscite!X11</f>
        <v>0</v>
      </c>
      <c r="M12" s="56" t="str">
        <f t="shared" si="2"/>
        <v>-</v>
      </c>
    </row>
    <row r="13" spans="1:13" x14ac:dyDescent="0.3">
      <c r="A13" s="53" t="s">
        <v>29</v>
      </c>
      <c r="B13" s="54">
        <f>Entrate_Uscite!B12</f>
        <v>0</v>
      </c>
      <c r="C13" s="54">
        <f>Entrate_Uscite!E12</f>
        <v>4377405.55</v>
      </c>
      <c r="D13" s="108">
        <f>Entrate_Uscite!H12</f>
        <v>0</v>
      </c>
      <c r="E13" s="108">
        <f>Entrate_Uscite!K12</f>
        <v>0</v>
      </c>
      <c r="F13" s="108">
        <f>Entrate_Uscite!N12</f>
        <v>0</v>
      </c>
      <c r="G13" s="108">
        <f>Entrate_Uscite!Q12</f>
        <v>46074.45</v>
      </c>
      <c r="H13" s="108">
        <f>Entrate_Uscite!T12</f>
        <v>0</v>
      </c>
      <c r="I13" s="54">
        <f>Entrate_Uscite!W12</f>
        <v>0</v>
      </c>
      <c r="J13" s="54">
        <f t="shared" si="0"/>
        <v>0</v>
      </c>
      <c r="K13" s="55" t="str">
        <f t="shared" si="1"/>
        <v>-</v>
      </c>
      <c r="L13" s="54">
        <f>Entrate_Uscite!X12</f>
        <v>0</v>
      </c>
      <c r="M13" s="56" t="str">
        <f t="shared" si="2"/>
        <v>-</v>
      </c>
    </row>
    <row r="14" spans="1:13" x14ac:dyDescent="0.3">
      <c r="A14" s="53" t="s">
        <v>30</v>
      </c>
      <c r="B14" s="54">
        <f>Entrate_Uscite!B13</f>
        <v>74900.91</v>
      </c>
      <c r="C14" s="54">
        <f>Entrate_Uscite!E13</f>
        <v>0</v>
      </c>
      <c r="D14" s="108">
        <f>Entrate_Uscite!H13</f>
        <v>0</v>
      </c>
      <c r="E14" s="108">
        <f>Entrate_Uscite!K13</f>
        <v>11831.47</v>
      </c>
      <c r="F14" s="108">
        <f>Entrate_Uscite!N13</f>
        <v>0</v>
      </c>
      <c r="G14" s="108">
        <f>Entrate_Uscite!Q13</f>
        <v>0</v>
      </c>
      <c r="H14" s="108">
        <f>Entrate_Uscite!T13</f>
        <v>0</v>
      </c>
      <c r="I14" s="54">
        <f>Entrate_Uscite!W13</f>
        <v>907933.31</v>
      </c>
      <c r="J14" s="54">
        <f t="shared" si="0"/>
        <v>0.27433295307437222</v>
      </c>
      <c r="K14" s="55" t="str">
        <f t="shared" si="1"/>
        <v>-</v>
      </c>
      <c r="L14" s="54">
        <f>Entrate_Uscite!X13</f>
        <v>163039.37</v>
      </c>
      <c r="M14" s="56">
        <f t="shared" si="2"/>
        <v>17.957196657979207</v>
      </c>
    </row>
    <row r="15" spans="1:13" x14ac:dyDescent="0.3">
      <c r="A15" s="4" t="s">
        <v>33</v>
      </c>
      <c r="B15" s="41">
        <f t="shared" ref="B15:I15" si="8">SUM(B12:B14)</f>
        <v>74900.91</v>
      </c>
      <c r="C15" s="41">
        <f t="shared" si="8"/>
        <v>4377405.55</v>
      </c>
      <c r="D15" s="41">
        <f t="shared" si="8"/>
        <v>0</v>
      </c>
      <c r="E15" s="41">
        <f t="shared" si="8"/>
        <v>11831.47</v>
      </c>
      <c r="F15" s="41">
        <f t="shared" si="8"/>
        <v>26432.14</v>
      </c>
      <c r="G15" s="41">
        <f t="shared" ref="G15" si="9">SUM(G12:G14)</f>
        <v>1282120.94</v>
      </c>
      <c r="H15" s="41">
        <f t="shared" ref="H15" si="10">SUM(H12:H14)</f>
        <v>150931.74</v>
      </c>
      <c r="I15" s="41">
        <f t="shared" si="8"/>
        <v>907933.31</v>
      </c>
      <c r="J15" s="41">
        <f t="shared" si="0"/>
        <v>0.27433295307437222</v>
      </c>
      <c r="K15" s="42">
        <f t="shared" si="1"/>
        <v>501.5522712452663</v>
      </c>
      <c r="L15" s="41">
        <f>SUM(L12:L14)</f>
        <v>163039.37</v>
      </c>
      <c r="M15" s="43">
        <f t="shared" si="2"/>
        <v>17.957196657979207</v>
      </c>
    </row>
    <row r="16" spans="1:13" x14ac:dyDescent="0.3">
      <c r="A16" s="45" t="s">
        <v>348</v>
      </c>
      <c r="B16" s="46">
        <f>B5+B11+B15</f>
        <v>274313389.38000005</v>
      </c>
      <c r="C16" s="46">
        <f t="shared" ref="C16:I16" si="11">C5+C11+C15</f>
        <v>283107209.27000004</v>
      </c>
      <c r="D16" s="46">
        <f t="shared" si="11"/>
        <v>275243617.28999996</v>
      </c>
      <c r="E16" s="46">
        <f t="shared" si="11"/>
        <v>267863780.28</v>
      </c>
      <c r="F16" s="46">
        <f t="shared" ref="F16:H16" si="12">F5+F11+F15</f>
        <v>285919906.18000001</v>
      </c>
      <c r="G16" s="46">
        <f t="shared" si="12"/>
        <v>281226575.33999997</v>
      </c>
      <c r="H16" s="46">
        <f t="shared" si="12"/>
        <v>308463012.75</v>
      </c>
      <c r="I16" s="46">
        <f t="shared" si="11"/>
        <v>329680353.04000002</v>
      </c>
      <c r="J16" s="46">
        <f t="shared" si="0"/>
        <v>99.613246726309441</v>
      </c>
      <c r="K16" s="47">
        <f t="shared" si="1"/>
        <v>6.8784066202439647</v>
      </c>
      <c r="L16" s="46">
        <f t="shared" ref="L16" si="13">L5+L11+L15</f>
        <v>240469479.28</v>
      </c>
      <c r="M16" s="48">
        <f t="shared" si="2"/>
        <v>72.940191025221296</v>
      </c>
    </row>
    <row r="17" spans="1:13" x14ac:dyDescent="0.3">
      <c r="A17" s="4" t="s">
        <v>34</v>
      </c>
      <c r="B17" s="41">
        <f>Entrate_Uscite!B17</f>
        <v>196499.69</v>
      </c>
      <c r="C17" s="41">
        <f>Entrate_Uscite!E17</f>
        <v>3862307.15</v>
      </c>
      <c r="D17" s="41">
        <f>Entrate_Uscite!H17</f>
        <v>0</v>
      </c>
      <c r="E17" s="41">
        <f>Entrate_Uscite!K17</f>
        <v>0</v>
      </c>
      <c r="F17" s="41">
        <f>Entrate_Uscite!N17</f>
        <v>3638767.98</v>
      </c>
      <c r="G17" s="41">
        <f>Entrate_Uscite!Q17</f>
        <v>3991278.08</v>
      </c>
      <c r="H17" s="41">
        <f>Entrate_Uscite!T17</f>
        <v>900000</v>
      </c>
      <c r="I17" s="41">
        <f>Entrate_Uscite!W17</f>
        <v>1280000</v>
      </c>
      <c r="J17" s="41">
        <f t="shared" si="0"/>
        <v>0.38675327369054946</v>
      </c>
      <c r="K17" s="42">
        <f t="shared" si="1"/>
        <v>42.222222222222229</v>
      </c>
      <c r="L17" s="41">
        <f>Entrate_Uscite!X17</f>
        <v>1280000</v>
      </c>
      <c r="M17" s="43">
        <f t="shared" si="2"/>
        <v>100</v>
      </c>
    </row>
    <row r="18" spans="1:13" x14ac:dyDescent="0.3">
      <c r="A18" s="4" t="s">
        <v>35</v>
      </c>
      <c r="B18" s="41">
        <f>Entrate_Uscite!B18</f>
        <v>0</v>
      </c>
      <c r="C18" s="41">
        <f>Entrate_Uscite!E18</f>
        <v>0</v>
      </c>
      <c r="D18" s="41">
        <f>Entrate_Uscite!H18</f>
        <v>0</v>
      </c>
      <c r="E18" s="41">
        <f>Entrate_Uscite!K18</f>
        <v>0</v>
      </c>
      <c r="F18" s="41">
        <f>Entrate_Uscite!N18</f>
        <v>0</v>
      </c>
      <c r="G18" s="41">
        <f>Entrate_Uscite!Q18</f>
        <v>0</v>
      </c>
      <c r="H18" s="41">
        <f>Entrate_Uscite!T18</f>
        <v>0</v>
      </c>
      <c r="I18" s="41">
        <f>Entrate_Uscite!W18</f>
        <v>0</v>
      </c>
      <c r="J18" s="41">
        <f t="shared" si="0"/>
        <v>0</v>
      </c>
      <c r="K18" s="42" t="str">
        <f t="shared" si="1"/>
        <v>-</v>
      </c>
      <c r="L18" s="41">
        <f>Entrate_Uscite!X18</f>
        <v>0</v>
      </c>
      <c r="M18" s="43" t="str">
        <f t="shared" si="2"/>
        <v>-</v>
      </c>
    </row>
    <row r="19" spans="1:13" x14ac:dyDescent="0.3">
      <c r="A19" s="4" t="s">
        <v>36</v>
      </c>
      <c r="B19" s="41">
        <f>Entrate_Uscite!B19</f>
        <v>32534689.379999999</v>
      </c>
      <c r="C19" s="41">
        <f>Entrate_Uscite!E19</f>
        <v>29074150.050000001</v>
      </c>
      <c r="D19" s="41">
        <f>Entrate_Uscite!H19</f>
        <v>31809047.370000001</v>
      </c>
      <c r="E19" s="41">
        <f>Entrate_Uscite!K19</f>
        <v>31367309.399999999</v>
      </c>
      <c r="F19" s="41">
        <f>Entrate_Uscite!N19</f>
        <v>30584257.300000001</v>
      </c>
      <c r="G19" s="41">
        <f>Entrate_Uscite!Q19</f>
        <v>30828057.739999998</v>
      </c>
      <c r="H19" s="41">
        <f>Entrate_Uscite!T19</f>
        <v>32425011.809999999</v>
      </c>
      <c r="I19" s="41">
        <f>Entrate_Uscite!W19</f>
        <v>44186092.770000003</v>
      </c>
      <c r="J19" s="41"/>
      <c r="K19" s="42">
        <f t="shared" si="1"/>
        <v>36.271632000987722</v>
      </c>
      <c r="L19" s="41">
        <f>Entrate_Uscite!X19</f>
        <v>38310009.609999999</v>
      </c>
      <c r="M19" s="43">
        <f t="shared" si="2"/>
        <v>86.701509928505033</v>
      </c>
    </row>
    <row r="20" spans="1:13" x14ac:dyDescent="0.3">
      <c r="A20" s="45" t="s">
        <v>37</v>
      </c>
      <c r="B20" s="46">
        <f t="shared" ref="B20:I20" si="14">B5+B11+B15+B17+B18+B19</f>
        <v>307044578.45000005</v>
      </c>
      <c r="C20" s="46">
        <f t="shared" si="14"/>
        <v>316043666.47000003</v>
      </c>
      <c r="D20" s="46">
        <f t="shared" si="14"/>
        <v>307052664.65999997</v>
      </c>
      <c r="E20" s="46">
        <f t="shared" si="14"/>
        <v>299231089.68000001</v>
      </c>
      <c r="F20" s="46">
        <f t="shared" si="14"/>
        <v>320142931.46000004</v>
      </c>
      <c r="G20" s="46">
        <f t="shared" ref="G20:H20" si="15">G5+G11+G15+G17+G18+G19</f>
        <v>316045911.15999997</v>
      </c>
      <c r="H20" s="46">
        <f t="shared" si="15"/>
        <v>341788024.56</v>
      </c>
      <c r="I20" s="46">
        <f t="shared" si="14"/>
        <v>375146445.81</v>
      </c>
      <c r="J20" s="46"/>
      <c r="K20" s="47">
        <f t="shared" si="1"/>
        <v>9.7599736833798829</v>
      </c>
      <c r="L20" s="46">
        <f>L5+L11+L15+L17+L18+L19</f>
        <v>280059488.88999999</v>
      </c>
      <c r="M20" s="48">
        <f t="shared" si="2"/>
        <v>74.653376572796162</v>
      </c>
    </row>
    <row r="21" spans="1:13" x14ac:dyDescent="0.3">
      <c r="A21" s="36" t="s">
        <v>38</v>
      </c>
      <c r="B21" s="49">
        <f t="shared" ref="B21:I21" si="16">B20-B19</f>
        <v>274509889.07000005</v>
      </c>
      <c r="C21" s="49">
        <f t="shared" si="16"/>
        <v>286969516.42000002</v>
      </c>
      <c r="D21" s="49">
        <f t="shared" si="16"/>
        <v>275243617.28999996</v>
      </c>
      <c r="E21" s="49">
        <f t="shared" si="16"/>
        <v>267863780.28</v>
      </c>
      <c r="F21" s="49">
        <f t="shared" si="16"/>
        <v>289558674.16000003</v>
      </c>
      <c r="G21" s="49">
        <f t="shared" ref="G21:H21" si="17">G20-G19</f>
        <v>285217853.41999996</v>
      </c>
      <c r="H21" s="49">
        <f t="shared" si="17"/>
        <v>309363012.75</v>
      </c>
      <c r="I21" s="49">
        <f t="shared" si="16"/>
        <v>330960353.04000002</v>
      </c>
      <c r="J21" s="49">
        <f t="shared" si="0"/>
        <v>100</v>
      </c>
      <c r="K21" s="50">
        <f t="shared" si="1"/>
        <v>6.9812289769278522</v>
      </c>
      <c r="L21" s="49">
        <f>L20-L19</f>
        <v>241749479.27999997</v>
      </c>
      <c r="M21" s="51">
        <f t="shared" si="2"/>
        <v>73.044845722285658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K1" sqref="K1:K31"/>
    </sheetView>
  </sheetViews>
  <sheetFormatPr defaultRowHeight="14.4" x14ac:dyDescent="0.3"/>
  <cols>
    <col min="1" max="1" width="50.6640625" bestFit="1" customWidth="1"/>
    <col min="2" max="3" width="12.5546875" bestFit="1" customWidth="1"/>
    <col min="4" max="8" width="12.5546875" style="99" bestFit="1" customWidth="1"/>
    <col min="9" max="9" width="12.5546875" bestFit="1" customWidth="1"/>
    <col min="10" max="10" width="8.5546875" customWidth="1"/>
    <col min="11" max="11" width="6.5546875" style="99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09">
        <v>2018</v>
      </c>
      <c r="E1" s="109">
        <v>2019</v>
      </c>
      <c r="F1" s="109">
        <v>2020</v>
      </c>
      <c r="G1" s="109">
        <v>2021</v>
      </c>
      <c r="H1" s="109">
        <v>2022</v>
      </c>
      <c r="I1" s="40">
        <v>2023</v>
      </c>
      <c r="J1" s="52" t="s">
        <v>297</v>
      </c>
      <c r="K1" s="109" t="s">
        <v>233</v>
      </c>
      <c r="L1" s="110" t="s">
        <v>367</v>
      </c>
      <c r="M1" s="40" t="s">
        <v>339</v>
      </c>
    </row>
    <row r="2" spans="1:13" x14ac:dyDescent="0.3">
      <c r="A2" s="57" t="s">
        <v>270</v>
      </c>
      <c r="B2" s="54">
        <f>Entrate_Uscite!B23</f>
        <v>58628196.229999997</v>
      </c>
      <c r="C2" s="54">
        <f>Entrate_Uscite!E23</f>
        <v>57936829.549999997</v>
      </c>
      <c r="D2" s="108">
        <f>Entrate_Uscite!H23</f>
        <v>57805999.090000004</v>
      </c>
      <c r="E2" s="108">
        <f>Entrate_Uscite!K23</f>
        <v>58057244.590000004</v>
      </c>
      <c r="F2" s="108">
        <f>Entrate_Uscite!N23</f>
        <v>56597851.859999999</v>
      </c>
      <c r="G2" s="108">
        <f>Entrate_Uscite!Q23</f>
        <v>55496434.600000001</v>
      </c>
      <c r="H2" s="108">
        <f>Entrate_Uscite!T23</f>
        <v>56826266.469999999</v>
      </c>
      <c r="I2" s="54">
        <f>Entrate_Uscite!W23</f>
        <v>56394425.479999997</v>
      </c>
      <c r="J2" s="54">
        <f t="shared" ref="J2:J28" si="0">I2/I$31*100</f>
        <v>18.717123018365324</v>
      </c>
      <c r="K2" s="55">
        <f>IF(H2&gt;0,I2/H2*100-100,"-")</f>
        <v>-0.75993201177132619</v>
      </c>
      <c r="L2" s="54">
        <f>Entrate_Uscite!X23</f>
        <v>55602766.310000002</v>
      </c>
      <c r="M2" s="56">
        <f t="shared" ref="M2:M31" si="1">IF(I2&gt;0,L2/I2*100,"-")</f>
        <v>98.596210240175679</v>
      </c>
    </row>
    <row r="3" spans="1:13" x14ac:dyDescent="0.3">
      <c r="A3" s="57" t="s">
        <v>271</v>
      </c>
      <c r="B3" s="54">
        <f>Entrate_Uscite!B24</f>
        <v>3055289.56</v>
      </c>
      <c r="C3" s="54">
        <f>Entrate_Uscite!E24</f>
        <v>2983572.13</v>
      </c>
      <c r="D3" s="108">
        <f>Entrate_Uscite!H24</f>
        <v>2965579.59</v>
      </c>
      <c r="E3" s="108">
        <f>Entrate_Uscite!K24</f>
        <v>2967483.64</v>
      </c>
      <c r="F3" s="108">
        <f>Entrate_Uscite!N24</f>
        <v>2857148.33</v>
      </c>
      <c r="G3" s="108">
        <f>Entrate_Uscite!Q24</f>
        <v>2833709.56</v>
      </c>
      <c r="H3" s="108">
        <f>Entrate_Uscite!T24</f>
        <v>3030649.64</v>
      </c>
      <c r="I3" s="54">
        <f>Entrate_Uscite!W24</f>
        <v>3075520.25</v>
      </c>
      <c r="J3" s="54">
        <f t="shared" si="0"/>
        <v>1.0207549837552434</v>
      </c>
      <c r="K3" s="55">
        <f t="shared" ref="K3:K31" si="2">IF(H3&gt;0,I3/H3*100-100,"-")</f>
        <v>1.4805607816811062</v>
      </c>
      <c r="L3" s="54">
        <f>Entrate_Uscite!X24</f>
        <v>3016310.83</v>
      </c>
      <c r="M3" s="56">
        <f t="shared" si="1"/>
        <v>98.074816122573083</v>
      </c>
    </row>
    <row r="4" spans="1:13" x14ac:dyDescent="0.3">
      <c r="A4" s="57" t="s">
        <v>272</v>
      </c>
      <c r="B4" s="54">
        <f>Entrate_Uscite!B25</f>
        <v>119422310.93000001</v>
      </c>
      <c r="C4" s="54">
        <f>Entrate_Uscite!E25</f>
        <v>132666754.91</v>
      </c>
      <c r="D4" s="108">
        <f>Entrate_Uscite!H25</f>
        <v>118502458.68000001</v>
      </c>
      <c r="E4" s="108">
        <f>Entrate_Uscite!K25</f>
        <v>119524545.17</v>
      </c>
      <c r="F4" s="108">
        <f>Entrate_Uscite!N25</f>
        <v>115275687.68000001</v>
      </c>
      <c r="G4" s="108">
        <f>Entrate_Uscite!Q25</f>
        <v>123975807.76000001</v>
      </c>
      <c r="H4" s="108">
        <f>Entrate_Uscite!T25</f>
        <v>143000441.19999999</v>
      </c>
      <c r="I4" s="54">
        <f>Entrate_Uscite!W25</f>
        <v>143222261.86000001</v>
      </c>
      <c r="J4" s="54">
        <f t="shared" si="0"/>
        <v>47.534994308131616</v>
      </c>
      <c r="K4" s="55">
        <f t="shared" si="2"/>
        <v>0.15511886406684994</v>
      </c>
      <c r="L4" s="54">
        <f>Entrate_Uscite!X25</f>
        <v>101015621.06999999</v>
      </c>
      <c r="M4" s="56">
        <f t="shared" si="1"/>
        <v>70.530670133350455</v>
      </c>
    </row>
    <row r="5" spans="1:13" x14ac:dyDescent="0.3">
      <c r="A5" s="57" t="s">
        <v>273</v>
      </c>
      <c r="B5" s="54">
        <f>Entrate_Uscite!B26</f>
        <v>23087611.059999999</v>
      </c>
      <c r="C5" s="54">
        <f>Entrate_Uscite!E26</f>
        <v>22268390.649999999</v>
      </c>
      <c r="D5" s="108">
        <f>Entrate_Uscite!H26</f>
        <v>23058332.91</v>
      </c>
      <c r="E5" s="108">
        <f>Entrate_Uscite!K26</f>
        <v>21433582.879999999</v>
      </c>
      <c r="F5" s="108">
        <f>Entrate_Uscite!N26</f>
        <v>24245055.789999999</v>
      </c>
      <c r="G5" s="108">
        <f>Entrate_Uscite!Q26</f>
        <v>30574011.48</v>
      </c>
      <c r="H5" s="108">
        <f>Entrate_Uscite!T26</f>
        <v>28998981.600000001</v>
      </c>
      <c r="I5" s="54">
        <f>Entrate_Uscite!W26</f>
        <v>29657571.899999999</v>
      </c>
      <c r="J5" s="54">
        <f t="shared" si="0"/>
        <v>9.8432498771563814</v>
      </c>
      <c r="K5" s="55">
        <f t="shared" si="2"/>
        <v>2.2710807885749915</v>
      </c>
      <c r="L5" s="54">
        <f>Entrate_Uscite!X26</f>
        <v>24077962.129999999</v>
      </c>
      <c r="M5" s="56">
        <f t="shared" si="1"/>
        <v>81.186559072288716</v>
      </c>
    </row>
    <row r="6" spans="1:13" x14ac:dyDescent="0.3">
      <c r="A6" s="57" t="s">
        <v>274</v>
      </c>
      <c r="B6" s="54">
        <f>Entrate_Uscite!B27</f>
        <v>322519.92</v>
      </c>
      <c r="C6" s="54">
        <f>Entrate_Uscite!E27</f>
        <v>217043.12</v>
      </c>
      <c r="D6" s="108">
        <f>Entrate_Uscite!H27</f>
        <v>247044.54</v>
      </c>
      <c r="E6" s="108">
        <f>Entrate_Uscite!K27</f>
        <v>191731.12</v>
      </c>
      <c r="F6" s="108">
        <f>Entrate_Uscite!N27</f>
        <v>197642.32</v>
      </c>
      <c r="G6" s="108">
        <f>Entrate_Uscite!Q27</f>
        <v>251517.83</v>
      </c>
      <c r="H6" s="108">
        <f>Entrate_Uscite!T27</f>
        <v>292831.11</v>
      </c>
      <c r="I6" s="54">
        <f>Entrate_Uscite!W27</f>
        <v>289192.14</v>
      </c>
      <c r="J6" s="54">
        <f t="shared" si="0"/>
        <v>9.5981913358510348E-2</v>
      </c>
      <c r="K6" s="55">
        <f t="shared" si="2"/>
        <v>-1.2426855876071272</v>
      </c>
      <c r="L6" s="54">
        <f>Entrate_Uscite!X27</f>
        <v>151801.76999999999</v>
      </c>
      <c r="M6" s="56">
        <f t="shared" si="1"/>
        <v>52.491665229905614</v>
      </c>
    </row>
    <row r="7" spans="1:13" x14ac:dyDescent="0.3">
      <c r="A7" s="57" t="s">
        <v>275</v>
      </c>
      <c r="B7" s="54">
        <f>Entrate_Uscite!B28</f>
        <v>0</v>
      </c>
      <c r="C7" s="54">
        <f>Entrate_Uscite!E28</f>
        <v>0</v>
      </c>
      <c r="D7" s="108">
        <f>Entrate_Uscite!H28</f>
        <v>0</v>
      </c>
      <c r="E7" s="108">
        <f>Entrate_Uscite!K28</f>
        <v>0</v>
      </c>
      <c r="F7" s="108">
        <f>Entrate_Uscite!N28</f>
        <v>0</v>
      </c>
      <c r="G7" s="108">
        <f>Entrate_Uscite!Q28</f>
        <v>0</v>
      </c>
      <c r="H7" s="108">
        <f>Entrate_Uscite!T28</f>
        <v>0</v>
      </c>
      <c r="I7" s="54">
        <f>Entrate_Uscite!W28</f>
        <v>0</v>
      </c>
      <c r="J7" s="54">
        <f t="shared" si="0"/>
        <v>0</v>
      </c>
      <c r="K7" s="55" t="str">
        <f t="shared" si="2"/>
        <v>-</v>
      </c>
      <c r="L7" s="54">
        <f>Entrate_Uscite!X28</f>
        <v>0</v>
      </c>
      <c r="M7" s="56" t="str">
        <f t="shared" si="1"/>
        <v>-</v>
      </c>
    </row>
    <row r="8" spans="1:13" x14ac:dyDescent="0.3">
      <c r="A8" s="57" t="s">
        <v>276</v>
      </c>
      <c r="B8" s="54">
        <f>Entrate_Uscite!B29</f>
        <v>196564.51</v>
      </c>
      <c r="C8" s="54">
        <f>Entrate_Uscite!E29</f>
        <v>337368.72</v>
      </c>
      <c r="D8" s="108">
        <f>Entrate_Uscite!H29</f>
        <v>578498.17000000004</v>
      </c>
      <c r="E8" s="108">
        <f>Entrate_Uscite!K29</f>
        <v>551883.98</v>
      </c>
      <c r="F8" s="108">
        <f>Entrate_Uscite!N29</f>
        <v>1219792.3799999999</v>
      </c>
      <c r="G8" s="108">
        <f>Entrate_Uscite!Q29</f>
        <v>1271560.97</v>
      </c>
      <c r="H8" s="108">
        <f>Entrate_Uscite!T29</f>
        <v>556316.19999999995</v>
      </c>
      <c r="I8" s="54">
        <f>Entrate_Uscite!W29</f>
        <v>755488.95</v>
      </c>
      <c r="J8" s="54">
        <f t="shared" si="0"/>
        <v>0.25074428005620053</v>
      </c>
      <c r="K8" s="55">
        <f t="shared" si="2"/>
        <v>35.802076229309876</v>
      </c>
      <c r="L8" s="54">
        <f>Entrate_Uscite!X29</f>
        <v>487072.22</v>
      </c>
      <c r="M8" s="56">
        <f t="shared" si="1"/>
        <v>64.471124296391096</v>
      </c>
    </row>
    <row r="9" spans="1:13" x14ac:dyDescent="0.3">
      <c r="A9" s="57" t="s">
        <v>277</v>
      </c>
      <c r="B9" s="54">
        <f>Entrate_Uscite!B30</f>
        <v>3436333.17</v>
      </c>
      <c r="C9" s="54">
        <f>Entrate_Uscite!E30</f>
        <v>3620831.3</v>
      </c>
      <c r="D9" s="108">
        <f>Entrate_Uscite!H30</f>
        <v>3498648.39</v>
      </c>
      <c r="E9" s="108">
        <f>Entrate_Uscite!K30</f>
        <v>3386215.81</v>
      </c>
      <c r="F9" s="108">
        <f>Entrate_Uscite!N30</f>
        <v>3174376.1</v>
      </c>
      <c r="G9" s="108">
        <f>Entrate_Uscite!Q30</f>
        <v>2629540.7000000002</v>
      </c>
      <c r="H9" s="108">
        <f>Entrate_Uscite!T30</f>
        <v>2873537.54</v>
      </c>
      <c r="I9" s="54">
        <f>Entrate_Uscite!W30</f>
        <v>3157832.47</v>
      </c>
      <c r="J9" s="54">
        <f t="shared" si="0"/>
        <v>1.0480741369258193</v>
      </c>
      <c r="K9" s="55">
        <f t="shared" si="2"/>
        <v>9.8935519735719311</v>
      </c>
      <c r="L9" s="54">
        <f>Entrate_Uscite!X30</f>
        <v>2743882.54</v>
      </c>
      <c r="M9" s="56">
        <f t="shared" si="1"/>
        <v>86.891327075372047</v>
      </c>
    </row>
    <row r="10" spans="1:13" x14ac:dyDescent="0.3">
      <c r="A10" s="4" t="s">
        <v>282</v>
      </c>
      <c r="B10" s="41">
        <f t="shared" ref="B10:I10" si="3">SUM(B2:B9)</f>
        <v>208148825.37999997</v>
      </c>
      <c r="C10" s="41">
        <f t="shared" si="3"/>
        <v>220030790.38000003</v>
      </c>
      <c r="D10" s="41">
        <f t="shared" si="3"/>
        <v>206656561.36999997</v>
      </c>
      <c r="E10" s="41">
        <f t="shared" si="3"/>
        <v>206112687.19</v>
      </c>
      <c r="F10" s="41">
        <f t="shared" si="3"/>
        <v>203567554.45999998</v>
      </c>
      <c r="G10" s="41">
        <f t="shared" ref="G10:H10" si="4">SUM(G2:G9)</f>
        <v>217032582.90000001</v>
      </c>
      <c r="H10" s="41">
        <f t="shared" si="4"/>
        <v>235579023.75999999</v>
      </c>
      <c r="I10" s="41">
        <f t="shared" si="3"/>
        <v>236552293.04999998</v>
      </c>
      <c r="J10" s="41">
        <f t="shared" si="0"/>
        <v>78.51092251774908</v>
      </c>
      <c r="K10" s="42">
        <f t="shared" si="2"/>
        <v>0.41313919824692391</v>
      </c>
      <c r="L10" s="41">
        <f>SUM(L2:L9)</f>
        <v>187095416.86999997</v>
      </c>
      <c r="M10" s="43">
        <f t="shared" si="1"/>
        <v>79.092624492316247</v>
      </c>
    </row>
    <row r="11" spans="1:13" x14ac:dyDescent="0.3">
      <c r="A11" s="57" t="s">
        <v>278</v>
      </c>
      <c r="B11" s="54">
        <f>Entrate_Uscite!B32</f>
        <v>52410560.090000004</v>
      </c>
      <c r="C11" s="54">
        <f>Entrate_Uscite!E32</f>
        <v>51510780.039999999</v>
      </c>
      <c r="D11" s="108">
        <f>Entrate_Uscite!H32</f>
        <v>46205003.560000002</v>
      </c>
      <c r="E11" s="108">
        <f>Entrate_Uscite!K32</f>
        <v>34668646.890000001</v>
      </c>
      <c r="F11" s="108">
        <f>Entrate_Uscite!N32</f>
        <v>33727038.079999998</v>
      </c>
      <c r="G11" s="108">
        <f>Entrate_Uscite!Q32</f>
        <v>38304505.950000003</v>
      </c>
      <c r="H11" s="108">
        <f>Entrate_Uscite!T32</f>
        <v>38070966.710000001</v>
      </c>
      <c r="I11" s="54">
        <f>Entrate_Uscite!W32</f>
        <v>55286288.560000002</v>
      </c>
      <c r="J11" s="54">
        <f t="shared" si="0"/>
        <v>18.349336045161952</v>
      </c>
      <c r="K11" s="55">
        <f t="shared" si="2"/>
        <v>45.219029979288905</v>
      </c>
      <c r="L11" s="54">
        <f>Entrate_Uscite!X32</f>
        <v>40519900.640000001</v>
      </c>
      <c r="M11" s="56">
        <f t="shared" si="1"/>
        <v>73.291048640433459</v>
      </c>
    </row>
    <row r="12" spans="1:13" x14ac:dyDescent="0.3">
      <c r="A12" s="57" t="s">
        <v>279</v>
      </c>
      <c r="B12" s="54">
        <f>Entrate_Uscite!B33</f>
        <v>1029177.61</v>
      </c>
      <c r="C12" s="54">
        <f>Entrate_Uscite!E33</f>
        <v>4813557.42</v>
      </c>
      <c r="D12" s="108">
        <f>Entrate_Uscite!H33</f>
        <v>1914378.42</v>
      </c>
      <c r="E12" s="108">
        <f>Entrate_Uscite!K33</f>
        <v>1069047.79</v>
      </c>
      <c r="F12" s="108">
        <f>Entrate_Uscite!N33</f>
        <v>4926567.9800000004</v>
      </c>
      <c r="G12" s="108">
        <f>Entrate_Uscite!Q33</f>
        <v>1919611.55</v>
      </c>
      <c r="H12" s="108">
        <f>Entrate_Uscite!T33</f>
        <v>4330269.88</v>
      </c>
      <c r="I12" s="54">
        <f>Entrate_Uscite!W33</f>
        <v>6855797.8099999996</v>
      </c>
      <c r="J12" s="54">
        <f t="shared" si="0"/>
        <v>2.2754165842919689</v>
      </c>
      <c r="K12" s="55">
        <f t="shared" si="2"/>
        <v>58.322645007982715</v>
      </c>
      <c r="L12" s="54">
        <f>Entrate_Uscite!X33</f>
        <v>5945742.8499999996</v>
      </c>
      <c r="M12" s="56">
        <f t="shared" si="1"/>
        <v>86.725761388812018</v>
      </c>
    </row>
    <row r="13" spans="1:13" x14ac:dyDescent="0.3">
      <c r="A13" s="57" t="s">
        <v>280</v>
      </c>
      <c r="B13" s="54">
        <f>Entrate_Uscite!B34</f>
        <v>0</v>
      </c>
      <c r="C13" s="54">
        <f>Entrate_Uscite!E34</f>
        <v>0</v>
      </c>
      <c r="D13" s="108">
        <f>Entrate_Uscite!H34</f>
        <v>0</v>
      </c>
      <c r="E13" s="108">
        <f>Entrate_Uscite!K34</f>
        <v>0</v>
      </c>
      <c r="F13" s="108">
        <f>Entrate_Uscite!N34</f>
        <v>0</v>
      </c>
      <c r="G13" s="108">
        <f>Entrate_Uscite!Q34</f>
        <v>46074.45</v>
      </c>
      <c r="H13" s="108">
        <f>Entrate_Uscite!T34</f>
        <v>0</v>
      </c>
      <c r="I13" s="54">
        <f>Entrate_Uscite!W34</f>
        <v>0</v>
      </c>
      <c r="J13" s="54">
        <f t="shared" si="0"/>
        <v>0</v>
      </c>
      <c r="K13" s="55" t="str">
        <f t="shared" si="2"/>
        <v>-</v>
      </c>
      <c r="L13" s="54">
        <f>Entrate_Uscite!X34</f>
        <v>0</v>
      </c>
      <c r="M13" s="56" t="str">
        <f t="shared" si="1"/>
        <v>-</v>
      </c>
    </row>
    <row r="14" spans="1:13" x14ac:dyDescent="0.3">
      <c r="A14" s="57" t="s">
        <v>281</v>
      </c>
      <c r="B14" s="54">
        <f>Entrate_Uscite!B35</f>
        <v>1376959.34</v>
      </c>
      <c r="C14" s="54">
        <f>Entrate_Uscite!E35</f>
        <v>1782849.71</v>
      </c>
      <c r="D14" s="108">
        <f>Entrate_Uscite!H35</f>
        <v>997161.81</v>
      </c>
      <c r="E14" s="108">
        <f>Entrate_Uscite!K35</f>
        <v>2204734.6800000002</v>
      </c>
      <c r="F14" s="108">
        <f>Entrate_Uscite!N35</f>
        <v>1193896.75</v>
      </c>
      <c r="G14" s="108">
        <f>Entrate_Uscite!Q35</f>
        <v>1671199.43</v>
      </c>
      <c r="H14" s="108">
        <f>Entrate_Uscite!T35</f>
        <v>1437328.36</v>
      </c>
      <c r="I14" s="54">
        <f>Entrate_Uscite!W35</f>
        <v>1828502.33</v>
      </c>
      <c r="J14" s="54">
        <f t="shared" si="0"/>
        <v>0.60687386667526411</v>
      </c>
      <c r="K14" s="55">
        <f t="shared" si="2"/>
        <v>27.21535182120806</v>
      </c>
      <c r="L14" s="54">
        <f>Entrate_Uscite!X35</f>
        <v>1742978.21</v>
      </c>
      <c r="M14" s="56">
        <f t="shared" si="1"/>
        <v>95.322722941239007</v>
      </c>
    </row>
    <row r="15" spans="1:13" x14ac:dyDescent="0.3">
      <c r="A15" s="4" t="s">
        <v>283</v>
      </c>
      <c r="B15" s="44">
        <f t="shared" ref="B15:I15" si="5">SUM(B11:B14)</f>
        <v>54816697.040000007</v>
      </c>
      <c r="C15" s="44">
        <f t="shared" si="5"/>
        <v>58107187.170000002</v>
      </c>
      <c r="D15" s="44">
        <f t="shared" si="5"/>
        <v>49116543.790000007</v>
      </c>
      <c r="E15" s="44">
        <f t="shared" si="5"/>
        <v>37942429.359999999</v>
      </c>
      <c r="F15" s="44">
        <f t="shared" si="5"/>
        <v>39847502.810000002</v>
      </c>
      <c r="G15" s="44">
        <f t="shared" ref="G15:H15" si="6">SUM(G11:G14)</f>
        <v>41941391.380000003</v>
      </c>
      <c r="H15" s="44">
        <f t="shared" si="6"/>
        <v>43838564.950000003</v>
      </c>
      <c r="I15" s="44">
        <f t="shared" si="5"/>
        <v>63970588.700000003</v>
      </c>
      <c r="J15" s="44">
        <f t="shared" si="0"/>
        <v>21.231626496129184</v>
      </c>
      <c r="K15" s="42">
        <f t="shared" si="2"/>
        <v>45.923090258455176</v>
      </c>
      <c r="L15" s="44">
        <f>SUM(L11:L14)</f>
        <v>48208621.700000003</v>
      </c>
      <c r="M15" s="43">
        <f t="shared" si="1"/>
        <v>75.360603489334466</v>
      </c>
    </row>
    <row r="16" spans="1:13" x14ac:dyDescent="0.3">
      <c r="A16" s="57" t="s">
        <v>284</v>
      </c>
      <c r="B16" s="54">
        <f>Entrate_Uscite!B36</f>
        <v>0</v>
      </c>
      <c r="C16" s="54">
        <f>Entrate_Uscite!E36</f>
        <v>0</v>
      </c>
      <c r="D16" s="108">
        <f>Entrate_Uscite!H36</f>
        <v>0</v>
      </c>
      <c r="E16" s="108">
        <f>Entrate_Uscite!K36</f>
        <v>0</v>
      </c>
      <c r="F16" s="108">
        <f>Entrate_Uscite!N36</f>
        <v>0</v>
      </c>
      <c r="G16" s="108">
        <f>Entrate_Uscite!Q36</f>
        <v>0</v>
      </c>
      <c r="H16" s="108">
        <f>Entrate_Uscite!T36</f>
        <v>0</v>
      </c>
      <c r="I16" s="54">
        <f>Entrate_Uscite!W36</f>
        <v>0</v>
      </c>
      <c r="J16" s="54">
        <f t="shared" si="0"/>
        <v>0</v>
      </c>
      <c r="K16" s="55" t="str">
        <f t="shared" si="2"/>
        <v>-</v>
      </c>
      <c r="L16" s="54">
        <f>Entrate_Uscite!X36</f>
        <v>0</v>
      </c>
      <c r="M16" s="56" t="str">
        <f t="shared" si="1"/>
        <v>-</v>
      </c>
    </row>
    <row r="17" spans="1:13" x14ac:dyDescent="0.3">
      <c r="A17" s="57" t="s">
        <v>285</v>
      </c>
      <c r="B17" s="54">
        <f>Entrate_Uscite!B37</f>
        <v>0</v>
      </c>
      <c r="C17" s="54">
        <f>Entrate_Uscite!E37</f>
        <v>0</v>
      </c>
      <c r="D17" s="108">
        <f>Entrate_Uscite!H37</f>
        <v>0</v>
      </c>
      <c r="E17" s="108">
        <f>Entrate_Uscite!K37</f>
        <v>0</v>
      </c>
      <c r="F17" s="108">
        <f>Entrate_Uscite!N37</f>
        <v>0</v>
      </c>
      <c r="G17" s="108">
        <f>Entrate_Uscite!Q37</f>
        <v>0</v>
      </c>
      <c r="H17" s="108">
        <f>Entrate_Uscite!T37</f>
        <v>0</v>
      </c>
      <c r="I17" s="54">
        <f>Entrate_Uscite!W37</f>
        <v>0</v>
      </c>
      <c r="J17" s="54">
        <f t="shared" si="0"/>
        <v>0</v>
      </c>
      <c r="K17" s="55" t="str">
        <f t="shared" si="2"/>
        <v>-</v>
      </c>
      <c r="L17" s="54">
        <f>Entrate_Uscite!X37</f>
        <v>0</v>
      </c>
      <c r="M17" s="56" t="str">
        <f t="shared" si="1"/>
        <v>-</v>
      </c>
    </row>
    <row r="18" spans="1:13" x14ac:dyDescent="0.3">
      <c r="A18" s="57" t="s">
        <v>286</v>
      </c>
      <c r="B18" s="54">
        <f>Entrate_Uscite!B38</f>
        <v>0</v>
      </c>
      <c r="C18" s="54">
        <f>Entrate_Uscite!E38</f>
        <v>4377405.55</v>
      </c>
      <c r="D18" s="108">
        <f>Entrate_Uscite!H38</f>
        <v>0</v>
      </c>
      <c r="E18" s="108">
        <f>Entrate_Uscite!K38</f>
        <v>0</v>
      </c>
      <c r="F18" s="108">
        <f>Entrate_Uscite!N38</f>
        <v>0</v>
      </c>
      <c r="G18" s="108">
        <f>Entrate_Uscite!Q38</f>
        <v>46074.45</v>
      </c>
      <c r="H18" s="108">
        <f>Entrate_Uscite!T38</f>
        <v>0</v>
      </c>
      <c r="I18" s="54">
        <f>Entrate_Uscite!W38</f>
        <v>0</v>
      </c>
      <c r="J18" s="54">
        <f t="shared" si="0"/>
        <v>0</v>
      </c>
      <c r="K18" s="55" t="str">
        <f t="shared" si="2"/>
        <v>-</v>
      </c>
      <c r="L18" s="54">
        <f>Entrate_Uscite!X38</f>
        <v>0</v>
      </c>
      <c r="M18" s="56" t="str">
        <f t="shared" si="1"/>
        <v>-</v>
      </c>
    </row>
    <row r="19" spans="1:13" x14ac:dyDescent="0.3">
      <c r="A19" s="57" t="s">
        <v>287</v>
      </c>
      <c r="B19" s="54">
        <f>Entrate_Uscite!B39</f>
        <v>0</v>
      </c>
      <c r="C19" s="54">
        <f>Entrate_Uscite!E39</f>
        <v>0</v>
      </c>
      <c r="D19" s="108">
        <f>Entrate_Uscite!H39</f>
        <v>0</v>
      </c>
      <c r="E19" s="108">
        <f>Entrate_Uscite!K39</f>
        <v>0</v>
      </c>
      <c r="F19" s="108">
        <f>Entrate_Uscite!N39</f>
        <v>0</v>
      </c>
      <c r="G19" s="108">
        <f>Entrate_Uscite!Q39</f>
        <v>0</v>
      </c>
      <c r="H19" s="108">
        <f>Entrate_Uscite!T39</f>
        <v>0</v>
      </c>
      <c r="I19" s="54">
        <f>Entrate_Uscite!W39</f>
        <v>0</v>
      </c>
      <c r="J19" s="54">
        <f t="shared" si="0"/>
        <v>0</v>
      </c>
      <c r="K19" s="55" t="str">
        <f t="shared" si="2"/>
        <v>-</v>
      </c>
      <c r="L19" s="54">
        <f>Entrate_Uscite!X39</f>
        <v>0</v>
      </c>
      <c r="M19" s="56" t="str">
        <f t="shared" si="1"/>
        <v>-</v>
      </c>
    </row>
    <row r="20" spans="1:13" x14ac:dyDescent="0.3">
      <c r="A20" s="4" t="s">
        <v>288</v>
      </c>
      <c r="B20" s="41">
        <f t="shared" ref="B20:I20" si="7">SUM(B16:B19)</f>
        <v>0</v>
      </c>
      <c r="C20" s="41">
        <f t="shared" si="7"/>
        <v>4377405.55</v>
      </c>
      <c r="D20" s="41">
        <f t="shared" si="7"/>
        <v>0</v>
      </c>
      <c r="E20" s="41">
        <f t="shared" si="7"/>
        <v>0</v>
      </c>
      <c r="F20" s="41">
        <f t="shared" si="7"/>
        <v>0</v>
      </c>
      <c r="G20" s="41">
        <f t="shared" ref="G20:H20" si="8">SUM(G16:G19)</f>
        <v>46074.45</v>
      </c>
      <c r="H20" s="41">
        <f t="shared" si="8"/>
        <v>0</v>
      </c>
      <c r="I20" s="41">
        <f t="shared" si="7"/>
        <v>0</v>
      </c>
      <c r="J20" s="41">
        <f t="shared" si="0"/>
        <v>0</v>
      </c>
      <c r="K20" s="42" t="str">
        <f t="shared" si="2"/>
        <v>-</v>
      </c>
      <c r="L20" s="41">
        <f>SUM(L16:L19)</f>
        <v>0</v>
      </c>
      <c r="M20" s="38" t="str">
        <f t="shared" si="1"/>
        <v>-</v>
      </c>
    </row>
    <row r="21" spans="1:13" x14ac:dyDescent="0.3">
      <c r="A21" s="45" t="s">
        <v>349</v>
      </c>
      <c r="B21" s="46">
        <f t="shared" ref="B21:I21" si="9">B10+B15+B20</f>
        <v>262965522.41999996</v>
      </c>
      <c r="C21" s="46">
        <f t="shared" si="9"/>
        <v>282515383.10000002</v>
      </c>
      <c r="D21" s="46">
        <f t="shared" si="9"/>
        <v>255773105.15999997</v>
      </c>
      <c r="E21" s="46">
        <f t="shared" si="9"/>
        <v>244055116.55000001</v>
      </c>
      <c r="F21" s="46">
        <f t="shared" si="9"/>
        <v>243415057.26999998</v>
      </c>
      <c r="G21" s="46">
        <f t="shared" ref="G21:H21" si="10">G10+G15+G20</f>
        <v>259020048.72999999</v>
      </c>
      <c r="H21" s="46">
        <f t="shared" si="10"/>
        <v>279417588.70999998</v>
      </c>
      <c r="I21" s="46">
        <f t="shared" si="9"/>
        <v>300522881.75</v>
      </c>
      <c r="J21" s="46">
        <f t="shared" si="0"/>
        <v>99.742549013878275</v>
      </c>
      <c r="K21" s="47">
        <f t="shared" si="2"/>
        <v>7.5533158586894302</v>
      </c>
      <c r="L21" s="46">
        <f>L10+L15+L20</f>
        <v>235304038.56999999</v>
      </c>
      <c r="M21" s="48">
        <f t="shared" si="1"/>
        <v>78.298210505563276</v>
      </c>
    </row>
    <row r="22" spans="1:13" x14ac:dyDescent="0.3">
      <c r="A22" s="57" t="s">
        <v>289</v>
      </c>
      <c r="B22" s="58">
        <f>Entrate_Uscite!B40</f>
        <v>1002644.71</v>
      </c>
      <c r="C22" s="58">
        <f>Entrate_Uscite!E40</f>
        <v>1034314.66</v>
      </c>
      <c r="D22" s="58">
        <f>Entrate_Uscite!H40</f>
        <v>690579.35</v>
      </c>
      <c r="E22" s="58">
        <f>Entrate_Uscite!K40</f>
        <v>0</v>
      </c>
      <c r="F22" s="58">
        <f>Entrate_Uscite!N40</f>
        <v>0</v>
      </c>
      <c r="G22" s="58">
        <f>Entrate_Uscite!Q40</f>
        <v>0</v>
      </c>
      <c r="H22" s="58">
        <f>Entrate_Uscite!T40</f>
        <v>0</v>
      </c>
      <c r="I22" s="58">
        <f>Entrate_Uscite!W40</f>
        <v>0</v>
      </c>
      <c r="J22" s="58">
        <f t="shared" si="0"/>
        <v>0</v>
      </c>
      <c r="K22" s="59" t="str">
        <f t="shared" si="2"/>
        <v>-</v>
      </c>
      <c r="L22" s="58">
        <f>Entrate_Uscite!X40</f>
        <v>0</v>
      </c>
      <c r="M22" s="56" t="str">
        <f t="shared" si="1"/>
        <v>-</v>
      </c>
    </row>
    <row r="23" spans="1:13" x14ac:dyDescent="0.3">
      <c r="A23" s="57" t="s">
        <v>290</v>
      </c>
      <c r="B23" s="58">
        <f>Entrate_Uscite!B41</f>
        <v>0</v>
      </c>
      <c r="C23" s="58">
        <f>Entrate_Uscite!E41</f>
        <v>0</v>
      </c>
      <c r="D23" s="58">
        <f>Entrate_Uscite!H41</f>
        <v>0</v>
      </c>
      <c r="E23" s="58">
        <f>Entrate_Uscite!K41</f>
        <v>0</v>
      </c>
      <c r="F23" s="58">
        <f>Entrate_Uscite!N41</f>
        <v>0</v>
      </c>
      <c r="G23" s="58">
        <f>Entrate_Uscite!Q41</f>
        <v>0</v>
      </c>
      <c r="H23" s="58">
        <f>Entrate_Uscite!T41</f>
        <v>0</v>
      </c>
      <c r="I23" s="58">
        <f>Entrate_Uscite!W41</f>
        <v>0</v>
      </c>
      <c r="J23" s="58">
        <f t="shared" si="0"/>
        <v>0</v>
      </c>
      <c r="K23" s="59" t="str">
        <f t="shared" si="2"/>
        <v>-</v>
      </c>
      <c r="L23" s="58">
        <f>Entrate_Uscite!X41</f>
        <v>0</v>
      </c>
      <c r="M23" s="56" t="str">
        <f t="shared" si="1"/>
        <v>-</v>
      </c>
    </row>
    <row r="24" spans="1:13" x14ac:dyDescent="0.3">
      <c r="A24" s="57" t="s">
        <v>291</v>
      </c>
      <c r="B24" s="58">
        <f>Entrate_Uscite!B42</f>
        <v>672242.76</v>
      </c>
      <c r="C24" s="58">
        <f>Entrate_Uscite!E42</f>
        <v>568619.98</v>
      </c>
      <c r="D24" s="58">
        <f>Entrate_Uscite!H42</f>
        <v>630193.75</v>
      </c>
      <c r="E24" s="58">
        <f>Entrate_Uscite!K42</f>
        <v>661786.03</v>
      </c>
      <c r="F24" s="58">
        <f>Entrate_Uscite!N42</f>
        <v>73459.649999999994</v>
      </c>
      <c r="G24" s="58">
        <f>Entrate_Uscite!Q42</f>
        <v>643415.55000000005</v>
      </c>
      <c r="H24" s="58">
        <f>Entrate_Uscite!T42</f>
        <v>808054.88</v>
      </c>
      <c r="I24" s="58">
        <f>Entrate_Uscite!W42</f>
        <v>775696.16</v>
      </c>
      <c r="J24" s="58">
        <f t="shared" si="0"/>
        <v>0.25745098612171541</v>
      </c>
      <c r="K24" s="59">
        <f t="shared" si="2"/>
        <v>-4.0045200890315726</v>
      </c>
      <c r="L24" s="58">
        <f>Entrate_Uscite!X42</f>
        <v>599711.43999999994</v>
      </c>
      <c r="M24" s="56">
        <f t="shared" si="1"/>
        <v>77.312673560224908</v>
      </c>
    </row>
    <row r="25" spans="1:13" x14ac:dyDescent="0.3">
      <c r="A25" s="57" t="s">
        <v>292</v>
      </c>
      <c r="B25" s="58">
        <f>Entrate_Uscite!B43</f>
        <v>0</v>
      </c>
      <c r="C25" s="58">
        <f>Entrate_Uscite!E43</f>
        <v>0</v>
      </c>
      <c r="D25" s="58">
        <f>Entrate_Uscite!H43</f>
        <v>0</v>
      </c>
      <c r="E25" s="58">
        <f>Entrate_Uscite!K43</f>
        <v>0</v>
      </c>
      <c r="F25" s="58">
        <f>Entrate_Uscite!N43</f>
        <v>0</v>
      </c>
      <c r="G25" s="58">
        <f>Entrate_Uscite!Q43</f>
        <v>0</v>
      </c>
      <c r="H25" s="58">
        <f>Entrate_Uscite!T43</f>
        <v>0</v>
      </c>
      <c r="I25" s="58">
        <f>Entrate_Uscite!W43</f>
        <v>0</v>
      </c>
      <c r="J25" s="58">
        <f t="shared" si="0"/>
        <v>0</v>
      </c>
      <c r="K25" s="59" t="str">
        <f t="shared" si="2"/>
        <v>-</v>
      </c>
      <c r="L25" s="58">
        <f>Entrate_Uscite!X43</f>
        <v>0</v>
      </c>
      <c r="M25" s="56" t="str">
        <f t="shared" si="1"/>
        <v>-</v>
      </c>
    </row>
    <row r="26" spans="1:13" x14ac:dyDescent="0.3">
      <c r="A26" s="57" t="s">
        <v>293</v>
      </c>
      <c r="B26" s="58">
        <f>Entrate_Uscite!B44</f>
        <v>0</v>
      </c>
      <c r="C26" s="58">
        <f>Entrate_Uscite!E44</f>
        <v>0</v>
      </c>
      <c r="D26" s="58">
        <f>Entrate_Uscite!H44</f>
        <v>0</v>
      </c>
      <c r="E26" s="58">
        <f>Entrate_Uscite!K44</f>
        <v>0</v>
      </c>
      <c r="F26" s="58">
        <f>Entrate_Uscite!N44</f>
        <v>0</v>
      </c>
      <c r="G26" s="58">
        <f>Entrate_Uscite!Q44</f>
        <v>0</v>
      </c>
      <c r="H26" s="58">
        <f>Entrate_Uscite!T44</f>
        <v>0</v>
      </c>
      <c r="I26" s="58">
        <f>Entrate_Uscite!W44</f>
        <v>0</v>
      </c>
      <c r="J26" s="58">
        <f t="shared" si="0"/>
        <v>0</v>
      </c>
      <c r="K26" s="59" t="str">
        <f t="shared" si="2"/>
        <v>-</v>
      </c>
      <c r="L26" s="58">
        <f>Entrate_Uscite!X44</f>
        <v>0</v>
      </c>
      <c r="M26" s="56" t="str">
        <f t="shared" si="1"/>
        <v>-</v>
      </c>
    </row>
    <row r="27" spans="1:13" x14ac:dyDescent="0.3">
      <c r="A27" s="4" t="s">
        <v>294</v>
      </c>
      <c r="B27" s="41">
        <f t="shared" ref="B27:I27" si="11">SUM(B22:B26)</f>
        <v>1674887.47</v>
      </c>
      <c r="C27" s="41">
        <f t="shared" si="11"/>
        <v>1602934.6400000001</v>
      </c>
      <c r="D27" s="41">
        <f t="shared" si="11"/>
        <v>1320773.1000000001</v>
      </c>
      <c r="E27" s="41">
        <f t="shared" si="11"/>
        <v>661786.03</v>
      </c>
      <c r="F27" s="41">
        <f t="shared" si="11"/>
        <v>73459.649999999994</v>
      </c>
      <c r="G27" s="41">
        <f t="shared" ref="G27" si="12">SUM(G22:G26)</f>
        <v>643415.55000000005</v>
      </c>
      <c r="H27" s="41">
        <f t="shared" ref="H27" si="13">SUM(H22:H26)</f>
        <v>808054.88</v>
      </c>
      <c r="I27" s="41">
        <f t="shared" si="11"/>
        <v>775696.16</v>
      </c>
      <c r="J27" s="41">
        <f t="shared" si="0"/>
        <v>0.25745098612171541</v>
      </c>
      <c r="K27" s="42">
        <f t="shared" si="2"/>
        <v>-4.0045200890315726</v>
      </c>
      <c r="L27" s="41">
        <f>SUM(L22:L26)</f>
        <v>599711.43999999994</v>
      </c>
      <c r="M27" s="43">
        <f t="shared" si="1"/>
        <v>77.312673560224908</v>
      </c>
    </row>
    <row r="28" spans="1:13" x14ac:dyDescent="0.3">
      <c r="A28" s="4" t="s">
        <v>295</v>
      </c>
      <c r="B28" s="41">
        <f>Entrate_Uscite!B52</f>
        <v>0</v>
      </c>
      <c r="C28" s="41">
        <f>Entrate_Uscite!E52</f>
        <v>0</v>
      </c>
      <c r="D28" s="41">
        <f>Entrate_Uscite!H52</f>
        <v>0</v>
      </c>
      <c r="E28" s="41">
        <f>Entrate_Uscite!K52</f>
        <v>0</v>
      </c>
      <c r="F28" s="41">
        <f>Entrate_Uscite!N52</f>
        <v>0</v>
      </c>
      <c r="G28" s="41">
        <f>Entrate_Uscite!Q52</f>
        <v>0</v>
      </c>
      <c r="H28" s="41">
        <f>Entrate_Uscite!T52</f>
        <v>0</v>
      </c>
      <c r="I28" s="41">
        <f>Entrate_Uscite!W52</f>
        <v>0</v>
      </c>
      <c r="J28" s="41">
        <f t="shared" si="0"/>
        <v>0</v>
      </c>
      <c r="K28" s="42" t="str">
        <f t="shared" si="2"/>
        <v>-</v>
      </c>
      <c r="L28" s="41">
        <f>Entrate_Uscite!X52</f>
        <v>0</v>
      </c>
      <c r="M28" s="43" t="str">
        <f t="shared" si="1"/>
        <v>-</v>
      </c>
    </row>
    <row r="29" spans="1:13" x14ac:dyDescent="0.3">
      <c r="A29" s="4" t="s">
        <v>296</v>
      </c>
      <c r="B29" s="41">
        <f>Entrate_Uscite!B53</f>
        <v>32534689.379999999</v>
      </c>
      <c r="C29" s="41">
        <f>Entrate_Uscite!E53</f>
        <v>29074150.050000001</v>
      </c>
      <c r="D29" s="41">
        <f>Entrate_Uscite!H53</f>
        <v>31809047.370000001</v>
      </c>
      <c r="E29" s="41">
        <f>Entrate_Uscite!K53</f>
        <v>31367309.399999999</v>
      </c>
      <c r="F29" s="41">
        <f>Entrate_Uscite!N53</f>
        <v>30584257.299999997</v>
      </c>
      <c r="G29" s="41">
        <f>Entrate_Uscite!Q53</f>
        <v>30828057.739999998</v>
      </c>
      <c r="H29" s="41">
        <f>Entrate_Uscite!T53</f>
        <v>32425011.809999999</v>
      </c>
      <c r="I29" s="41">
        <f>Entrate_Uscite!W53</f>
        <v>44186092.770000003</v>
      </c>
      <c r="J29" s="41"/>
      <c r="K29" s="42">
        <f t="shared" si="2"/>
        <v>36.271632000987722</v>
      </c>
      <c r="L29" s="41">
        <f>Entrate_Uscite!X53</f>
        <v>36148726.259999998</v>
      </c>
      <c r="M29" s="43">
        <f t="shared" si="1"/>
        <v>81.810189572912535</v>
      </c>
    </row>
    <row r="30" spans="1:13" x14ac:dyDescent="0.3">
      <c r="A30" s="45" t="s">
        <v>69</v>
      </c>
      <c r="B30" s="46">
        <f t="shared" ref="B30:I30" si="14">B10+B15+B20+B27+B28+B29</f>
        <v>297175099.26999998</v>
      </c>
      <c r="C30" s="46">
        <f t="shared" si="14"/>
        <v>313192467.79000002</v>
      </c>
      <c r="D30" s="46">
        <f t="shared" si="14"/>
        <v>288902925.62999994</v>
      </c>
      <c r="E30" s="46">
        <f t="shared" si="14"/>
        <v>276084211.98000002</v>
      </c>
      <c r="F30" s="46">
        <f t="shared" si="14"/>
        <v>274072774.21999997</v>
      </c>
      <c r="G30" s="46">
        <f t="shared" ref="G30:H30" si="15">G10+G15+G20+G27+G28+G29</f>
        <v>290491522.01999998</v>
      </c>
      <c r="H30" s="46">
        <f t="shared" si="15"/>
        <v>312650655.39999998</v>
      </c>
      <c r="I30" s="46">
        <f t="shared" si="14"/>
        <v>345484670.68000001</v>
      </c>
      <c r="J30" s="46"/>
      <c r="K30" s="47">
        <f t="shared" si="2"/>
        <v>10.501821989783693</v>
      </c>
      <c r="L30" s="46">
        <f>L10+L15+L20+L27+L28+L29</f>
        <v>272052476.26999998</v>
      </c>
      <c r="M30" s="48">
        <f t="shared" si="1"/>
        <v>78.745165663800037</v>
      </c>
    </row>
    <row r="31" spans="1:13" x14ac:dyDescent="0.3">
      <c r="A31" s="36" t="s">
        <v>70</v>
      </c>
      <c r="B31" s="49">
        <f t="shared" ref="B31:I31" si="16">B30-B29</f>
        <v>264640409.88999999</v>
      </c>
      <c r="C31" s="49">
        <f t="shared" si="16"/>
        <v>284118317.74000001</v>
      </c>
      <c r="D31" s="49">
        <f t="shared" si="16"/>
        <v>257093878.25999993</v>
      </c>
      <c r="E31" s="49">
        <f t="shared" si="16"/>
        <v>244716902.58000001</v>
      </c>
      <c r="F31" s="49">
        <f t="shared" si="16"/>
        <v>243488516.91999996</v>
      </c>
      <c r="G31" s="49">
        <f t="shared" ref="G31:H31" si="17">G30-G29</f>
        <v>259663464.27999997</v>
      </c>
      <c r="H31" s="49">
        <f t="shared" si="17"/>
        <v>280225643.58999997</v>
      </c>
      <c r="I31" s="49">
        <f t="shared" si="16"/>
        <v>301298577.91000003</v>
      </c>
      <c r="J31" s="49">
        <f>I31/I$31*100</f>
        <v>100</v>
      </c>
      <c r="K31" s="50">
        <f t="shared" si="2"/>
        <v>7.5199878390972685</v>
      </c>
      <c r="L31" s="49">
        <f>L30-L29</f>
        <v>235903750.00999999</v>
      </c>
      <c r="M31" s="51">
        <f t="shared" si="1"/>
        <v>78.295673230978906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2" sqref="J2:J6"/>
    </sheetView>
  </sheetViews>
  <sheetFormatPr defaultRowHeight="14.4" x14ac:dyDescent="0.3"/>
  <cols>
    <col min="1" max="1" width="50.6640625" bestFit="1" customWidth="1"/>
    <col min="2" max="4" width="12.6640625" bestFit="1" customWidth="1"/>
    <col min="5" max="8" width="12.6640625" style="99" bestFit="1" customWidth="1"/>
    <col min="9" max="10" width="12.6640625" bestFit="1" customWidth="1"/>
    <col min="11" max="11" width="11.33203125" bestFit="1" customWidth="1"/>
  </cols>
  <sheetData>
    <row r="1" spans="1:11" x14ac:dyDescent="0.3">
      <c r="A1" s="39"/>
      <c r="B1" s="109">
        <v>2016</v>
      </c>
      <c r="C1" s="109">
        <v>2017</v>
      </c>
      <c r="D1" s="109">
        <v>2018</v>
      </c>
      <c r="E1" s="109">
        <v>2019</v>
      </c>
      <c r="F1" s="109">
        <v>2020</v>
      </c>
      <c r="G1" s="109">
        <v>2021</v>
      </c>
      <c r="H1" s="109">
        <v>2022</v>
      </c>
      <c r="I1" s="109">
        <v>2023</v>
      </c>
      <c r="J1" s="109" t="s">
        <v>266</v>
      </c>
      <c r="K1" s="109" t="s">
        <v>340</v>
      </c>
    </row>
    <row r="2" spans="1:11" x14ac:dyDescent="0.3">
      <c r="A2" s="60" t="s">
        <v>298</v>
      </c>
      <c r="B2" s="62">
        <f>Entrate_Uscite!B56</f>
        <v>16713187.280000061</v>
      </c>
      <c r="C2" s="62">
        <f>Entrate_Uscite!E56</f>
        <v>9143071.1799999774</v>
      </c>
      <c r="D2" s="62">
        <f>Entrate_Uscite!H56</f>
        <v>14084195.920000017</v>
      </c>
      <c r="E2" s="62">
        <f>Entrate_Uscite!K56</f>
        <v>23288724.189999998</v>
      </c>
      <c r="F2" s="62">
        <f>Entrate_Uscite!N56</f>
        <v>40543949.730000019</v>
      </c>
      <c r="G2" s="62">
        <f>Entrate_Uscite!Q56</f>
        <v>26127205.709999979</v>
      </c>
      <c r="H2" s="62">
        <f>Entrate_Uscite!T56</f>
        <v>32987721.75999999</v>
      </c>
      <c r="I2" s="62">
        <f>Entrate_Uscite!W56</f>
        <v>35743983.710000008</v>
      </c>
      <c r="J2" s="62">
        <f t="shared" ref="J2:J6" si="0">I2-H2</f>
        <v>2756261.9500000179</v>
      </c>
      <c r="K2" s="62">
        <f>Entrate_Uscite!X56</f>
        <v>16596966.270000011</v>
      </c>
    </row>
    <row r="3" spans="1:11" x14ac:dyDescent="0.3">
      <c r="A3" s="60" t="s">
        <v>72</v>
      </c>
      <c r="B3" s="63">
        <f>Entrate_Uscite!B57</f>
        <v>-5440221.2300000042</v>
      </c>
      <c r="C3" s="63">
        <f>Entrate_Uscite!E57</f>
        <v>-8551245.0099999979</v>
      </c>
      <c r="D3" s="63">
        <f>Entrate_Uscite!H57</f>
        <v>5386316.2099999934</v>
      </c>
      <c r="E3" s="63">
        <f>Entrate_Uscite!K57</f>
        <v>508108.07000000775</v>
      </c>
      <c r="F3" s="63">
        <f>Entrate_Uscite!N57</f>
        <v>1934467.0399999991</v>
      </c>
      <c r="G3" s="63">
        <f>Entrate_Uscite!Q57</f>
        <v>-5156725.590000011</v>
      </c>
      <c r="H3" s="63">
        <f>Entrate_Uscite!T57</f>
        <v>-4093229.4600000009</v>
      </c>
      <c r="I3" s="63">
        <f>Entrate_Uscite!W57</f>
        <v>-7494445.7300000042</v>
      </c>
      <c r="J3" s="62">
        <f t="shared" si="0"/>
        <v>-3401216.2700000033</v>
      </c>
      <c r="K3" s="62">
        <f>Entrate_Uscite!X57</f>
        <v>-11594564.93</v>
      </c>
    </row>
    <row r="4" spans="1:11" x14ac:dyDescent="0.3">
      <c r="A4" s="60" t="s">
        <v>301</v>
      </c>
      <c r="B4" s="63">
        <f>Entrate_Uscite!B16-Entrate_Uscite!B50</f>
        <v>74900.91</v>
      </c>
      <c r="C4" s="63">
        <f>Entrate_Uscite!E16-Entrate_Uscite!E50</f>
        <v>0</v>
      </c>
      <c r="D4" s="63">
        <f>Entrate_Uscite!H16-Entrate_Uscite!H50</f>
        <v>0</v>
      </c>
      <c r="E4" s="63">
        <f>Entrate_Uscite!K16-Entrate_Uscite!K50</f>
        <v>11831.47</v>
      </c>
      <c r="F4" s="63">
        <f>Entrate_Uscite!N16-Entrate_Uscite!N50</f>
        <v>26432.14</v>
      </c>
      <c r="G4" s="63">
        <f>Entrate_Uscite!Q16-Entrate_Uscite!Q50</f>
        <v>1236046.49</v>
      </c>
      <c r="H4" s="63">
        <f>Entrate_Uscite!T16-Entrate_Uscite!T50</f>
        <v>150931.74</v>
      </c>
      <c r="I4" s="63">
        <f>Entrate_Uscite!W16-Entrate_Uscite!W50</f>
        <v>907933.31</v>
      </c>
      <c r="J4" s="62">
        <f t="shared" si="0"/>
        <v>757001.57000000007</v>
      </c>
      <c r="K4" s="63">
        <f>Entrate_Uscite!X16-Entrate_Uscite!X50</f>
        <v>163039.37</v>
      </c>
    </row>
    <row r="5" spans="1:11" x14ac:dyDescent="0.3">
      <c r="A5" s="45" t="s">
        <v>299</v>
      </c>
      <c r="B5" s="64">
        <f>Entrate_Uscite!B58</f>
        <v>11347866.960000098</v>
      </c>
      <c r="C5" s="64">
        <f>Entrate_Uscite!E58</f>
        <v>591826.17000001669</v>
      </c>
      <c r="D5" s="64">
        <f>Entrate_Uscite!H58</f>
        <v>19470512.129999995</v>
      </c>
      <c r="E5" s="64">
        <f>Entrate_Uscite!K58</f>
        <v>23808663.729999989</v>
      </c>
      <c r="F5" s="64">
        <f>Entrate_Uscite!N58</f>
        <v>42504848.910000026</v>
      </c>
      <c r="G5" s="64">
        <f>Entrate_Uscite!Q58</f>
        <v>22206526.609999985</v>
      </c>
      <c r="H5" s="64">
        <f>Entrate_Uscite!T58</f>
        <v>29045424.040000021</v>
      </c>
      <c r="I5" s="64">
        <f>Entrate_Uscite!W58</f>
        <v>29157471.290000021</v>
      </c>
      <c r="J5" s="64">
        <f t="shared" si="0"/>
        <v>112047.25</v>
      </c>
      <c r="K5" s="64">
        <f>Entrate_Uscite!X58</f>
        <v>5165440.7100000083</v>
      </c>
    </row>
    <row r="6" spans="1:11" x14ac:dyDescent="0.3">
      <c r="A6" s="36" t="s">
        <v>300</v>
      </c>
      <c r="B6" s="65">
        <f>Entrate_Uscite!B59</f>
        <v>9869479.1800000668</v>
      </c>
      <c r="C6" s="65">
        <f>Entrate_Uscite!E59</f>
        <v>2851198.6800000072</v>
      </c>
      <c r="D6" s="65">
        <f>Entrate_Uscite!H59</f>
        <v>18149739.030000031</v>
      </c>
      <c r="E6" s="65">
        <f>Entrate_Uscite!K59</f>
        <v>23146877.699999988</v>
      </c>
      <c r="F6" s="65">
        <f>Entrate_Uscite!N59</f>
        <v>46070157.240000069</v>
      </c>
      <c r="G6" s="65">
        <f>Entrate_Uscite!Q59</f>
        <v>25554389.139999986</v>
      </c>
      <c r="H6" s="65">
        <f>Entrate_Uscite!T59</f>
        <v>29137369.160000026</v>
      </c>
      <c r="I6" s="65">
        <f>Entrate_Uscite!W59</f>
        <v>29661775.129999995</v>
      </c>
      <c r="J6" s="65">
        <f t="shared" si="0"/>
        <v>524405.96999996901</v>
      </c>
      <c r="K6" s="65">
        <f>Entrate_Uscite!X59</f>
        <v>5845729.2699999809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workbookViewId="0">
      <selection activeCell="K2" sqref="K2:K23"/>
    </sheetView>
  </sheetViews>
  <sheetFormatPr defaultRowHeight="14.4" x14ac:dyDescent="0.3"/>
  <cols>
    <col min="1" max="1" width="36.44140625" bestFit="1" customWidth="1"/>
    <col min="2" max="7" width="11.88671875" customWidth="1"/>
    <col min="8" max="11" width="11.88671875" style="99" customWidth="1"/>
    <col min="14" max="14" width="10" bestFit="1" customWidth="1"/>
  </cols>
  <sheetData>
    <row r="1" spans="1:11" x14ac:dyDescent="0.3">
      <c r="A1" s="39"/>
      <c r="B1" s="93">
        <v>2014</v>
      </c>
      <c r="C1" s="93">
        <v>2015</v>
      </c>
      <c r="D1" s="93">
        <v>2016</v>
      </c>
      <c r="E1" s="93">
        <v>2017</v>
      </c>
      <c r="F1" s="67">
        <v>2018</v>
      </c>
      <c r="G1" s="93">
        <v>2019</v>
      </c>
      <c r="H1" s="93">
        <v>2020</v>
      </c>
      <c r="I1" s="93">
        <v>2021</v>
      </c>
      <c r="J1" s="93">
        <v>2022</v>
      </c>
      <c r="K1" s="93">
        <v>2023</v>
      </c>
    </row>
    <row r="2" spans="1:11" x14ac:dyDescent="0.3">
      <c r="A2" t="s">
        <v>5</v>
      </c>
      <c r="B2" s="1">
        <v>40161819.119999997</v>
      </c>
      <c r="C2" s="1">
        <v>65181789.409999996</v>
      </c>
      <c r="D2" s="1">
        <v>57122356.399999999</v>
      </c>
      <c r="E2" s="1">
        <v>64695805.369999997</v>
      </c>
      <c r="F2" s="1">
        <v>74281578.579999998</v>
      </c>
      <c r="G2" s="1">
        <v>87744643.75</v>
      </c>
      <c r="H2" s="1">
        <v>114816587.26000001</v>
      </c>
      <c r="I2" s="1">
        <v>127772210.29000001</v>
      </c>
      <c r="J2" s="1">
        <v>151854414.65000001</v>
      </c>
      <c r="K2" s="1">
        <v>154205764.62</v>
      </c>
    </row>
    <row r="3" spans="1:11" x14ac:dyDescent="0.3">
      <c r="A3" t="s">
        <v>6</v>
      </c>
      <c r="B3" s="1">
        <v>95004611.939999998</v>
      </c>
      <c r="C3" s="1">
        <v>98261762.859999999</v>
      </c>
      <c r="D3" s="1">
        <v>104632656.41</v>
      </c>
      <c r="E3" s="1">
        <v>144777499.91999999</v>
      </c>
      <c r="F3" s="1">
        <v>140411893.59999999</v>
      </c>
      <c r="G3" s="1">
        <v>88052856.540000007</v>
      </c>
      <c r="H3" s="1">
        <v>120871756.39</v>
      </c>
      <c r="I3" s="1">
        <v>127823618.42</v>
      </c>
      <c r="J3" s="1">
        <v>147122929.90000001</v>
      </c>
      <c r="K3" s="1">
        <v>182731325.96000001</v>
      </c>
    </row>
    <row r="4" spans="1:11" x14ac:dyDescent="0.3">
      <c r="A4" t="s">
        <v>7</v>
      </c>
      <c r="B4" s="1">
        <v>78262429.810000002</v>
      </c>
      <c r="C4" s="1">
        <v>85717800.040000007</v>
      </c>
      <c r="D4" s="1">
        <v>71687042.010000005</v>
      </c>
      <c r="E4" s="1">
        <v>115134247.97</v>
      </c>
      <c r="F4" s="1">
        <v>101108801.58</v>
      </c>
      <c r="G4" s="1">
        <v>66415223.490000002</v>
      </c>
      <c r="H4" s="1">
        <v>76451934.930000007</v>
      </c>
      <c r="I4" s="1">
        <v>72706009.480000004</v>
      </c>
      <c r="J4" s="1">
        <v>84499408.569999993</v>
      </c>
      <c r="K4" s="1">
        <v>93190748.530000001</v>
      </c>
    </row>
    <row r="5" spans="1:11" x14ac:dyDescent="0.3">
      <c r="A5" t="s">
        <v>8</v>
      </c>
      <c r="B5" s="1">
        <v>5005284.8499999996</v>
      </c>
      <c r="C5" s="1">
        <v>1044232.65</v>
      </c>
      <c r="D5" s="1">
        <v>7806484.4199999999</v>
      </c>
      <c r="E5" s="1">
        <v>3512190.97</v>
      </c>
      <c r="F5" s="1">
        <v>5528182.0800000001</v>
      </c>
      <c r="G5" s="1">
        <v>8168582.4500000002</v>
      </c>
      <c r="H5" s="1">
        <v>19440684.199999999</v>
      </c>
      <c r="I5" s="1">
        <v>22056521.66</v>
      </c>
      <c r="J5" s="1">
        <v>20975280.149999999</v>
      </c>
      <c r="K5" s="1">
        <v>18489604.18</v>
      </c>
    </row>
    <row r="6" spans="1:11" x14ac:dyDescent="0.3">
      <c r="A6" t="s">
        <v>9</v>
      </c>
      <c r="B6" s="1">
        <v>18567188.940000001</v>
      </c>
      <c r="C6" s="1">
        <v>31889557.98</v>
      </c>
      <c r="D6" s="1">
        <v>27874368.09</v>
      </c>
      <c r="E6" s="1">
        <v>19971804.690000001</v>
      </c>
      <c r="F6" s="1">
        <v>27161794.690000001</v>
      </c>
      <c r="G6" s="1">
        <v>25542057.219999999</v>
      </c>
      <c r="H6" s="1">
        <v>30858808.989999998</v>
      </c>
      <c r="I6" s="1">
        <v>39000083.140000001</v>
      </c>
      <c r="J6" s="1">
        <v>44591378.520000003</v>
      </c>
      <c r="K6" s="1">
        <v>52193900.189999998</v>
      </c>
    </row>
    <row r="7" spans="1:11" x14ac:dyDescent="0.3">
      <c r="A7" s="4" t="s">
        <v>0</v>
      </c>
      <c r="B7" s="3">
        <f t="shared" ref="B7:C7" si="0">B2+B3-B4-B5-B6</f>
        <v>33331527.459999997</v>
      </c>
      <c r="C7" s="3">
        <f t="shared" si="0"/>
        <v>44791961.599999964</v>
      </c>
      <c r="D7" s="3">
        <f t="shared" ref="D7:E7" si="1">D2+D3-D4-D5-D6</f>
        <v>54387118.289999992</v>
      </c>
      <c r="E7" s="3">
        <f t="shared" si="1"/>
        <v>70855061.659999996</v>
      </c>
      <c r="F7" s="3">
        <f t="shared" ref="F7:G7" si="2">F2+F3-F4-F5-F6</f>
        <v>80894693.830000013</v>
      </c>
      <c r="G7" s="3">
        <f t="shared" si="2"/>
        <v>75671637.13000001</v>
      </c>
      <c r="H7" s="3">
        <f t="shared" ref="H7:K7" si="3">H2+H3-H4-H5-H6</f>
        <v>108936915.53000002</v>
      </c>
      <c r="I7" s="3">
        <f t="shared" ref="I7:J7" si="4">I2+I3-I4-I5-I6</f>
        <v>121833214.43000002</v>
      </c>
      <c r="J7" s="3">
        <f t="shared" si="4"/>
        <v>148911277.31</v>
      </c>
      <c r="K7" s="3">
        <f t="shared" si="3"/>
        <v>173062837.68000004</v>
      </c>
    </row>
    <row r="8" spans="1:11" x14ac:dyDescent="0.3">
      <c r="A8" t="s">
        <v>10</v>
      </c>
      <c r="B8" s="1">
        <v>20692000</v>
      </c>
      <c r="C8" s="1">
        <v>28473529.23</v>
      </c>
      <c r="D8" s="1">
        <v>38884136.229999997</v>
      </c>
      <c r="E8" s="1">
        <v>49128121.100000001</v>
      </c>
      <c r="F8" s="1">
        <v>56362418.93</v>
      </c>
      <c r="G8" s="1">
        <v>33611112.350000001</v>
      </c>
      <c r="H8" s="1">
        <v>49427308.329999998</v>
      </c>
      <c r="I8" s="1">
        <v>56077554.159999996</v>
      </c>
      <c r="J8" s="1">
        <v>65713034.840000004</v>
      </c>
      <c r="K8" s="1">
        <v>80597380.349999994</v>
      </c>
    </row>
    <row r="9" spans="1:11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3">
      <c r="A10" t="s">
        <v>12</v>
      </c>
      <c r="B10" s="1">
        <v>0</v>
      </c>
      <c r="C10" s="1">
        <v>0</v>
      </c>
      <c r="D10" s="1">
        <v>0</v>
      </c>
      <c r="E10" s="1">
        <v>0</v>
      </c>
      <c r="F10" s="1">
        <v>161093.59</v>
      </c>
      <c r="G10" s="1">
        <v>329886.59000000003</v>
      </c>
      <c r="H10" s="1">
        <v>1641330.56</v>
      </c>
      <c r="I10" s="1">
        <v>1945082.56</v>
      </c>
      <c r="J10" s="1">
        <v>2962515.25</v>
      </c>
      <c r="K10" s="1">
        <v>2962515.25</v>
      </c>
    </row>
    <row r="11" spans="1:11" x14ac:dyDescent="0.3">
      <c r="A11" t="s">
        <v>13</v>
      </c>
      <c r="B11" s="1">
        <v>0</v>
      </c>
      <c r="C11" s="1">
        <v>0</v>
      </c>
      <c r="D11" s="1">
        <v>0</v>
      </c>
      <c r="E11" s="1">
        <v>0</v>
      </c>
      <c r="F11" s="1">
        <v>1738000</v>
      </c>
      <c r="G11" s="1">
        <v>2806741.22</v>
      </c>
      <c r="H11" s="1">
        <v>6700000</v>
      </c>
      <c r="I11" s="1">
        <v>6708203.9800000004</v>
      </c>
      <c r="J11" s="1">
        <v>5299177.5999999996</v>
      </c>
      <c r="K11" s="1">
        <v>5019052.87</v>
      </c>
    </row>
    <row r="12" spans="1:11" x14ac:dyDescent="0.3">
      <c r="A12" t="s">
        <v>14</v>
      </c>
      <c r="B12" s="1">
        <v>1178821.07</v>
      </c>
      <c r="C12" s="1">
        <v>2602249.9300000002</v>
      </c>
      <c r="D12" s="1">
        <v>2014049.25</v>
      </c>
      <c r="E12" s="1">
        <v>2938131.75</v>
      </c>
      <c r="F12" s="1">
        <v>6603184.3799999999</v>
      </c>
      <c r="G12" s="1">
        <v>14014420.01</v>
      </c>
      <c r="H12" s="1">
        <v>21376188.510000002</v>
      </c>
      <c r="I12" s="1">
        <v>18576751.890000001</v>
      </c>
      <c r="J12" s="1">
        <v>23791767.920000002</v>
      </c>
      <c r="K12" s="1">
        <v>28389678.600000001</v>
      </c>
    </row>
    <row r="13" spans="1:11" x14ac:dyDescent="0.3">
      <c r="A13" s="4" t="s">
        <v>1</v>
      </c>
      <c r="B13" s="3">
        <f t="shared" ref="B13" si="5">SUM(B8:B12)</f>
        <v>21870821.07</v>
      </c>
      <c r="C13" s="3">
        <f t="shared" ref="C13:E13" si="6">SUM(C8:C12)</f>
        <v>31075779.16</v>
      </c>
      <c r="D13" s="3">
        <f t="shared" si="6"/>
        <v>40898185.479999997</v>
      </c>
      <c r="E13" s="3">
        <f t="shared" si="6"/>
        <v>52066252.850000001</v>
      </c>
      <c r="F13" s="3">
        <f t="shared" ref="F13:K13" si="7">SUM(F8:F12)</f>
        <v>64864696.900000006</v>
      </c>
      <c r="G13" s="3">
        <f t="shared" si="7"/>
        <v>50762160.170000002</v>
      </c>
      <c r="H13" s="3">
        <f t="shared" si="7"/>
        <v>79144827.400000006</v>
      </c>
      <c r="I13" s="3">
        <f t="shared" si="7"/>
        <v>83307592.590000004</v>
      </c>
      <c r="J13" s="3">
        <f t="shared" si="7"/>
        <v>97766495.609999999</v>
      </c>
      <c r="K13" s="3">
        <f t="shared" si="7"/>
        <v>116968627.06999999</v>
      </c>
    </row>
    <row r="14" spans="1:11" x14ac:dyDescent="0.3">
      <c r="A14" t="s">
        <v>16</v>
      </c>
      <c r="B14" s="1">
        <v>4783392.3099999996</v>
      </c>
      <c r="C14" s="1">
        <v>6832439.5099999998</v>
      </c>
      <c r="D14" s="1">
        <v>6472167.21</v>
      </c>
      <c r="E14" s="1">
        <v>10059892.140000001</v>
      </c>
      <c r="F14" s="1">
        <v>6656607.1100000003</v>
      </c>
      <c r="G14" s="1">
        <v>11809326.460000001</v>
      </c>
      <c r="H14" s="1">
        <v>7541553.5899999999</v>
      </c>
      <c r="I14" s="1">
        <v>16608204.76</v>
      </c>
      <c r="J14" s="1">
        <v>13528796.67</v>
      </c>
      <c r="K14" s="1">
        <v>10735638.99</v>
      </c>
    </row>
    <row r="15" spans="1:11" x14ac:dyDescent="0.3">
      <c r="A15" t="s">
        <v>15</v>
      </c>
      <c r="B15" s="1">
        <v>1352551.8</v>
      </c>
      <c r="C15" s="1">
        <v>3454355.61</v>
      </c>
      <c r="D15" s="1">
        <v>3391412.72</v>
      </c>
      <c r="E15" s="1">
        <v>905358.89</v>
      </c>
      <c r="F15" s="1">
        <v>4215925.4000000004</v>
      </c>
      <c r="G15" s="1">
        <v>6259836.79</v>
      </c>
      <c r="H15" s="1">
        <v>8133987.8399999999</v>
      </c>
      <c r="I15" s="1">
        <v>9974236.6400000006</v>
      </c>
      <c r="J15" s="1">
        <v>16951192.48</v>
      </c>
      <c r="K15" s="1">
        <v>15729274.91</v>
      </c>
    </row>
    <row r="16" spans="1:11" x14ac:dyDescent="0.3">
      <c r="A16" t="s">
        <v>17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105000</v>
      </c>
      <c r="I16" s="1">
        <v>31548.05</v>
      </c>
      <c r="J16" s="1">
        <v>43337.91</v>
      </c>
      <c r="K16" s="1">
        <v>50546.33</v>
      </c>
    </row>
    <row r="17" spans="1:11" x14ac:dyDescent="0.3">
      <c r="A17" t="s">
        <v>18</v>
      </c>
      <c r="B17" s="1">
        <v>0</v>
      </c>
      <c r="C17" s="1">
        <v>146000</v>
      </c>
      <c r="D17" s="1">
        <v>0</v>
      </c>
      <c r="E17" s="1">
        <v>0</v>
      </c>
      <c r="F17" s="1">
        <v>0</v>
      </c>
      <c r="G17" s="1">
        <v>0</v>
      </c>
      <c r="H17" s="1">
        <v>2611372.19</v>
      </c>
      <c r="I17" s="1">
        <v>1410578.52</v>
      </c>
      <c r="J17" s="1">
        <v>4588013.28</v>
      </c>
      <c r="K17" s="1">
        <v>6012006.04</v>
      </c>
    </row>
    <row r="18" spans="1:11" x14ac:dyDescent="0.3">
      <c r="A18" t="s">
        <v>19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724373.57</v>
      </c>
    </row>
    <row r="19" spans="1:11" x14ac:dyDescent="0.3">
      <c r="A19" s="4" t="s">
        <v>2</v>
      </c>
      <c r="B19" s="3">
        <f t="shared" ref="B19:E19" si="8">SUM(B14:B18)</f>
        <v>6135944.1099999994</v>
      </c>
      <c r="C19" s="3">
        <f t="shared" si="8"/>
        <v>10432795.119999999</v>
      </c>
      <c r="D19" s="3">
        <f t="shared" si="8"/>
        <v>9863579.9299999997</v>
      </c>
      <c r="E19" s="3">
        <f t="shared" si="8"/>
        <v>10965251.030000001</v>
      </c>
      <c r="F19" s="3">
        <f t="shared" ref="F19:K19" si="9">SUM(F14:F18)</f>
        <v>10872532.510000002</v>
      </c>
      <c r="G19" s="3">
        <f t="shared" si="9"/>
        <v>18069163.25</v>
      </c>
      <c r="H19" s="3">
        <f t="shared" si="9"/>
        <v>18391913.620000001</v>
      </c>
      <c r="I19" s="3">
        <f t="shared" si="9"/>
        <v>28024567.969999999</v>
      </c>
      <c r="J19" s="3">
        <f t="shared" si="9"/>
        <v>35111340.339999996</v>
      </c>
      <c r="K19" s="3">
        <f t="shared" si="9"/>
        <v>33251839.839999996</v>
      </c>
    </row>
    <row r="20" spans="1:11" x14ac:dyDescent="0.3">
      <c r="A20" s="4" t="s">
        <v>3</v>
      </c>
      <c r="B20" s="3">
        <v>5324762.28</v>
      </c>
      <c r="C20" s="3">
        <v>3283387.32</v>
      </c>
      <c r="D20" s="3">
        <v>3625352.88</v>
      </c>
      <c r="E20" s="3">
        <v>7823557.7800000003</v>
      </c>
      <c r="F20" s="3">
        <v>5157464.42</v>
      </c>
      <c r="G20" s="3">
        <v>2501538.13</v>
      </c>
      <c r="H20" s="3">
        <v>1465148.3</v>
      </c>
      <c r="I20" s="3">
        <v>1234442.8700000001</v>
      </c>
      <c r="J20" s="3">
        <v>1355048.17</v>
      </c>
      <c r="K20" s="3">
        <v>855496.19</v>
      </c>
    </row>
    <row r="21" spans="1:11" x14ac:dyDescent="0.3">
      <c r="A21" s="68" t="s">
        <v>4</v>
      </c>
      <c r="B21" s="35">
        <f t="shared" ref="B21" si="10">B7-B13-B19-B20</f>
        <v>0</v>
      </c>
      <c r="C21" s="35">
        <f t="shared" ref="C21:D21" si="11">C7-C13-C19-C20</f>
        <v>-3.4924596548080444E-8</v>
      </c>
      <c r="D21" s="35">
        <f t="shared" si="11"/>
        <v>-4.6566128730773926E-9</v>
      </c>
      <c r="E21" s="35">
        <f t="shared" ref="E21:K21" si="12">E7-E13-E19-E20</f>
        <v>0</v>
      </c>
      <c r="F21" s="35">
        <f t="shared" si="12"/>
        <v>0</v>
      </c>
      <c r="G21" s="35">
        <f t="shared" si="12"/>
        <v>4338775.5800000085</v>
      </c>
      <c r="H21" s="35">
        <f t="shared" si="12"/>
        <v>9935026.2100000083</v>
      </c>
      <c r="I21" s="35">
        <f t="shared" si="12"/>
        <v>9266611.0000000186</v>
      </c>
      <c r="J21" s="35">
        <f t="shared" ref="J21" si="13">J7-J13-J19-J20</f>
        <v>14678393.190000007</v>
      </c>
      <c r="K21" s="35">
        <f t="shared" si="12"/>
        <v>21986874.580000047</v>
      </c>
    </row>
    <row r="22" spans="1:11" x14ac:dyDescent="0.3">
      <c r="A22" t="s">
        <v>356</v>
      </c>
      <c r="B22" s="1"/>
      <c r="C22" s="1"/>
      <c r="D22" s="1">
        <v>-1986404.8</v>
      </c>
      <c r="E22" s="1">
        <v>-2305918.33</v>
      </c>
      <c r="F22" s="1">
        <v>-2932440.51</v>
      </c>
      <c r="G22" s="1">
        <v>-33529947.219999999</v>
      </c>
      <c r="H22" s="1">
        <v>768244.17</v>
      </c>
      <c r="I22" s="1">
        <v>-9032610.3499999996</v>
      </c>
      <c r="J22" s="1">
        <v>-2636705.48</v>
      </c>
      <c r="K22" s="1">
        <v>-4226602.45</v>
      </c>
    </row>
    <row r="23" spans="1:11" x14ac:dyDescent="0.3">
      <c r="A23" t="s">
        <v>357</v>
      </c>
      <c r="B23" s="6">
        <f>B8/B3*100</f>
        <v>21.779995283879479</v>
      </c>
      <c r="C23" s="6">
        <f t="shared" ref="C23:G23" si="14">C8/C3*100</f>
        <v>28.977222066093105</v>
      </c>
      <c r="D23" s="6">
        <f t="shared" si="14"/>
        <v>37.162524171835656</v>
      </c>
      <c r="E23" s="6">
        <f t="shared" si="14"/>
        <v>33.933533268047064</v>
      </c>
      <c r="F23" s="6">
        <f t="shared" si="14"/>
        <v>40.140772611872251</v>
      </c>
      <c r="G23" s="6">
        <f t="shared" si="14"/>
        <v>38.171518416022529</v>
      </c>
      <c r="H23" s="100">
        <f t="shared" ref="H23:K23" si="15">H8/H3*100</f>
        <v>40.892355506541833</v>
      </c>
      <c r="I23" s="100">
        <f t="shared" ref="I23:J23" si="16">I8/I3*100</f>
        <v>43.871042654841467</v>
      </c>
      <c r="J23" s="100">
        <f t="shared" si="16"/>
        <v>44.66539300479225</v>
      </c>
      <c r="K23" s="100">
        <f t="shared" si="15"/>
        <v>44.107040720343051</v>
      </c>
    </row>
  </sheetData>
  <conditionalFormatting sqref="D21:G21 K21">
    <cfRule type="cellIs" dxfId="113" priority="24" operator="greaterThan">
      <formula>0</formula>
    </cfRule>
  </conditionalFormatting>
  <conditionalFormatting sqref="D21:G21 K21">
    <cfRule type="cellIs" dxfId="112" priority="21" operator="greaterThan">
      <formula>0</formula>
    </cfRule>
    <cfRule type="cellIs" dxfId="111" priority="22" operator="lessThan">
      <formula>0</formula>
    </cfRule>
  </conditionalFormatting>
  <conditionalFormatting sqref="C21">
    <cfRule type="cellIs" dxfId="110" priority="15" operator="greaterThan">
      <formula>0</formula>
    </cfRule>
  </conditionalFormatting>
  <conditionalFormatting sqref="C21">
    <cfRule type="cellIs" dxfId="109" priority="13" operator="greaterThan">
      <formula>0</formula>
    </cfRule>
    <cfRule type="cellIs" dxfId="108" priority="14" operator="lessThan">
      <formula>0</formula>
    </cfRule>
  </conditionalFormatting>
  <conditionalFormatting sqref="B21">
    <cfRule type="cellIs" dxfId="107" priority="12" operator="greaterThan">
      <formula>0</formula>
    </cfRule>
  </conditionalFormatting>
  <conditionalFormatting sqref="B21">
    <cfRule type="cellIs" dxfId="106" priority="10" operator="greaterThan">
      <formula>0</formula>
    </cfRule>
    <cfRule type="cellIs" dxfId="105" priority="11" operator="lessThan">
      <formula>0</formula>
    </cfRule>
  </conditionalFormatting>
  <conditionalFormatting sqref="H21">
    <cfRule type="cellIs" dxfId="104" priority="9" operator="greaterThan">
      <formula>0</formula>
    </cfRule>
  </conditionalFormatting>
  <conditionalFormatting sqref="H21">
    <cfRule type="cellIs" dxfId="103" priority="7" operator="greaterThan">
      <formula>0</formula>
    </cfRule>
    <cfRule type="cellIs" dxfId="102" priority="8" operator="lessThan">
      <formula>0</formula>
    </cfRule>
  </conditionalFormatting>
  <conditionalFormatting sqref="I21">
    <cfRule type="cellIs" dxfId="101" priority="6" operator="greaterThan">
      <formula>0</formula>
    </cfRule>
  </conditionalFormatting>
  <conditionalFormatting sqref="I21">
    <cfRule type="cellIs" dxfId="100" priority="4" operator="greaterThan">
      <formula>0</formula>
    </cfRule>
    <cfRule type="cellIs" dxfId="99" priority="5" operator="lessThan">
      <formula>0</formula>
    </cfRule>
  </conditionalFormatting>
  <conditionalFormatting sqref="J21">
    <cfRule type="cellIs" dxfId="98" priority="3" operator="greaterThan">
      <formula>0</formula>
    </cfRule>
  </conditionalFormatting>
  <conditionalFormatting sqref="J21">
    <cfRule type="cellIs" dxfId="97" priority="1" operator="greaterThan">
      <formula>0</formula>
    </cfRule>
    <cfRule type="cellIs" dxfId="96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L2" sqref="L2:L29"/>
    </sheetView>
  </sheetViews>
  <sheetFormatPr defaultRowHeight="14.4" x14ac:dyDescent="0.3"/>
  <cols>
    <col min="1" max="1" width="65.33203125" bestFit="1" customWidth="1"/>
    <col min="2" max="2" width="3.44140625" bestFit="1" customWidth="1"/>
    <col min="3" max="8" width="11.109375" bestFit="1" customWidth="1"/>
    <col min="9" max="12" width="11.109375" style="99" bestFit="1" customWidth="1"/>
    <col min="13" max="13" width="12.33203125" style="99" bestFit="1" customWidth="1"/>
  </cols>
  <sheetData>
    <row r="1" spans="1:13" x14ac:dyDescent="0.3">
      <c r="C1" s="94">
        <v>2014</v>
      </c>
      <c r="D1" s="94">
        <v>2015</v>
      </c>
      <c r="E1" s="94">
        <v>2016</v>
      </c>
      <c r="F1" s="12">
        <v>2017</v>
      </c>
      <c r="G1" s="12">
        <v>2018</v>
      </c>
      <c r="H1" s="12">
        <v>2019</v>
      </c>
      <c r="I1" s="107">
        <v>2020</v>
      </c>
      <c r="J1" s="107">
        <v>2021</v>
      </c>
      <c r="K1" s="107">
        <v>2022</v>
      </c>
      <c r="L1" s="107">
        <v>2023</v>
      </c>
      <c r="M1" s="107" t="s">
        <v>266</v>
      </c>
    </row>
    <row r="2" spans="1:13" x14ac:dyDescent="0.3">
      <c r="A2" t="s">
        <v>236</v>
      </c>
      <c r="B2" s="24" t="s">
        <v>260</v>
      </c>
      <c r="C2" s="1">
        <v>123864995.54000001</v>
      </c>
      <c r="D2" s="1">
        <v>129065290.09999999</v>
      </c>
      <c r="E2" s="1">
        <v>120036876.19</v>
      </c>
      <c r="F2" s="1">
        <v>120642156.45999999</v>
      </c>
      <c r="G2" s="1">
        <v>120474346.48999999</v>
      </c>
      <c r="H2" s="1">
        <v>120021590.8</v>
      </c>
      <c r="I2" s="1">
        <v>121242161.43000001</v>
      </c>
      <c r="J2" s="1">
        <v>122074862.61</v>
      </c>
      <c r="K2" s="1">
        <v>127447902.47</v>
      </c>
      <c r="L2" s="1">
        <v>136899481.44999999</v>
      </c>
      <c r="M2" s="1">
        <f>L2-K2</f>
        <v>9451578.9799999893</v>
      </c>
    </row>
    <row r="3" spans="1:13" x14ac:dyDescent="0.3">
      <c r="A3" t="s">
        <v>237</v>
      </c>
      <c r="B3" s="24" t="s">
        <v>260</v>
      </c>
      <c r="C3" s="1">
        <v>26140931.010000002</v>
      </c>
      <c r="D3" s="1">
        <v>15070295.890000001</v>
      </c>
      <c r="E3" s="1">
        <v>24589193.850000001</v>
      </c>
      <c r="F3" s="1">
        <v>24223397.170000002</v>
      </c>
      <c r="G3" s="1">
        <v>25037105.120000001</v>
      </c>
      <c r="H3" s="1">
        <v>25037105.120000001</v>
      </c>
      <c r="I3" s="1">
        <v>24954769.27</v>
      </c>
      <c r="J3" s="1">
        <v>26296180.370000001</v>
      </c>
      <c r="K3" s="1">
        <v>26564782.43</v>
      </c>
      <c r="L3" s="1">
        <v>26508774.43</v>
      </c>
      <c r="M3" s="1">
        <f t="shared" ref="M3:M29" si="0">L3-K3</f>
        <v>-56008</v>
      </c>
    </row>
    <row r="4" spans="1:13" x14ac:dyDescent="0.3">
      <c r="A4" t="s">
        <v>238</v>
      </c>
      <c r="B4" s="24" t="s">
        <v>260</v>
      </c>
      <c r="C4" s="1">
        <f>20649492.69+16862863.62</f>
        <v>37512356.310000002</v>
      </c>
      <c r="D4" s="1">
        <v>29613506.25</v>
      </c>
      <c r="E4" s="1">
        <v>21344787.07</v>
      </c>
      <c r="F4" s="1">
        <v>22235714.260000002</v>
      </c>
      <c r="G4" s="1">
        <v>24532823.530000001</v>
      </c>
      <c r="H4" s="1">
        <v>23897238.75</v>
      </c>
      <c r="I4" s="1">
        <v>47793953.780000001</v>
      </c>
      <c r="J4" s="1">
        <v>40337884.990000002</v>
      </c>
      <c r="K4" s="1">
        <v>39284767.07</v>
      </c>
      <c r="L4" s="1">
        <v>37979872.030000001</v>
      </c>
      <c r="M4" s="1">
        <f t="shared" si="0"/>
        <v>-1304895.0399999991</v>
      </c>
    </row>
    <row r="5" spans="1:13" x14ac:dyDescent="0.3">
      <c r="A5" t="s">
        <v>239</v>
      </c>
      <c r="B5" s="24" t="s">
        <v>260</v>
      </c>
      <c r="C5" s="1">
        <f>11204111.61+43477.6+21711837.15</f>
        <v>32959426.359999999</v>
      </c>
      <c r="D5" s="1">
        <v>33412148.550000001</v>
      </c>
      <c r="E5" s="1">
        <v>33341082.629999999</v>
      </c>
      <c r="F5" s="1">
        <v>32177763.780000001</v>
      </c>
      <c r="G5" s="1">
        <v>23045051.489999998</v>
      </c>
      <c r="H5" s="1">
        <v>23150140.690000001</v>
      </c>
      <c r="I5" s="1">
        <v>17002628.600000001</v>
      </c>
      <c r="J5" s="1">
        <v>24031883.010000002</v>
      </c>
      <c r="K5" s="1">
        <v>27632635.420000002</v>
      </c>
      <c r="L5" s="1">
        <v>31050923.699999999</v>
      </c>
      <c r="M5" s="1">
        <f t="shared" si="0"/>
        <v>3418288.2799999975</v>
      </c>
    </row>
    <row r="6" spans="1:13" x14ac:dyDescent="0.3">
      <c r="A6" t="s">
        <v>240</v>
      </c>
      <c r="B6" s="24" t="s">
        <v>260</v>
      </c>
      <c r="C6" s="1">
        <v>-11041.39</v>
      </c>
      <c r="D6" s="1">
        <v>-5247.77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f t="shared" si="0"/>
        <v>0</v>
      </c>
    </row>
    <row r="7" spans="1:13" x14ac:dyDescent="0.3">
      <c r="A7" t="s">
        <v>241</v>
      </c>
      <c r="B7" s="24" t="s">
        <v>260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f t="shared" si="0"/>
        <v>0</v>
      </c>
    </row>
    <row r="8" spans="1:13" x14ac:dyDescent="0.3">
      <c r="A8" t="s">
        <v>242</v>
      </c>
      <c r="B8" s="24" t="s">
        <v>260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f t="shared" si="0"/>
        <v>0</v>
      </c>
    </row>
    <row r="9" spans="1:13" x14ac:dyDescent="0.3">
      <c r="A9" s="30" t="s">
        <v>243</v>
      </c>
      <c r="B9" s="31" t="s">
        <v>260</v>
      </c>
      <c r="C9" s="32">
        <v>14687437.380000001</v>
      </c>
      <c r="D9" s="32">
        <v>13383733.42</v>
      </c>
      <c r="E9" s="32">
        <v>14593732.109999999</v>
      </c>
      <c r="F9" s="32">
        <v>20224425.260000002</v>
      </c>
      <c r="G9" s="32">
        <v>17337909.84</v>
      </c>
      <c r="H9" s="32">
        <v>24259725.329999998</v>
      </c>
      <c r="I9" s="32">
        <v>18168926.050000001</v>
      </c>
      <c r="J9" s="32">
        <v>21316761.68</v>
      </c>
      <c r="K9" s="32">
        <v>32663007.620000001</v>
      </c>
      <c r="L9" s="1">
        <v>28315004.420000002</v>
      </c>
      <c r="M9" s="1">
        <f t="shared" si="0"/>
        <v>-4348003.1999999993</v>
      </c>
    </row>
    <row r="10" spans="1:13" x14ac:dyDescent="0.3">
      <c r="A10" s="33" t="s">
        <v>264</v>
      </c>
      <c r="B10" s="34" t="s">
        <v>260</v>
      </c>
      <c r="C10" s="90">
        <f t="shared" ref="C10:D10" si="1">SUM(C2:C9)</f>
        <v>235154105.21000004</v>
      </c>
      <c r="D10" s="90">
        <f t="shared" si="1"/>
        <v>220539726.44</v>
      </c>
      <c r="E10" s="90">
        <f t="shared" ref="E10:G10" si="2">SUM(E2:E9)</f>
        <v>213905671.84999996</v>
      </c>
      <c r="F10" s="90">
        <f t="shared" si="2"/>
        <v>219503456.92999998</v>
      </c>
      <c r="G10" s="90">
        <f t="shared" si="2"/>
        <v>210427236.47</v>
      </c>
      <c r="H10" s="90">
        <f t="shared" ref="H10:L10" si="3">SUM(H2:H9)</f>
        <v>216365800.69</v>
      </c>
      <c r="I10" s="90">
        <f t="shared" ref="I10:K10" si="4">SUM(I2:I9)</f>
        <v>229162439.13000003</v>
      </c>
      <c r="J10" s="90">
        <f t="shared" si="4"/>
        <v>234057572.66</v>
      </c>
      <c r="K10" s="90">
        <f t="shared" si="4"/>
        <v>253593095.00999999</v>
      </c>
      <c r="L10" s="90">
        <f t="shared" si="3"/>
        <v>260754056.02999997</v>
      </c>
      <c r="M10" s="11">
        <f t="shared" si="0"/>
        <v>7160961.0199999809</v>
      </c>
    </row>
    <row r="11" spans="1:13" x14ac:dyDescent="0.3">
      <c r="A11" t="s">
        <v>244</v>
      </c>
      <c r="B11" s="24" t="s">
        <v>261</v>
      </c>
      <c r="C11" s="1">
        <v>2534738.33</v>
      </c>
      <c r="D11" s="1">
        <v>2316905.75</v>
      </c>
      <c r="E11" s="1">
        <v>2380058.09</v>
      </c>
      <c r="F11" s="1">
        <v>2045905.36</v>
      </c>
      <c r="G11" s="1">
        <v>1844210.14</v>
      </c>
      <c r="H11" s="1">
        <v>1776231.82</v>
      </c>
      <c r="I11" s="1">
        <v>2249541.13</v>
      </c>
      <c r="J11" s="1">
        <v>1837769.55</v>
      </c>
      <c r="K11" s="1">
        <v>1804545.09</v>
      </c>
      <c r="L11" s="1">
        <v>1727654.1</v>
      </c>
      <c r="M11" s="1">
        <f t="shared" si="0"/>
        <v>-76890.989999999991</v>
      </c>
    </row>
    <row r="12" spans="1:13" x14ac:dyDescent="0.3">
      <c r="A12" t="s">
        <v>245</v>
      </c>
      <c r="B12" s="24" t="s">
        <v>261</v>
      </c>
      <c r="C12" s="1">
        <v>115762292.56</v>
      </c>
      <c r="D12" s="1">
        <v>116760436.41</v>
      </c>
      <c r="E12" s="1">
        <v>116972691.5</v>
      </c>
      <c r="F12" s="1">
        <v>118072323.84999999</v>
      </c>
      <c r="G12" s="1">
        <v>110293655.04000001</v>
      </c>
      <c r="H12" s="1">
        <v>111648833.34999999</v>
      </c>
      <c r="I12" s="1">
        <v>106968605.48999999</v>
      </c>
      <c r="J12" s="1">
        <v>115605796.66</v>
      </c>
      <c r="K12" s="1">
        <v>134495096.03999999</v>
      </c>
      <c r="L12" s="1">
        <v>134615087.40000001</v>
      </c>
      <c r="M12" s="1">
        <f t="shared" si="0"/>
        <v>119991.36000001431</v>
      </c>
    </row>
    <row r="13" spans="1:13" x14ac:dyDescent="0.3">
      <c r="A13" t="s">
        <v>246</v>
      </c>
      <c r="B13" s="24" t="s">
        <v>261</v>
      </c>
      <c r="C13" s="1">
        <v>6753462.29</v>
      </c>
      <c r="D13" s="1">
        <v>5300895.53</v>
      </c>
      <c r="E13" s="1">
        <v>4873830.3899999997</v>
      </c>
      <c r="F13" s="1">
        <v>4639700.1900000004</v>
      </c>
      <c r="G13" s="1">
        <v>4859167.51</v>
      </c>
      <c r="H13" s="1">
        <v>4914119.28</v>
      </c>
      <c r="I13" s="1">
        <v>5165443.8499999996</v>
      </c>
      <c r="J13" s="1">
        <v>5535234.2400000002</v>
      </c>
      <c r="K13" s="1">
        <v>5183077.72</v>
      </c>
      <c r="L13" s="1">
        <v>6055567.4900000002</v>
      </c>
      <c r="M13" s="1">
        <f t="shared" si="0"/>
        <v>872489.77000000048</v>
      </c>
    </row>
    <row r="14" spans="1:13" x14ac:dyDescent="0.3">
      <c r="A14" t="s">
        <v>247</v>
      </c>
      <c r="B14" s="24" t="s">
        <v>261</v>
      </c>
      <c r="C14" s="1">
        <f>19541592.92+274254.07+2544525.33</f>
        <v>22360372.32</v>
      </c>
      <c r="D14" s="1">
        <v>24944096.300000001</v>
      </c>
      <c r="E14" s="1">
        <v>26385878.57</v>
      </c>
      <c r="F14" s="1">
        <v>23734422.989999998</v>
      </c>
      <c r="G14" s="1">
        <v>26983897.300000001</v>
      </c>
      <c r="H14" s="1">
        <v>22509110.030000001</v>
      </c>
      <c r="I14" s="1">
        <v>26472790.850000001</v>
      </c>
      <c r="J14" s="1">
        <v>30980755.440000001</v>
      </c>
      <c r="K14" s="1">
        <v>31157983.43</v>
      </c>
      <c r="L14" s="1">
        <v>30967809.949999999</v>
      </c>
      <c r="M14" s="1">
        <f t="shared" si="0"/>
        <v>-190173.48000000045</v>
      </c>
    </row>
    <row r="15" spans="1:13" x14ac:dyDescent="0.3">
      <c r="A15" t="s">
        <v>248</v>
      </c>
      <c r="B15" s="24" t="s">
        <v>261</v>
      </c>
      <c r="C15" s="1">
        <v>62280226.119999997</v>
      </c>
      <c r="D15" s="1">
        <v>60204673.659999996</v>
      </c>
      <c r="E15" s="1">
        <v>59266042.520000003</v>
      </c>
      <c r="F15" s="1">
        <v>58293837.009999998</v>
      </c>
      <c r="G15" s="1">
        <v>57863914.159999996</v>
      </c>
      <c r="H15" s="1">
        <v>58937374.030000001</v>
      </c>
      <c r="I15" s="1">
        <v>57178192.159999996</v>
      </c>
      <c r="J15" s="1">
        <v>57453985.490000002</v>
      </c>
      <c r="K15" s="1">
        <v>55569532.689999998</v>
      </c>
      <c r="L15" s="1">
        <v>57068477.049999997</v>
      </c>
      <c r="M15" s="1">
        <f t="shared" si="0"/>
        <v>1498944.3599999994</v>
      </c>
    </row>
    <row r="16" spans="1:13" x14ac:dyDescent="0.3">
      <c r="A16" t="s">
        <v>249</v>
      </c>
      <c r="B16" s="24" t="s">
        <v>261</v>
      </c>
      <c r="C16" s="1">
        <f>7358305.49+16278988.24</f>
        <v>23637293.73</v>
      </c>
      <c r="D16" s="1">
        <v>25261805.219999999</v>
      </c>
      <c r="E16" s="1">
        <v>20404828.239999998</v>
      </c>
      <c r="F16" s="1">
        <v>32759374.870000001</v>
      </c>
      <c r="G16" s="1">
        <v>33955876.869999997</v>
      </c>
      <c r="H16" s="1">
        <v>39527659.07</v>
      </c>
      <c r="I16" s="1">
        <v>41749495.770000003</v>
      </c>
      <c r="J16" s="1">
        <v>42732985.079999998</v>
      </c>
      <c r="K16" s="1">
        <v>48293765.799999997</v>
      </c>
      <c r="L16" s="1">
        <v>53312286.159999996</v>
      </c>
      <c r="M16" s="1">
        <f t="shared" si="0"/>
        <v>5018520.3599999994</v>
      </c>
    </row>
    <row r="17" spans="1:13" x14ac:dyDescent="0.3">
      <c r="A17" t="s">
        <v>250</v>
      </c>
      <c r="B17" s="24" t="s">
        <v>261</v>
      </c>
      <c r="C17" s="1">
        <v>0</v>
      </c>
      <c r="D17" s="1">
        <v>0</v>
      </c>
      <c r="E17" s="1">
        <v>-6611.89</v>
      </c>
      <c r="F17" s="1">
        <v>-3153.8</v>
      </c>
      <c r="G17" s="1">
        <v>-30070.75</v>
      </c>
      <c r="H17" s="1">
        <v>-5570.5</v>
      </c>
      <c r="I17" s="1">
        <v>-9555.27</v>
      </c>
      <c r="J17" s="1">
        <v>-6915.26</v>
      </c>
      <c r="K17" s="1">
        <v>-8202</v>
      </c>
      <c r="L17" s="1">
        <v>11138.83</v>
      </c>
      <c r="M17" s="1">
        <f t="shared" si="0"/>
        <v>19340.830000000002</v>
      </c>
    </row>
    <row r="18" spans="1:13" x14ac:dyDescent="0.3">
      <c r="A18" t="s">
        <v>251</v>
      </c>
      <c r="B18" s="24" t="s">
        <v>261</v>
      </c>
      <c r="C18" s="1">
        <v>0</v>
      </c>
      <c r="D18" s="1">
        <v>1423428.86</v>
      </c>
      <c r="E18" s="1">
        <v>42811.5</v>
      </c>
      <c r="F18" s="1">
        <v>1370616.35</v>
      </c>
      <c r="G18" s="1">
        <v>6239146.1900000004</v>
      </c>
      <c r="H18" s="1">
        <v>9826530.8800000008</v>
      </c>
      <c r="I18" s="1">
        <v>16986312.399999999</v>
      </c>
      <c r="J18" s="1">
        <v>5174444.3499999996</v>
      </c>
      <c r="K18" s="1">
        <v>11901605.800000001</v>
      </c>
      <c r="L18" s="1">
        <v>14231881.029999999</v>
      </c>
      <c r="M18" s="1">
        <f t="shared" si="0"/>
        <v>2330275.2299999986</v>
      </c>
    </row>
    <row r="19" spans="1:13" x14ac:dyDescent="0.3">
      <c r="A19" t="s">
        <v>14</v>
      </c>
      <c r="B19" s="24" t="s">
        <v>261</v>
      </c>
      <c r="C19" s="1">
        <v>11836636.02</v>
      </c>
      <c r="D19" s="1">
        <v>8271390.1500000004</v>
      </c>
      <c r="E19" s="1">
        <v>9534000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f t="shared" si="0"/>
        <v>0</v>
      </c>
    </row>
    <row r="20" spans="1:13" x14ac:dyDescent="0.3">
      <c r="A20" s="30" t="s">
        <v>252</v>
      </c>
      <c r="B20" s="31" t="s">
        <v>261</v>
      </c>
      <c r="C20" s="32">
        <v>2977979.63</v>
      </c>
      <c r="D20" s="32">
        <v>3354484.43</v>
      </c>
      <c r="E20" s="32">
        <v>2791006.44</v>
      </c>
      <c r="F20" s="32">
        <v>2955930.86</v>
      </c>
      <c r="G20" s="32">
        <v>3054175.89</v>
      </c>
      <c r="H20" s="32">
        <v>2446579.29</v>
      </c>
      <c r="I20" s="32">
        <v>1939041.98</v>
      </c>
      <c r="J20" s="32">
        <v>2075005.25</v>
      </c>
      <c r="K20" s="32">
        <v>2549506.7200000002</v>
      </c>
      <c r="L20" s="1">
        <v>2900750.32</v>
      </c>
      <c r="M20" s="1">
        <f t="shared" si="0"/>
        <v>351243.59999999963</v>
      </c>
    </row>
    <row r="21" spans="1:13" x14ac:dyDescent="0.3">
      <c r="A21" s="33" t="s">
        <v>265</v>
      </c>
      <c r="B21" s="34" t="s">
        <v>261</v>
      </c>
      <c r="C21" s="90">
        <f>SUM(C11:C20)</f>
        <v>248143001</v>
      </c>
      <c r="D21" s="90">
        <f>SUM(D11:D20)</f>
        <v>247838116.31000003</v>
      </c>
      <c r="E21" s="90">
        <f>SUM(E11:E20)</f>
        <v>242644535.36000004</v>
      </c>
      <c r="F21" s="90">
        <f t="shared" ref="F21:G21" si="5">SUM(F11:F20)</f>
        <v>243868957.67999998</v>
      </c>
      <c r="G21" s="90">
        <f t="shared" si="5"/>
        <v>245063972.34999999</v>
      </c>
      <c r="H21" s="90">
        <f t="shared" ref="H21:L21" si="6">SUM(H11:H20)</f>
        <v>251580867.24999997</v>
      </c>
      <c r="I21" s="90">
        <f t="shared" ref="I21:K21" si="7">SUM(I11:I20)</f>
        <v>258699868.35999998</v>
      </c>
      <c r="J21" s="90">
        <f t="shared" si="7"/>
        <v>261389060.79999998</v>
      </c>
      <c r="K21" s="90">
        <f t="shared" si="7"/>
        <v>290946911.29000002</v>
      </c>
      <c r="L21" s="90">
        <f t="shared" si="6"/>
        <v>300890652.32999992</v>
      </c>
      <c r="M21" s="11">
        <f t="shared" si="0"/>
        <v>9943741.0399999022</v>
      </c>
    </row>
    <row r="22" spans="1:13" x14ac:dyDescent="0.3">
      <c r="A22" t="s">
        <v>253</v>
      </c>
      <c r="B22" s="24" t="s">
        <v>260</v>
      </c>
      <c r="C22" s="1">
        <v>9860298.2300000004</v>
      </c>
      <c r="D22" s="1">
        <v>10012509.359999999</v>
      </c>
      <c r="E22" s="1">
        <v>9381724.4100000001</v>
      </c>
      <c r="F22" s="1">
        <v>9319176.6999999993</v>
      </c>
      <c r="G22" s="1">
        <v>9800872.2899999991</v>
      </c>
      <c r="H22" s="1">
        <v>10217487.84</v>
      </c>
      <c r="I22" s="1">
        <v>10278421.470000001</v>
      </c>
      <c r="J22" s="1">
        <v>11055651.359999999</v>
      </c>
      <c r="K22" s="1">
        <v>12162101.630000001</v>
      </c>
      <c r="L22" s="1">
        <v>12739780.93</v>
      </c>
      <c r="M22" s="1">
        <f t="shared" si="0"/>
        <v>577679.29999999888</v>
      </c>
    </row>
    <row r="23" spans="1:13" x14ac:dyDescent="0.3">
      <c r="A23" t="s">
        <v>254</v>
      </c>
      <c r="B23" s="24" t="s">
        <v>261</v>
      </c>
      <c r="C23" s="1">
        <v>371787.18</v>
      </c>
      <c r="D23" s="1">
        <v>183340.01</v>
      </c>
      <c r="E23" s="1">
        <v>286819.28000000003</v>
      </c>
      <c r="F23" s="1">
        <v>216767.43</v>
      </c>
      <c r="G23" s="1">
        <v>248555.98</v>
      </c>
      <c r="H23" s="1">
        <v>192032.22</v>
      </c>
      <c r="I23" s="1">
        <v>197864.47</v>
      </c>
      <c r="J23" s="1">
        <v>290512.75</v>
      </c>
      <c r="K23" s="1">
        <v>296956.63</v>
      </c>
      <c r="L23" s="1">
        <v>289192.14</v>
      </c>
      <c r="M23" s="1">
        <f t="shared" si="0"/>
        <v>-7764.4899999999907</v>
      </c>
    </row>
    <row r="24" spans="1:13" x14ac:dyDescent="0.3">
      <c r="A24" t="s">
        <v>255</v>
      </c>
      <c r="B24" s="24" t="s">
        <v>260</v>
      </c>
      <c r="C24" s="1">
        <v>72807.98</v>
      </c>
      <c r="D24" s="1">
        <v>947914.89</v>
      </c>
      <c r="E24" s="1">
        <v>425859.9</v>
      </c>
      <c r="F24" s="1">
        <v>0</v>
      </c>
      <c r="G24" s="1">
        <v>14949002.039999999</v>
      </c>
      <c r="H24" s="1">
        <v>355395.58</v>
      </c>
      <c r="I24" s="1">
        <v>-949976.8</v>
      </c>
      <c r="J24" s="1">
        <v>-1021663.71</v>
      </c>
      <c r="K24" s="1">
        <v>-1191763.68</v>
      </c>
      <c r="L24" s="1">
        <v>-241360.14</v>
      </c>
      <c r="M24" s="1">
        <f t="shared" si="0"/>
        <v>950403.53999999992</v>
      </c>
    </row>
    <row r="25" spans="1:13" x14ac:dyDescent="0.3">
      <c r="A25" t="s">
        <v>256</v>
      </c>
      <c r="B25" s="24" t="s">
        <v>260</v>
      </c>
      <c r="C25" s="1">
        <v>34783253.670000002</v>
      </c>
      <c r="D25" s="1">
        <v>21768158.059999999</v>
      </c>
      <c r="E25" s="1">
        <v>26214344.829999998</v>
      </c>
      <c r="F25" s="1">
        <v>23713018.859999999</v>
      </c>
      <c r="G25" s="1">
        <v>39249942.460000001</v>
      </c>
      <c r="H25" s="1">
        <v>32542084.469999999</v>
      </c>
      <c r="I25" s="1">
        <v>26314888.420000002</v>
      </c>
      <c r="J25" s="1">
        <v>23884622.370000001</v>
      </c>
      <c r="K25" s="1">
        <v>36569955.920000002</v>
      </c>
      <c r="L25" s="1">
        <v>44055782.359999999</v>
      </c>
      <c r="M25" s="1">
        <f t="shared" si="0"/>
        <v>7485826.4399999976</v>
      </c>
    </row>
    <row r="26" spans="1:13" x14ac:dyDescent="0.3">
      <c r="A26" t="s">
        <v>257</v>
      </c>
      <c r="B26" s="24" t="s">
        <v>261</v>
      </c>
      <c r="C26" s="1">
        <v>25670566.57</v>
      </c>
      <c r="D26" s="1">
        <v>1163376.29</v>
      </c>
      <c r="E26" s="1">
        <v>3237233.27</v>
      </c>
      <c r="F26" s="1">
        <v>3556801.79</v>
      </c>
      <c r="G26" s="1">
        <v>3992868.73</v>
      </c>
      <c r="H26" s="1">
        <v>2616997.27</v>
      </c>
      <c r="I26" s="1">
        <v>1874785.11</v>
      </c>
      <c r="J26" s="1">
        <v>8260250.9100000001</v>
      </c>
      <c r="K26" s="1">
        <v>5787618.9199999999</v>
      </c>
      <c r="L26" s="1">
        <v>11540746.779999999</v>
      </c>
      <c r="M26" s="1">
        <f t="shared" si="0"/>
        <v>5753127.8599999994</v>
      </c>
    </row>
    <row r="27" spans="1:13" x14ac:dyDescent="0.3">
      <c r="A27" t="s">
        <v>258</v>
      </c>
      <c r="B27" s="24" t="s">
        <v>261</v>
      </c>
      <c r="C27" s="1">
        <v>2925195.95</v>
      </c>
      <c r="D27" s="1">
        <v>2923723.82</v>
      </c>
      <c r="E27" s="1">
        <v>2926194.61</v>
      </c>
      <c r="F27" s="1">
        <v>2875901.4</v>
      </c>
      <c r="G27" s="1">
        <v>2904976.42</v>
      </c>
      <c r="H27" s="1">
        <v>2886898.7</v>
      </c>
      <c r="I27" s="1">
        <v>2851539.02</v>
      </c>
      <c r="J27" s="1">
        <v>2919339.24</v>
      </c>
      <c r="K27" s="1">
        <v>2881344.37</v>
      </c>
      <c r="L27" s="1">
        <v>2997088.09</v>
      </c>
      <c r="M27" s="1">
        <f t="shared" si="0"/>
        <v>115743.71999999974</v>
      </c>
    </row>
    <row r="28" spans="1:13" x14ac:dyDescent="0.3">
      <c r="A28" s="10" t="s">
        <v>259</v>
      </c>
      <c r="B28" s="34" t="s">
        <v>262</v>
      </c>
      <c r="C28" s="35">
        <f>C10-C21+C22-C23+C24+C25-C26-C27</f>
        <v>2759914.3900000406</v>
      </c>
      <c r="D28" s="35">
        <f>D10-D21+D22-D23+D24+D25-D26-D27</f>
        <v>1159752.3199999626</v>
      </c>
      <c r="E28" s="35">
        <f>E10-E21+E22-E23+E24+E25-E26-E27</f>
        <v>832818.46999991592</v>
      </c>
      <c r="F28" s="35">
        <f t="shared" ref="F28:G28" si="8">F10-F21+F22-F23+F24+F25-F26-F27</f>
        <v>2017224.189999999</v>
      </c>
      <c r="G28" s="35">
        <f t="shared" si="8"/>
        <v>22216679.780000001</v>
      </c>
      <c r="H28" s="35">
        <f t="shared" ref="H28:L28" si="9">H10-H21+H22-H23+H24+H25-H26-H27</f>
        <v>2203973.1400000257</v>
      </c>
      <c r="I28" s="35">
        <f t="shared" ref="I28:K28" si="10">I10-I21+I22-I23+I24+I25-I26-I27</f>
        <v>1181715.2600000412</v>
      </c>
      <c r="J28" s="35">
        <f t="shared" si="10"/>
        <v>-4882981.0199999865</v>
      </c>
      <c r="K28" s="35">
        <f t="shared" si="10"/>
        <v>1220557.6699999748</v>
      </c>
      <c r="L28" s="35">
        <f t="shared" si="9"/>
        <v>1590579.8400000464</v>
      </c>
      <c r="M28" s="35">
        <f t="shared" si="0"/>
        <v>370022.17000007164</v>
      </c>
    </row>
    <row r="29" spans="1:13" s="99" customFormat="1" x14ac:dyDescent="0.3">
      <c r="A29" s="70" t="s">
        <v>365</v>
      </c>
      <c r="B29" s="125"/>
      <c r="C29" s="126">
        <f>C10-SUM(C11:C15)+C17</f>
        <v>25463013.590000033</v>
      </c>
      <c r="D29" s="126">
        <f t="shared" ref="D29:L29" si="11">D10-SUM(D11:D15)+D17</f>
        <v>11012718.789999992</v>
      </c>
      <c r="E29" s="126">
        <f t="shared" si="11"/>
        <v>4020558.8899999415</v>
      </c>
      <c r="F29" s="126">
        <f t="shared" si="11"/>
        <v>12714113.73</v>
      </c>
      <c r="G29" s="126">
        <f t="shared" si="11"/>
        <v>8552321.5699999928</v>
      </c>
      <c r="H29" s="126">
        <f t="shared" si="11"/>
        <v>16574561.680000007</v>
      </c>
      <c r="I29" s="126">
        <f t="shared" si="11"/>
        <v>31118310.380000036</v>
      </c>
      <c r="J29" s="126">
        <f t="shared" si="11"/>
        <v>22637116.02</v>
      </c>
      <c r="K29" s="126">
        <f t="shared" ref="K29" si="12">K10-SUM(K11:K15)+K17</f>
        <v>25374658.039999992</v>
      </c>
      <c r="L29" s="126">
        <f t="shared" si="11"/>
        <v>30330598.86999996</v>
      </c>
      <c r="M29" s="126">
        <f t="shared" si="0"/>
        <v>4955940.8299999684</v>
      </c>
    </row>
  </sheetData>
  <conditionalFormatting sqref="C28:H28 L28:M28">
    <cfRule type="cellIs" dxfId="95" priority="26" operator="greaterThan">
      <formula>0</formula>
    </cfRule>
  </conditionalFormatting>
  <conditionalFormatting sqref="I28">
    <cfRule type="cellIs" dxfId="94" priority="12" operator="greaterThan">
      <formula>0</formula>
    </cfRule>
  </conditionalFormatting>
  <conditionalFormatting sqref="J28">
    <cfRule type="cellIs" dxfId="93" priority="11" operator="greaterThan">
      <formula>0</formula>
    </cfRule>
  </conditionalFormatting>
  <conditionalFormatting sqref="C29:J29 L29">
    <cfRule type="cellIs" dxfId="92" priority="10" operator="greaterThan">
      <formula>0</formula>
    </cfRule>
  </conditionalFormatting>
  <conditionalFormatting sqref="C29:J29 L29">
    <cfRule type="cellIs" dxfId="91" priority="9" operator="greaterThan">
      <formula>0</formula>
    </cfRule>
  </conditionalFormatting>
  <conditionalFormatting sqref="C29:J29 L29">
    <cfRule type="cellIs" dxfId="90" priority="8" operator="greaterThan">
      <formula>0</formula>
    </cfRule>
  </conditionalFormatting>
  <conditionalFormatting sqref="C29:J29 L29">
    <cfRule type="cellIs" dxfId="89" priority="7" operator="greaterThan">
      <formula>0</formula>
    </cfRule>
  </conditionalFormatting>
  <conditionalFormatting sqref="M29">
    <cfRule type="cellIs" dxfId="88" priority="6" operator="greaterThan">
      <formula>0</formula>
    </cfRule>
  </conditionalFormatting>
  <conditionalFormatting sqref="K28">
    <cfRule type="cellIs" dxfId="87" priority="5" operator="greaterThan">
      <formula>0</formula>
    </cfRule>
  </conditionalFormatting>
  <conditionalFormatting sqref="K29">
    <cfRule type="cellIs" dxfId="86" priority="4" operator="greaterThan">
      <formula>0</formula>
    </cfRule>
  </conditionalFormatting>
  <conditionalFormatting sqref="K29">
    <cfRule type="cellIs" dxfId="85" priority="3" operator="greaterThan">
      <formula>0</formula>
    </cfRule>
  </conditionalFormatting>
  <conditionalFormatting sqref="K29">
    <cfRule type="cellIs" dxfId="84" priority="2" operator="greaterThan">
      <formula>0</formula>
    </cfRule>
  </conditionalFormatting>
  <conditionalFormatting sqref="K29">
    <cfRule type="cellIs" dxfId="8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L2" sqref="L2:L16"/>
    </sheetView>
  </sheetViews>
  <sheetFormatPr defaultRowHeight="14.4" x14ac:dyDescent="0.3"/>
  <cols>
    <col min="1" max="1" width="37.5546875" customWidth="1"/>
    <col min="2" max="7" width="11.5546875" bestFit="1" customWidth="1"/>
    <col min="8" max="11" width="11.5546875" style="99" bestFit="1" customWidth="1"/>
    <col min="12" max="12" width="11.33203125" style="99" bestFit="1" customWidth="1"/>
  </cols>
  <sheetData>
    <row r="1" spans="1:12" x14ac:dyDescent="0.3">
      <c r="A1" s="39"/>
      <c r="B1" s="40">
        <v>2014</v>
      </c>
      <c r="C1" s="40">
        <v>2015</v>
      </c>
      <c r="D1" s="40">
        <v>2016</v>
      </c>
      <c r="E1" s="40">
        <v>2017</v>
      </c>
      <c r="F1" s="40">
        <v>2018</v>
      </c>
      <c r="G1" s="40">
        <v>2019</v>
      </c>
      <c r="H1" s="109">
        <v>2020</v>
      </c>
      <c r="I1" s="109">
        <v>2021</v>
      </c>
      <c r="J1" s="109">
        <v>2022</v>
      </c>
      <c r="K1" s="109">
        <v>2023</v>
      </c>
      <c r="L1" s="109" t="s">
        <v>266</v>
      </c>
    </row>
    <row r="2" spans="1:12" x14ac:dyDescent="0.3">
      <c r="A2" s="69" t="s">
        <v>346</v>
      </c>
      <c r="B2" s="62">
        <f>Conto_economico!C10</f>
        <v>235154105.21000004</v>
      </c>
      <c r="C2" s="62">
        <f>Conto_economico!D10</f>
        <v>220539726.44</v>
      </c>
      <c r="D2" s="62">
        <f>Conto_economico!E10</f>
        <v>213905671.84999996</v>
      </c>
      <c r="E2" s="62">
        <f>Conto_economico!F10</f>
        <v>219503456.92999998</v>
      </c>
      <c r="F2" s="62">
        <f>Conto_economico!G10</f>
        <v>210427236.47</v>
      </c>
      <c r="G2" s="62">
        <f>Conto_economico!H10</f>
        <v>216365800.69</v>
      </c>
      <c r="H2" s="62">
        <f>Conto_economico!I10</f>
        <v>229162439.13000003</v>
      </c>
      <c r="I2" s="62">
        <f>Conto_economico!J10</f>
        <v>234057572.66</v>
      </c>
      <c r="J2" s="62">
        <f>Conto_economico!K10</f>
        <v>253593095.00999999</v>
      </c>
      <c r="K2" s="62">
        <f>Conto_economico!L10</f>
        <v>260754056.02999997</v>
      </c>
      <c r="L2" s="62">
        <f t="shared" ref="L2:L16" si="0">K2-J2</f>
        <v>7160961.0199999809</v>
      </c>
    </row>
    <row r="3" spans="1:12" x14ac:dyDescent="0.3">
      <c r="A3" s="69" t="s">
        <v>341</v>
      </c>
      <c r="B3" s="62">
        <f>Conto_economico!C2</f>
        <v>123864995.54000001</v>
      </c>
      <c r="C3" s="62">
        <f>Conto_economico!D2</f>
        <v>129065290.09999999</v>
      </c>
      <c r="D3" s="62">
        <f>Conto_economico!E2</f>
        <v>120036876.19</v>
      </c>
      <c r="E3" s="62">
        <f>Conto_economico!F2</f>
        <v>120642156.45999999</v>
      </c>
      <c r="F3" s="62">
        <f>Conto_economico!G2</f>
        <v>120474346.48999999</v>
      </c>
      <c r="G3" s="62">
        <f>Conto_economico!H2</f>
        <v>120021590.8</v>
      </c>
      <c r="H3" s="62">
        <f>Conto_economico!I2</f>
        <v>121242161.43000001</v>
      </c>
      <c r="I3" s="62">
        <f>Conto_economico!J2</f>
        <v>122074862.61</v>
      </c>
      <c r="J3" s="62">
        <f>Conto_economico!K2</f>
        <v>127447902.47</v>
      </c>
      <c r="K3" s="62">
        <f>Conto_economico!L2</f>
        <v>136899481.44999999</v>
      </c>
      <c r="L3" s="62">
        <f t="shared" si="0"/>
        <v>9451578.9799999893</v>
      </c>
    </row>
    <row r="4" spans="1:12" x14ac:dyDescent="0.3">
      <c r="A4" s="69" t="s">
        <v>342</v>
      </c>
      <c r="B4" s="62">
        <f>Conto_economico!C4</f>
        <v>37512356.310000002</v>
      </c>
      <c r="C4" s="62">
        <f>Conto_economico!D4</f>
        <v>29613506.25</v>
      </c>
      <c r="D4" s="62">
        <f>Conto_economico!E4</f>
        <v>21344787.07</v>
      </c>
      <c r="E4" s="62">
        <f>Conto_economico!F4</f>
        <v>22235714.260000002</v>
      </c>
      <c r="F4" s="62">
        <f>Conto_economico!G4</f>
        <v>24532823.530000001</v>
      </c>
      <c r="G4" s="62">
        <f>Conto_economico!H4</f>
        <v>23897238.75</v>
      </c>
      <c r="H4" s="62">
        <f>Conto_economico!I4</f>
        <v>47793953.780000001</v>
      </c>
      <c r="I4" s="62">
        <f>Conto_economico!J4</f>
        <v>40337884.990000002</v>
      </c>
      <c r="J4" s="62">
        <f>Conto_economico!K4</f>
        <v>39284767.07</v>
      </c>
      <c r="K4" s="62">
        <f>Conto_economico!L4</f>
        <v>37979872.030000001</v>
      </c>
      <c r="L4" s="62">
        <f t="shared" si="0"/>
        <v>-1304895.0399999991</v>
      </c>
    </row>
    <row r="5" spans="1:12" x14ac:dyDescent="0.3">
      <c r="A5" s="69" t="s">
        <v>347</v>
      </c>
      <c r="B5" s="63">
        <f>Conto_economico!C21</f>
        <v>248143001</v>
      </c>
      <c r="C5" s="63">
        <f>Conto_economico!D21</f>
        <v>247838116.31000003</v>
      </c>
      <c r="D5" s="63">
        <f>Conto_economico!E21</f>
        <v>242644535.36000004</v>
      </c>
      <c r="E5" s="63">
        <f>Conto_economico!F21</f>
        <v>243868957.67999998</v>
      </c>
      <c r="F5" s="63">
        <f>Conto_economico!G21</f>
        <v>245063972.34999999</v>
      </c>
      <c r="G5" s="63">
        <f>Conto_economico!H21</f>
        <v>251580867.24999997</v>
      </c>
      <c r="H5" s="63">
        <f>Conto_economico!I21</f>
        <v>258699868.35999998</v>
      </c>
      <c r="I5" s="63">
        <f>Conto_economico!J21</f>
        <v>261389060.79999998</v>
      </c>
      <c r="J5" s="63">
        <f>Conto_economico!K21</f>
        <v>290946911.29000002</v>
      </c>
      <c r="K5" s="63">
        <f>Conto_economico!L21</f>
        <v>300890652.32999992</v>
      </c>
      <c r="L5" s="62">
        <f t="shared" si="0"/>
        <v>9943741.0399999022</v>
      </c>
    </row>
    <row r="6" spans="1:12" x14ac:dyDescent="0.3">
      <c r="A6" s="69" t="s">
        <v>343</v>
      </c>
      <c r="B6" s="62">
        <f>Conto_economico!C12</f>
        <v>115762292.56</v>
      </c>
      <c r="C6" s="62">
        <f>Conto_economico!D12</f>
        <v>116760436.41</v>
      </c>
      <c r="D6" s="62">
        <f>Conto_economico!E12</f>
        <v>116972691.5</v>
      </c>
      <c r="E6" s="62">
        <f>Conto_economico!F12</f>
        <v>118072323.84999999</v>
      </c>
      <c r="F6" s="62">
        <f>Conto_economico!G12</f>
        <v>110293655.04000001</v>
      </c>
      <c r="G6" s="62">
        <f>Conto_economico!H12</f>
        <v>111648833.34999999</v>
      </c>
      <c r="H6" s="62">
        <f>Conto_economico!I12</f>
        <v>106968605.48999999</v>
      </c>
      <c r="I6" s="62">
        <f>Conto_economico!J12</f>
        <v>115605796.66</v>
      </c>
      <c r="J6" s="62">
        <f>Conto_economico!K12</f>
        <v>134495096.03999999</v>
      </c>
      <c r="K6" s="62">
        <f>Conto_economico!L12</f>
        <v>134615087.40000001</v>
      </c>
      <c r="L6" s="62">
        <f t="shared" si="0"/>
        <v>119991.36000001431</v>
      </c>
    </row>
    <row r="7" spans="1:12" x14ac:dyDescent="0.3">
      <c r="A7" s="69" t="s">
        <v>344</v>
      </c>
      <c r="B7" s="62">
        <f>Conto_economico!C15</f>
        <v>62280226.119999997</v>
      </c>
      <c r="C7" s="62">
        <f>Conto_economico!D15</f>
        <v>60204673.659999996</v>
      </c>
      <c r="D7" s="62">
        <f>Conto_economico!E15</f>
        <v>59266042.520000003</v>
      </c>
      <c r="E7" s="62">
        <f>Conto_economico!F15</f>
        <v>58293837.009999998</v>
      </c>
      <c r="F7" s="62">
        <f>Conto_economico!G15</f>
        <v>57863914.159999996</v>
      </c>
      <c r="G7" s="62">
        <f>Conto_economico!H15</f>
        <v>58937374.030000001</v>
      </c>
      <c r="H7" s="62">
        <f>Conto_economico!I15</f>
        <v>57178192.159999996</v>
      </c>
      <c r="I7" s="62">
        <f>Conto_economico!J15</f>
        <v>57453985.490000002</v>
      </c>
      <c r="J7" s="62">
        <f>Conto_economico!K15</f>
        <v>55569532.689999998</v>
      </c>
      <c r="K7" s="62">
        <f>Conto_economico!L15</f>
        <v>57068477.049999997</v>
      </c>
      <c r="L7" s="62">
        <f t="shared" si="0"/>
        <v>1498944.3599999994</v>
      </c>
    </row>
    <row r="8" spans="1:12" x14ac:dyDescent="0.3">
      <c r="A8" s="69" t="s">
        <v>345</v>
      </c>
      <c r="B8" s="62">
        <f>Conto_economico!C16</f>
        <v>23637293.73</v>
      </c>
      <c r="C8" s="62">
        <f>Conto_economico!D16</f>
        <v>25261805.219999999</v>
      </c>
      <c r="D8" s="62">
        <f>Conto_economico!E16</f>
        <v>20404828.239999998</v>
      </c>
      <c r="E8" s="62">
        <f>Conto_economico!F16</f>
        <v>32759374.870000001</v>
      </c>
      <c r="F8" s="62">
        <f>Conto_economico!G16</f>
        <v>33955876.869999997</v>
      </c>
      <c r="G8" s="62">
        <f>Conto_economico!H16</f>
        <v>39527659.07</v>
      </c>
      <c r="H8" s="62">
        <f>Conto_economico!I16</f>
        <v>41749495.770000003</v>
      </c>
      <c r="I8" s="62">
        <f>Conto_economico!J16</f>
        <v>42732985.079999998</v>
      </c>
      <c r="J8" s="62">
        <f>Conto_economico!K16</f>
        <v>48293765.799999997</v>
      </c>
      <c r="K8" s="62">
        <f>Conto_economico!L16</f>
        <v>53312286.159999996</v>
      </c>
      <c r="L8" s="62">
        <f t="shared" si="0"/>
        <v>5018520.3599999994</v>
      </c>
    </row>
    <row r="9" spans="1:12" s="99" customFormat="1" x14ac:dyDescent="0.3">
      <c r="A9" s="45" t="s">
        <v>365</v>
      </c>
      <c r="B9" s="64">
        <f>Conto_economico!C29</f>
        <v>25463013.590000033</v>
      </c>
      <c r="C9" s="64">
        <f>Conto_economico!D29</f>
        <v>11012718.789999992</v>
      </c>
      <c r="D9" s="64">
        <f>Conto_economico!E29</f>
        <v>4020558.8899999415</v>
      </c>
      <c r="E9" s="64">
        <f>Conto_economico!F29</f>
        <v>12714113.73</v>
      </c>
      <c r="F9" s="64">
        <f>Conto_economico!G29</f>
        <v>8552321.5699999928</v>
      </c>
      <c r="G9" s="64">
        <f>Conto_economico!H29</f>
        <v>16574561.680000007</v>
      </c>
      <c r="H9" s="64">
        <f>Conto_economico!I29</f>
        <v>31118310.380000036</v>
      </c>
      <c r="I9" s="64">
        <f>Conto_economico!J29</f>
        <v>22637116.02</v>
      </c>
      <c r="J9" s="64">
        <f>Conto_economico!K29</f>
        <v>25374658.039999992</v>
      </c>
      <c r="K9" s="64">
        <f>Conto_economico!L29</f>
        <v>30330598.86999996</v>
      </c>
      <c r="L9" s="64">
        <f t="shared" si="0"/>
        <v>4955940.8299999684</v>
      </c>
    </row>
    <row r="10" spans="1:12" x14ac:dyDescent="0.3">
      <c r="A10" s="45" t="s">
        <v>307</v>
      </c>
      <c r="B10" s="64">
        <f t="shared" ref="B10:C10" si="1">B2-B5</f>
        <v>-12988895.789999962</v>
      </c>
      <c r="C10" s="64">
        <f t="shared" si="1"/>
        <v>-27298389.870000035</v>
      </c>
      <c r="D10" s="64">
        <f t="shared" ref="D10:F10" si="2">D2-D5</f>
        <v>-28738863.51000008</v>
      </c>
      <c r="E10" s="64">
        <f t="shared" si="2"/>
        <v>-24365500.75</v>
      </c>
      <c r="F10" s="64">
        <f t="shared" si="2"/>
        <v>-34636735.879999995</v>
      </c>
      <c r="G10" s="64">
        <f t="shared" ref="G10:K10" si="3">G2-G5</f>
        <v>-35215066.559999973</v>
      </c>
      <c r="H10" s="64">
        <f t="shared" ref="H10:J10" si="4">H2-H5</f>
        <v>-29537429.229999959</v>
      </c>
      <c r="I10" s="64">
        <f t="shared" si="4"/>
        <v>-27331488.139999986</v>
      </c>
      <c r="J10" s="64">
        <f t="shared" si="4"/>
        <v>-37353816.280000031</v>
      </c>
      <c r="K10" s="64">
        <f t="shared" si="3"/>
        <v>-40136596.299999952</v>
      </c>
      <c r="L10" s="64">
        <f t="shared" si="0"/>
        <v>-2782780.0199999213</v>
      </c>
    </row>
    <row r="11" spans="1:12" x14ac:dyDescent="0.3">
      <c r="A11" s="69" t="s">
        <v>308</v>
      </c>
      <c r="B11" s="62">
        <f>Conto_economico!C22-Conto_economico!C23</f>
        <v>9488511.0500000007</v>
      </c>
      <c r="C11" s="62">
        <f>Conto_economico!D22-Conto_economico!D23</f>
        <v>9829169.3499999996</v>
      </c>
      <c r="D11" s="62">
        <f>Conto_economico!E22-Conto_economico!E23</f>
        <v>9094905.1300000008</v>
      </c>
      <c r="E11" s="62">
        <f>Conto_economico!F22-Conto_economico!F23</f>
        <v>9102409.2699999996</v>
      </c>
      <c r="F11" s="62">
        <f>Conto_economico!G22-Conto_economico!G23</f>
        <v>9552316.3099999987</v>
      </c>
      <c r="G11" s="62">
        <f>Conto_economico!H22-Conto_economico!H23</f>
        <v>10025455.619999999</v>
      </c>
      <c r="H11" s="62">
        <f>Conto_economico!I22-Conto_economico!I23</f>
        <v>10080557</v>
      </c>
      <c r="I11" s="62">
        <f>Conto_economico!J22-Conto_economico!J23</f>
        <v>10765138.609999999</v>
      </c>
      <c r="J11" s="62">
        <f>Conto_economico!K22-Conto_economico!K23</f>
        <v>11865145</v>
      </c>
      <c r="K11" s="62">
        <f>Conto_economico!L22-Conto_economico!L23</f>
        <v>12450588.789999999</v>
      </c>
      <c r="L11" s="62">
        <f t="shared" si="0"/>
        <v>585443.78999999911</v>
      </c>
    </row>
    <row r="12" spans="1:12" x14ac:dyDescent="0.3">
      <c r="A12" s="69" t="s">
        <v>309</v>
      </c>
      <c r="B12" s="63">
        <f>Conto_economico!C25-Conto_economico!C26</f>
        <v>9112687.1000000015</v>
      </c>
      <c r="C12" s="63">
        <f>Conto_economico!D25-Conto_economico!D26</f>
        <v>20604781.77</v>
      </c>
      <c r="D12" s="63">
        <f>Conto_economico!E25-Conto_economico!E26</f>
        <v>22977111.559999999</v>
      </c>
      <c r="E12" s="63">
        <f>Conto_economico!F25-Conto_economico!F26</f>
        <v>20156217.07</v>
      </c>
      <c r="F12" s="63">
        <f>Conto_economico!G25-Conto_economico!G26</f>
        <v>35257073.730000004</v>
      </c>
      <c r="G12" s="63">
        <f>Conto_economico!H25-Conto_economico!H26</f>
        <v>29925087.199999999</v>
      </c>
      <c r="H12" s="63">
        <f>Conto_economico!I25-Conto_economico!I26</f>
        <v>24440103.310000002</v>
      </c>
      <c r="I12" s="63">
        <f>Conto_economico!J25-Conto_economico!J26</f>
        <v>15624371.460000001</v>
      </c>
      <c r="J12" s="63">
        <f>Conto_economico!K25-Conto_economico!K26</f>
        <v>30782337</v>
      </c>
      <c r="K12" s="63">
        <f>Conto_economico!L25-Conto_economico!L26</f>
        <v>32515035.579999998</v>
      </c>
      <c r="L12" s="62">
        <f t="shared" si="0"/>
        <v>1732698.5799999982</v>
      </c>
    </row>
    <row r="13" spans="1:12" x14ac:dyDescent="0.3">
      <c r="A13" s="69" t="s">
        <v>255</v>
      </c>
      <c r="B13" s="63">
        <f>Conto_economico!C24</f>
        <v>72807.98</v>
      </c>
      <c r="C13" s="63">
        <f>Conto_economico!D24</f>
        <v>947914.89</v>
      </c>
      <c r="D13" s="63">
        <f>Conto_economico!E24</f>
        <v>425859.9</v>
      </c>
      <c r="E13" s="63">
        <f>Conto_economico!F24</f>
        <v>0</v>
      </c>
      <c r="F13" s="63">
        <f>Conto_economico!G24</f>
        <v>14949002.039999999</v>
      </c>
      <c r="G13" s="63">
        <f>Conto_economico!H24</f>
        <v>355395.58</v>
      </c>
      <c r="H13" s="63">
        <f>Conto_economico!I24</f>
        <v>-949976.8</v>
      </c>
      <c r="I13" s="63">
        <f>Conto_economico!J24</f>
        <v>-1021663.71</v>
      </c>
      <c r="J13" s="63">
        <f>Conto_economico!K24</f>
        <v>-1191763.68</v>
      </c>
      <c r="K13" s="63">
        <f>Conto_economico!L24</f>
        <v>-241360.14</v>
      </c>
      <c r="L13" s="62">
        <f t="shared" si="0"/>
        <v>950403.53999999992</v>
      </c>
    </row>
    <row r="14" spans="1:12" x14ac:dyDescent="0.3">
      <c r="A14" s="45" t="s">
        <v>310</v>
      </c>
      <c r="B14" s="64">
        <f t="shared" ref="B14:C14" si="5">SUM(B10:B13)</f>
        <v>5685110.3400000408</v>
      </c>
      <c r="C14" s="64">
        <f t="shared" si="5"/>
        <v>4083476.1399999666</v>
      </c>
      <c r="D14" s="64">
        <f t="shared" ref="D14:F14" si="6">SUM(D10:D13)</f>
        <v>3759013.0799999214</v>
      </c>
      <c r="E14" s="64">
        <f t="shared" si="6"/>
        <v>4893125.59</v>
      </c>
      <c r="F14" s="64">
        <f t="shared" si="6"/>
        <v>25121656.200000007</v>
      </c>
      <c r="G14" s="64">
        <f t="shared" ref="G14:K14" si="7">SUM(G10:G13)</f>
        <v>5090871.8400000241</v>
      </c>
      <c r="H14" s="64">
        <f t="shared" ref="H14:J14" si="8">SUM(H10:H13)</f>
        <v>4033254.2800000431</v>
      </c>
      <c r="I14" s="64">
        <f t="shared" si="8"/>
        <v>-1963641.7799999854</v>
      </c>
      <c r="J14" s="64">
        <f t="shared" si="8"/>
        <v>4101902.0399999693</v>
      </c>
      <c r="K14" s="64">
        <f t="shared" si="7"/>
        <v>4587667.9300000453</v>
      </c>
      <c r="L14" s="64">
        <f t="shared" si="0"/>
        <v>485765.89000007603</v>
      </c>
    </row>
    <row r="15" spans="1:12" x14ac:dyDescent="0.3">
      <c r="A15" s="69" t="s">
        <v>258</v>
      </c>
      <c r="B15" s="62">
        <f>Conto_economico!C27</f>
        <v>2925195.95</v>
      </c>
      <c r="C15" s="62">
        <f>Conto_economico!D27</f>
        <v>2923723.82</v>
      </c>
      <c r="D15" s="62">
        <f>Conto_economico!E27</f>
        <v>2926194.61</v>
      </c>
      <c r="E15" s="62">
        <f>Conto_economico!F27</f>
        <v>2875901.4</v>
      </c>
      <c r="F15" s="62">
        <f>Conto_economico!G27</f>
        <v>2904976.42</v>
      </c>
      <c r="G15" s="62">
        <f>Conto_economico!H27</f>
        <v>2886898.7</v>
      </c>
      <c r="H15" s="62">
        <f>Conto_economico!I27</f>
        <v>2851539.02</v>
      </c>
      <c r="I15" s="62">
        <f>Conto_economico!J27</f>
        <v>2919339.24</v>
      </c>
      <c r="J15" s="62">
        <f>Conto_economico!K27</f>
        <v>2881344.37</v>
      </c>
      <c r="K15" s="62">
        <f>Conto_economico!L27</f>
        <v>2997088.09</v>
      </c>
      <c r="L15" s="62">
        <f t="shared" si="0"/>
        <v>115743.71999999974</v>
      </c>
    </row>
    <row r="16" spans="1:12" x14ac:dyDescent="0.3">
      <c r="A16" s="68" t="s">
        <v>259</v>
      </c>
      <c r="B16" s="65">
        <f t="shared" ref="B16:C16" si="9">B14-B15</f>
        <v>2759914.3900000406</v>
      </c>
      <c r="C16" s="65">
        <f t="shared" si="9"/>
        <v>1159752.3199999668</v>
      </c>
      <c r="D16" s="65">
        <f t="shared" ref="D16:F16" si="10">D14-D15</f>
        <v>832818.46999992151</v>
      </c>
      <c r="E16" s="65">
        <f t="shared" si="10"/>
        <v>2017224.19</v>
      </c>
      <c r="F16" s="65">
        <f t="shared" si="10"/>
        <v>22216679.780000009</v>
      </c>
      <c r="G16" s="65">
        <f t="shared" ref="G16:K16" si="11">G14-G15</f>
        <v>2203973.1400000239</v>
      </c>
      <c r="H16" s="65">
        <f t="shared" ref="H16:J16" si="12">H14-H15</f>
        <v>1181715.2600000431</v>
      </c>
      <c r="I16" s="65">
        <f t="shared" si="12"/>
        <v>-4882981.0199999856</v>
      </c>
      <c r="J16" s="65">
        <f t="shared" si="12"/>
        <v>1220557.6699999692</v>
      </c>
      <c r="K16" s="65">
        <f t="shared" si="11"/>
        <v>1590579.8400000455</v>
      </c>
      <c r="L16" s="65">
        <f t="shared" si="0"/>
        <v>370022.17000007629</v>
      </c>
    </row>
  </sheetData>
  <conditionalFormatting sqref="B16:G16 K16:L16">
    <cfRule type="cellIs" dxfId="82" priority="21" operator="greaterThan">
      <formula>0</formula>
    </cfRule>
  </conditionalFormatting>
  <conditionalFormatting sqref="B10:G10 B14:G14 K14:L14 K10:L10 L9">
    <cfRule type="cellIs" dxfId="81" priority="20" operator="lessThan">
      <formula>0</formula>
    </cfRule>
  </conditionalFormatting>
  <conditionalFormatting sqref="H16">
    <cfRule type="cellIs" dxfId="80" priority="8" operator="greaterThan">
      <formula>0</formula>
    </cfRule>
  </conditionalFormatting>
  <conditionalFormatting sqref="H14 H10">
    <cfRule type="cellIs" dxfId="79" priority="7" operator="lessThan">
      <formula>0</formula>
    </cfRule>
  </conditionalFormatting>
  <conditionalFormatting sqref="I16">
    <cfRule type="cellIs" dxfId="78" priority="6" operator="greaterThan">
      <formula>0</formula>
    </cfRule>
  </conditionalFormatting>
  <conditionalFormatting sqref="I14 I10">
    <cfRule type="cellIs" dxfId="77" priority="5" operator="lessThan">
      <formula>0</formula>
    </cfRule>
  </conditionalFormatting>
  <conditionalFormatting sqref="B9:I9 K9">
    <cfRule type="cellIs" dxfId="76" priority="4" operator="lessThan">
      <formula>0</formula>
    </cfRule>
  </conditionalFormatting>
  <conditionalFormatting sqref="J16">
    <cfRule type="cellIs" dxfId="75" priority="3" operator="greaterThan">
      <formula>0</formula>
    </cfRule>
  </conditionalFormatting>
  <conditionalFormatting sqref="J14 J10">
    <cfRule type="cellIs" dxfId="74" priority="2" operator="lessThan">
      <formula>0</formula>
    </cfRule>
  </conditionalFormatting>
  <conditionalFormatting sqref="J9">
    <cfRule type="cellIs" dxfId="7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topLeftCell="B1" workbookViewId="0">
      <selection activeCell="K2" sqref="K2:K28"/>
    </sheetView>
  </sheetViews>
  <sheetFormatPr defaultRowHeight="14.4" x14ac:dyDescent="0.3"/>
  <cols>
    <col min="1" max="1" width="51.6640625" style="30" bestFit="1" customWidth="1"/>
    <col min="2" max="7" width="12.6640625" bestFit="1" customWidth="1"/>
    <col min="8" max="11" width="12.6640625" style="99" bestFit="1" customWidth="1"/>
    <col min="12" max="13" width="12.6640625" bestFit="1" customWidth="1"/>
  </cols>
  <sheetData>
    <row r="1" spans="1:11" x14ac:dyDescent="0.3">
      <c r="A1" s="71"/>
      <c r="B1" s="93">
        <v>2014</v>
      </c>
      <c r="C1" s="93">
        <v>2015</v>
      </c>
      <c r="D1" s="93">
        <v>2016</v>
      </c>
      <c r="E1" s="67">
        <v>2017</v>
      </c>
      <c r="F1" s="67">
        <v>2018</v>
      </c>
      <c r="G1" s="67">
        <v>2019</v>
      </c>
      <c r="H1" s="67">
        <v>2020</v>
      </c>
      <c r="I1" s="67">
        <v>2021</v>
      </c>
      <c r="J1" s="67">
        <v>2022</v>
      </c>
      <c r="K1" s="67">
        <v>2023</v>
      </c>
    </row>
    <row r="2" spans="1:11" x14ac:dyDescent="0.3">
      <c r="A2" s="30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</row>
    <row r="3" spans="1:11" x14ac:dyDescent="0.3">
      <c r="A3" s="30" t="s">
        <v>213</v>
      </c>
      <c r="B3" s="1">
        <v>174941710.16999999</v>
      </c>
      <c r="C3" s="1">
        <v>4588761.8099999996</v>
      </c>
      <c r="D3" s="1">
        <v>4143839.45</v>
      </c>
      <c r="E3" s="1">
        <v>27650128.449999999</v>
      </c>
      <c r="F3" s="1">
        <v>29060265.27</v>
      </c>
      <c r="G3" s="1">
        <v>29871583.719999999</v>
      </c>
      <c r="H3" s="1">
        <v>38089387.030000001</v>
      </c>
      <c r="I3" s="1">
        <v>38924619.200000003</v>
      </c>
      <c r="J3" s="1">
        <v>43316590.539999999</v>
      </c>
      <c r="K3" s="1">
        <v>49763669.43</v>
      </c>
    </row>
    <row r="4" spans="1:11" x14ac:dyDescent="0.3">
      <c r="A4" s="30" t="s">
        <v>214</v>
      </c>
      <c r="B4" s="1">
        <v>1202019223.4400001</v>
      </c>
      <c r="C4" s="1">
        <v>1421544817.5699999</v>
      </c>
      <c r="D4" s="1">
        <v>1447475768.2</v>
      </c>
      <c r="E4" s="1">
        <v>1451584895.8699999</v>
      </c>
      <c r="F4" s="1">
        <v>1469802225.02</v>
      </c>
      <c r="G4" s="1">
        <v>1478188285.3099999</v>
      </c>
      <c r="H4" s="1">
        <v>1481592136.3</v>
      </c>
      <c r="I4" s="1">
        <v>1492198177.0799999</v>
      </c>
      <c r="J4" s="1">
        <v>1499178118.01</v>
      </c>
      <c r="K4" s="1">
        <v>1527794268.9400001</v>
      </c>
    </row>
    <row r="5" spans="1:11" x14ac:dyDescent="0.3">
      <c r="A5" s="30" t="s">
        <v>228</v>
      </c>
      <c r="B5" s="1">
        <f>170731584.94+2196533.09</f>
        <v>172928118.03</v>
      </c>
      <c r="C5" s="1">
        <v>158881417.25</v>
      </c>
      <c r="D5" s="1">
        <v>159307277.15000001</v>
      </c>
      <c r="E5" s="1">
        <v>168697092.22</v>
      </c>
      <c r="F5" s="1">
        <v>183521142.30000001</v>
      </c>
      <c r="G5" s="1">
        <v>183305148.84</v>
      </c>
      <c r="H5" s="1">
        <v>181720183.66999999</v>
      </c>
      <c r="I5" s="1">
        <v>180829351.09</v>
      </c>
      <c r="J5" s="1">
        <v>180296978.55000001</v>
      </c>
      <c r="K5" s="1">
        <v>180852548.99000001</v>
      </c>
    </row>
    <row r="6" spans="1:11" x14ac:dyDescent="0.3">
      <c r="A6" s="30" t="s">
        <v>229</v>
      </c>
      <c r="B6" s="1">
        <v>949644.71</v>
      </c>
      <c r="C6" s="1">
        <v>536479.18999999994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x14ac:dyDescent="0.3">
      <c r="A7" s="30" t="s">
        <v>230</v>
      </c>
      <c r="B7" s="1">
        <v>57409.51</v>
      </c>
      <c r="C7" s="1">
        <v>57409.51</v>
      </c>
      <c r="D7" s="1">
        <v>57409.51</v>
      </c>
      <c r="E7" s="1">
        <v>57409.51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3">
      <c r="A8" s="30" t="s">
        <v>231</v>
      </c>
      <c r="B8" s="1">
        <v>63972.7</v>
      </c>
      <c r="C8" s="1">
        <v>58724.93</v>
      </c>
      <c r="D8" s="1">
        <v>65336.82</v>
      </c>
      <c r="E8" s="1">
        <v>68490.62</v>
      </c>
      <c r="F8" s="1">
        <v>98561.37</v>
      </c>
      <c r="G8" s="1">
        <v>104131.87</v>
      </c>
      <c r="H8" s="1">
        <v>113687.14</v>
      </c>
      <c r="I8" s="1">
        <v>120602.4</v>
      </c>
      <c r="J8" s="1">
        <v>128804.4</v>
      </c>
      <c r="K8" s="1">
        <v>117665.57</v>
      </c>
    </row>
    <row r="9" spans="1:11" x14ac:dyDescent="0.3">
      <c r="A9" s="30" t="s">
        <v>215</v>
      </c>
      <c r="B9" s="1">
        <v>74534993.430000007</v>
      </c>
      <c r="C9" s="1">
        <v>69913469.540000007</v>
      </c>
      <c r="D9" s="1">
        <v>66041948.659999996</v>
      </c>
      <c r="E9" s="1">
        <v>96311864.290000007</v>
      </c>
      <c r="F9" s="1">
        <v>84799548.349999994</v>
      </c>
      <c r="G9" s="1">
        <v>54863651.979999997</v>
      </c>
      <c r="H9" s="1">
        <v>71060812.390000001</v>
      </c>
      <c r="I9" s="1">
        <v>67401865</v>
      </c>
      <c r="J9" s="1">
        <v>80531568.680000007</v>
      </c>
      <c r="K9" s="1">
        <v>91098841.030000001</v>
      </c>
    </row>
    <row r="10" spans="1:11" x14ac:dyDescent="0.3">
      <c r="A10" s="30" t="s">
        <v>232</v>
      </c>
      <c r="B10" s="1">
        <v>0</v>
      </c>
      <c r="C10" s="1">
        <v>660000</v>
      </c>
      <c r="D10" s="1">
        <v>0</v>
      </c>
      <c r="E10" s="1">
        <v>41429.879999999997</v>
      </c>
      <c r="F10" s="1">
        <v>1105533.52</v>
      </c>
      <c r="G10" s="1">
        <v>1162722.1000000001</v>
      </c>
      <c r="H10" s="1">
        <v>1152435.55</v>
      </c>
      <c r="I10" s="1">
        <v>1071827.17</v>
      </c>
      <c r="J10" s="1">
        <v>918380.54</v>
      </c>
      <c r="K10" s="1">
        <v>745129.57</v>
      </c>
    </row>
    <row r="11" spans="1:11" x14ac:dyDescent="0.3">
      <c r="A11" s="30" t="s">
        <v>216</v>
      </c>
      <c r="B11" s="1">
        <v>40923777.490000002</v>
      </c>
      <c r="C11" s="1">
        <v>66172627.700000003</v>
      </c>
      <c r="D11" s="1">
        <v>58257970.969999999</v>
      </c>
      <c r="E11" s="1">
        <v>65837958.729999997</v>
      </c>
      <c r="F11" s="1">
        <v>75709643.209999993</v>
      </c>
      <c r="G11" s="1">
        <v>88911324.790000007</v>
      </c>
      <c r="H11" s="1">
        <v>119921141.2</v>
      </c>
      <c r="I11" s="1">
        <v>133474870.28</v>
      </c>
      <c r="J11" s="1">
        <v>155871675.31999999</v>
      </c>
      <c r="K11" s="1">
        <v>159922455.58000001</v>
      </c>
    </row>
    <row r="12" spans="1:11" x14ac:dyDescent="0.3">
      <c r="A12" s="30" t="s">
        <v>217</v>
      </c>
      <c r="B12" s="1">
        <v>5587.49</v>
      </c>
      <c r="C12" s="1">
        <v>194360.33</v>
      </c>
      <c r="D12" s="1">
        <v>3593914.96</v>
      </c>
      <c r="E12" s="1">
        <v>5042950.53</v>
      </c>
      <c r="F12" s="1">
        <v>5881210.1399999997</v>
      </c>
      <c r="G12" s="1">
        <v>4815154.09</v>
      </c>
      <c r="H12" s="1">
        <v>4513151.3899999997</v>
      </c>
      <c r="I12" s="1">
        <v>4298801.8</v>
      </c>
      <c r="J12" s="1">
        <v>4330670.4400000004</v>
      </c>
      <c r="K12" s="1">
        <v>3942022.71</v>
      </c>
    </row>
    <row r="13" spans="1:11" x14ac:dyDescent="0.3">
      <c r="A13" s="10" t="s">
        <v>218</v>
      </c>
      <c r="B13" s="11">
        <f t="shared" ref="B13" si="0">SUM(B2:B12)</f>
        <v>1666424436.9700003</v>
      </c>
      <c r="C13" s="11">
        <f t="shared" ref="C13:F13" si="1">SUM(C2:C12)</f>
        <v>1722608067.8299999</v>
      </c>
      <c r="D13" s="11">
        <f t="shared" si="1"/>
        <v>1738943465.7200003</v>
      </c>
      <c r="E13" s="11">
        <f t="shared" si="1"/>
        <v>1815292220.0999999</v>
      </c>
      <c r="F13" s="11">
        <f t="shared" si="1"/>
        <v>1849978129.1799998</v>
      </c>
      <c r="G13" s="11">
        <f t="shared" ref="G13:K13" si="2">SUM(G2:G12)</f>
        <v>1841222002.6999996</v>
      </c>
      <c r="H13" s="11">
        <f t="shared" ref="H13:J13" si="3">SUM(H2:H12)</f>
        <v>1898162934.6700003</v>
      </c>
      <c r="I13" s="11">
        <f t="shared" si="3"/>
        <v>1918320114.02</v>
      </c>
      <c r="J13" s="11">
        <f t="shared" si="3"/>
        <v>1964572786.48</v>
      </c>
      <c r="K13" s="11">
        <f t="shared" si="2"/>
        <v>2014236601.8199999</v>
      </c>
    </row>
    <row r="14" spans="1:11" x14ac:dyDescent="0.3">
      <c r="A14" s="30" t="s">
        <v>219</v>
      </c>
      <c r="B14" s="1">
        <v>784008785.51999998</v>
      </c>
      <c r="C14" s="1">
        <v>784008785.51999998</v>
      </c>
      <c r="D14" s="1">
        <v>784008785.51999998</v>
      </c>
      <c r="E14" s="1">
        <v>98098174.650000006</v>
      </c>
      <c r="F14" s="1">
        <v>98098174.650000006</v>
      </c>
      <c r="G14" s="1">
        <v>98098174.650000006</v>
      </c>
      <c r="H14" s="1">
        <v>98098174.650000006</v>
      </c>
      <c r="I14" s="1">
        <v>98098174.650000006</v>
      </c>
      <c r="J14" s="1">
        <v>98098174.650000006</v>
      </c>
      <c r="K14" s="1">
        <v>98098174.650000006</v>
      </c>
    </row>
    <row r="15" spans="1:11" x14ac:dyDescent="0.3">
      <c r="A15" s="30" t="s">
        <v>220</v>
      </c>
      <c r="B15" s="91">
        <f>585357958.07+37913368.46+B16</f>
        <v>726427333.09000015</v>
      </c>
      <c r="C15" s="91">
        <v>780190913.74000001</v>
      </c>
      <c r="D15" s="91">
        <v>797146863.28999996</v>
      </c>
      <c r="E15" s="1">
        <v>1502404619.98</v>
      </c>
      <c r="F15" s="1">
        <v>1516525291.27</v>
      </c>
      <c r="G15" s="1">
        <v>1546665254.9400001</v>
      </c>
      <c r="H15" s="1">
        <v>952843737.99000001</v>
      </c>
      <c r="I15" s="1">
        <v>960844650.53999996</v>
      </c>
      <c r="J15" s="1">
        <v>969011981.83000004</v>
      </c>
      <c r="K15" s="1">
        <v>979254219.97000003</v>
      </c>
    </row>
    <row r="16" spans="1:11" x14ac:dyDescent="0.3">
      <c r="A16" s="30" t="s">
        <v>235</v>
      </c>
      <c r="B16" s="1">
        <v>103156006.56</v>
      </c>
      <c r="C16" s="1">
        <v>109157318.95</v>
      </c>
      <c r="D16" s="1">
        <v>114131580.97</v>
      </c>
      <c r="E16" s="1">
        <v>122874125.08</v>
      </c>
      <c r="F16" s="1">
        <v>133707297.39</v>
      </c>
      <c r="G16" s="1">
        <v>141870131.28</v>
      </c>
      <c r="H16" s="1">
        <v>147570491.19999999</v>
      </c>
      <c r="I16" s="1">
        <v>153987211.34999999</v>
      </c>
      <c r="J16" s="1">
        <v>162251817.27000001</v>
      </c>
      <c r="K16" s="1">
        <v>171847185.97999999</v>
      </c>
    </row>
    <row r="17" spans="1:13" x14ac:dyDescent="0.3">
      <c r="A17" s="30" t="s">
        <v>221</v>
      </c>
      <c r="B17" s="1">
        <v>2759914.39</v>
      </c>
      <c r="C17" s="1">
        <v>1159752.32</v>
      </c>
      <c r="D17" s="1">
        <v>832818.47</v>
      </c>
      <c r="E17" s="1">
        <v>2017224.19</v>
      </c>
      <c r="F17" s="1">
        <v>22216679.780000001</v>
      </c>
      <c r="G17" s="1">
        <v>2203973.14</v>
      </c>
      <c r="H17" s="1">
        <v>1181715.26</v>
      </c>
      <c r="I17" s="1">
        <v>-4882981.0199999996</v>
      </c>
      <c r="J17" s="1">
        <v>1220557.67</v>
      </c>
      <c r="K17" s="1">
        <v>1590579.84</v>
      </c>
    </row>
    <row r="18" spans="1:13" s="99" customFormat="1" x14ac:dyDescent="0.3">
      <c r="A18" s="30" t="s">
        <v>362</v>
      </c>
      <c r="B18" s="1"/>
      <c r="C18" s="1"/>
      <c r="D18" s="1"/>
      <c r="E18" s="1"/>
      <c r="F18" s="1"/>
      <c r="G18" s="1"/>
      <c r="H18" s="1">
        <v>601301111.32000005</v>
      </c>
      <c r="I18" s="1">
        <v>602220598.76999998</v>
      </c>
      <c r="J18" s="1">
        <v>598270464.30999994</v>
      </c>
      <c r="K18" s="1">
        <v>599820432.61000001</v>
      </c>
    </row>
    <row r="19" spans="1:13" s="99" customFormat="1" x14ac:dyDescent="0.3">
      <c r="A19" s="30" t="s">
        <v>363</v>
      </c>
      <c r="B19" s="1"/>
      <c r="C19" s="1"/>
      <c r="D19" s="1"/>
      <c r="E19" s="1"/>
      <c r="F19" s="1"/>
      <c r="G19" s="1"/>
      <c r="H19" s="1">
        <v>0</v>
      </c>
      <c r="I19" s="1">
        <v>0</v>
      </c>
      <c r="J19" s="1">
        <v>0</v>
      </c>
      <c r="K19" s="1">
        <v>0</v>
      </c>
    </row>
    <row r="20" spans="1:13" x14ac:dyDescent="0.3">
      <c r="A20" s="30" t="s">
        <v>222</v>
      </c>
      <c r="B20" s="1">
        <v>1178821.07</v>
      </c>
      <c r="C20" s="1">
        <v>2602249.9300000002</v>
      </c>
      <c r="D20" s="1">
        <v>1446411.63</v>
      </c>
      <c r="E20" s="1">
        <v>2817027.98</v>
      </c>
      <c r="F20" s="1">
        <v>8481174.1699999999</v>
      </c>
      <c r="G20" s="1">
        <v>17147588.170000002</v>
      </c>
      <c r="H20" s="1">
        <v>29708128.609999999</v>
      </c>
      <c r="I20" s="1">
        <v>27214717.16</v>
      </c>
      <c r="J20" s="1">
        <v>32029487.27</v>
      </c>
      <c r="K20" s="1">
        <v>36337230.039999999</v>
      </c>
    </row>
    <row r="21" spans="1:13" x14ac:dyDescent="0.3">
      <c r="A21" s="30" t="s">
        <v>209</v>
      </c>
      <c r="B21" s="1">
        <f>3700035.24+2702762.45+2447935.29+987971.61</f>
        <v>9838704.5899999999</v>
      </c>
      <c r="C21" s="1">
        <v>8005972.5700000003</v>
      </c>
      <c r="D21" s="1">
        <v>6551055.7000000002</v>
      </c>
      <c r="E21" s="1">
        <v>8821491.9000000004</v>
      </c>
      <c r="F21" s="1">
        <v>7478692.2300000004</v>
      </c>
      <c r="G21" s="1">
        <v>6773534.8399999999</v>
      </c>
      <c r="H21" s="1">
        <v>10339658.08</v>
      </c>
      <c r="I21" s="1">
        <v>9723036.4900000002</v>
      </c>
      <c r="J21" s="1">
        <v>14051725.119999999</v>
      </c>
      <c r="K21" s="1">
        <v>14600048.460000001</v>
      </c>
    </row>
    <row r="22" spans="1:13" x14ac:dyDescent="0.3">
      <c r="A22" s="30" t="s">
        <v>223</v>
      </c>
      <c r="B22" s="1">
        <v>60409521.719999999</v>
      </c>
      <c r="C22" s="1">
        <v>62617941.240000002</v>
      </c>
      <c r="D22" s="1">
        <v>49453627.43</v>
      </c>
      <c r="E22" s="1">
        <v>91035220.230000004</v>
      </c>
      <c r="F22" s="1">
        <v>79851955.530000001</v>
      </c>
      <c r="G22" s="1">
        <v>50785895.340000004</v>
      </c>
      <c r="H22" s="1">
        <v>55391508.140000001</v>
      </c>
      <c r="I22" s="1">
        <v>55901516.93</v>
      </c>
      <c r="J22" s="1">
        <v>66221610.82</v>
      </c>
      <c r="K22" s="1">
        <v>69419759.659999996</v>
      </c>
    </row>
    <row r="23" spans="1:13" x14ac:dyDescent="0.3">
      <c r="A23" s="30" t="s">
        <v>224</v>
      </c>
      <c r="B23" s="1">
        <f>6943245.97+7940.87+100822.26+5554703.4</f>
        <v>12606712.5</v>
      </c>
      <c r="C23" s="1">
        <f>6207502.38+527180.66+1003519.85+7279990.19</f>
        <v>15018193.08</v>
      </c>
      <c r="D23" s="1">
        <f>6512856.3+2517.77+285004.85+6421037.67</f>
        <v>13221416.59</v>
      </c>
      <c r="E23" s="1">
        <v>16228935.42</v>
      </c>
      <c r="F23" s="1">
        <v>11268198.970000001</v>
      </c>
      <c r="G23" s="1">
        <v>9049818.3100000005</v>
      </c>
      <c r="H23" s="1">
        <v>12690743.039999999</v>
      </c>
      <c r="I23" s="1">
        <v>9310987.5600000005</v>
      </c>
      <c r="J23" s="1">
        <v>10088495.789999999</v>
      </c>
      <c r="K23" s="1">
        <v>9902983.9000000004</v>
      </c>
    </row>
    <row r="24" spans="1:13" x14ac:dyDescent="0.3">
      <c r="A24" s="30" t="s">
        <v>225</v>
      </c>
      <c r="B24" s="1">
        <f>3418547.2+626819.41+1012764.34+8179223.03</f>
        <v>13237353.98</v>
      </c>
      <c r="C24" s="1">
        <f>1592753.17+8081665.72</f>
        <v>9674418.8900000006</v>
      </c>
      <c r="D24" s="1">
        <f>3246653.9+8892418.04</f>
        <v>12139071.939999999</v>
      </c>
      <c r="E24" s="1">
        <f>3188969.62+7725674.22</f>
        <v>10914643.84</v>
      </c>
      <c r="F24" s="1">
        <f>3255945.74+9838062.89</f>
        <v>13094008.630000001</v>
      </c>
      <c r="G24" s="1">
        <f>2463396.74+6579509.84</f>
        <v>9042906.5800000001</v>
      </c>
      <c r="H24" s="1">
        <f>4340621.69+7809445.58</f>
        <v>12150067.27</v>
      </c>
      <c r="I24" s="1">
        <f>3439356.6+7430223.63</f>
        <v>10869580.23</v>
      </c>
      <c r="J24" s="1">
        <f>1672012.51+7302512.76</f>
        <v>8974525.2699999996</v>
      </c>
      <c r="K24" s="1">
        <f>8180620.35+1993353.02</f>
        <v>10173973.369999999</v>
      </c>
      <c r="L24" s="1"/>
      <c r="M24" s="1"/>
    </row>
    <row r="25" spans="1:13" x14ac:dyDescent="0.3">
      <c r="A25" s="30" t="s">
        <v>226</v>
      </c>
      <c r="B25" s="1">
        <v>55957290.119999997</v>
      </c>
      <c r="C25" s="1">
        <v>59329840.539999999</v>
      </c>
      <c r="D25" s="1">
        <v>74143415.150000006</v>
      </c>
      <c r="E25" s="1">
        <v>82954881.909999996</v>
      </c>
      <c r="F25" s="1">
        <v>92963953.950000003</v>
      </c>
      <c r="G25" s="1">
        <v>101454856.73</v>
      </c>
      <c r="H25" s="1">
        <v>124458090.31</v>
      </c>
      <c r="I25" s="1">
        <v>149019832.71000001</v>
      </c>
      <c r="J25" s="1">
        <v>166605763.75</v>
      </c>
      <c r="K25" s="1">
        <v>195039199.31999999</v>
      </c>
    </row>
    <row r="26" spans="1:13" x14ac:dyDescent="0.3">
      <c r="A26" s="70" t="s">
        <v>227</v>
      </c>
      <c r="B26" s="3">
        <f>SUM(B14:B25)-B16</f>
        <v>1666424436.98</v>
      </c>
      <c r="C26" s="3">
        <f>SUM(C14:C25)-C16</f>
        <v>1722608067.8299999</v>
      </c>
      <c r="D26" s="3">
        <f>SUM(D14:D25)-D16</f>
        <v>1738943465.7200003</v>
      </c>
      <c r="E26" s="3">
        <f t="shared" ref="E26:F26" si="4">SUM(E14:E25)-E16</f>
        <v>1815292220.1000004</v>
      </c>
      <c r="F26" s="3">
        <f t="shared" si="4"/>
        <v>1849978129.1800003</v>
      </c>
      <c r="G26" s="3">
        <f t="shared" ref="G26:K26" si="5">SUM(G14:G25)-G16</f>
        <v>1841222002.7</v>
      </c>
      <c r="H26" s="3">
        <f t="shared" ref="H26" si="6">SUM(H14:H25)-H16</f>
        <v>1898162934.6699998</v>
      </c>
      <c r="I26" s="3">
        <f t="shared" ref="I26" si="7">SUM(I14:I25)-I16</f>
        <v>1918320114.0200002</v>
      </c>
      <c r="J26" s="3">
        <f t="shared" ref="J26" si="8">SUM(J14:J25)-J16</f>
        <v>1964572786.4799998</v>
      </c>
      <c r="K26" s="3">
        <f t="shared" si="5"/>
        <v>2014236601.8200002</v>
      </c>
    </row>
    <row r="27" spans="1:13" x14ac:dyDescent="0.3">
      <c r="A27" s="10" t="s">
        <v>267</v>
      </c>
      <c r="B27" s="11">
        <f t="shared" ref="B27:K27" si="9">B14+B15+B17+B18+B19</f>
        <v>1513196033.0000002</v>
      </c>
      <c r="C27" s="11">
        <f t="shared" si="9"/>
        <v>1565359451.5799999</v>
      </c>
      <c r="D27" s="11">
        <f t="shared" si="9"/>
        <v>1581988467.28</v>
      </c>
      <c r="E27" s="11">
        <f t="shared" si="9"/>
        <v>1602520018.8200002</v>
      </c>
      <c r="F27" s="11">
        <f t="shared" si="9"/>
        <v>1636840145.7</v>
      </c>
      <c r="G27" s="11">
        <f t="shared" si="9"/>
        <v>1646967402.7300003</v>
      </c>
      <c r="H27" s="11">
        <f t="shared" ref="H27:J27" si="10">H14+H15+H17+H18+H19</f>
        <v>1653424739.22</v>
      </c>
      <c r="I27" s="11">
        <f t="shared" si="10"/>
        <v>1656280442.9400001</v>
      </c>
      <c r="J27" s="11">
        <f t="shared" si="10"/>
        <v>1666601178.46</v>
      </c>
      <c r="K27" s="11">
        <f t="shared" si="9"/>
        <v>1678763407.0700002</v>
      </c>
    </row>
    <row r="28" spans="1:13" x14ac:dyDescent="0.3">
      <c r="F28" s="100">
        <f t="shared" ref="F28:K28" si="11">F27/F26*100</f>
        <v>88.47889171671055</v>
      </c>
      <c r="G28" s="100">
        <f t="shared" si="11"/>
        <v>89.449691580638216</v>
      </c>
      <c r="H28" s="100">
        <f t="shared" si="11"/>
        <v>87.106575996198771</v>
      </c>
      <c r="I28" s="100">
        <f t="shared" si="11"/>
        <v>86.340148906072088</v>
      </c>
      <c r="J28" s="100">
        <f t="shared" si="11"/>
        <v>84.832752949108752</v>
      </c>
      <c r="K28" s="100">
        <f t="shared" si="11"/>
        <v>83.344896302307433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A85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  <col min="4" max="6" width="7.44140625" bestFit="1" customWidth="1"/>
    <col min="7" max="11" width="7.44140625" style="99" bestFit="1" customWidth="1"/>
  </cols>
  <sheetData>
    <row r="1" spans="1:11" x14ac:dyDescent="0.3">
      <c r="A1" s="136" t="s">
        <v>210</v>
      </c>
      <c r="B1" s="136"/>
      <c r="C1" s="2" t="s">
        <v>211</v>
      </c>
      <c r="D1" s="2">
        <v>2016</v>
      </c>
      <c r="E1" s="2">
        <v>2017</v>
      </c>
      <c r="F1" s="2">
        <v>2018</v>
      </c>
      <c r="G1" s="113">
        <v>2019</v>
      </c>
      <c r="H1" s="121">
        <v>2020</v>
      </c>
      <c r="I1" s="124">
        <v>2021</v>
      </c>
      <c r="J1" s="129">
        <v>2022</v>
      </c>
      <c r="K1" s="121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28.3</v>
      </c>
      <c r="E3" s="7">
        <v>27.27</v>
      </c>
      <c r="F3" s="7">
        <v>28.19</v>
      </c>
      <c r="G3" s="7">
        <v>27.01</v>
      </c>
      <c r="H3" s="7">
        <v>25.99</v>
      </c>
      <c r="I3" s="7">
        <v>24.02</v>
      </c>
      <c r="J3" s="7">
        <v>23.39</v>
      </c>
      <c r="K3" s="7">
        <v>22.58</v>
      </c>
    </row>
    <row r="4" spans="1:11" x14ac:dyDescent="0.3">
      <c r="A4" t="s">
        <v>80</v>
      </c>
      <c r="D4" s="7"/>
      <c r="E4" s="7"/>
      <c r="F4" s="7"/>
      <c r="G4" s="7"/>
      <c r="H4" s="7"/>
      <c r="I4" s="7"/>
      <c r="J4" s="7"/>
      <c r="K4" s="7"/>
    </row>
    <row r="5" spans="1:11" x14ac:dyDescent="0.3">
      <c r="A5" t="s">
        <v>81</v>
      </c>
      <c r="B5" t="s">
        <v>82</v>
      </c>
      <c r="D5" s="7">
        <v>98.36</v>
      </c>
      <c r="E5" s="7">
        <v>102.17</v>
      </c>
      <c r="F5" s="7">
        <v>100.13</v>
      </c>
      <c r="G5" s="7">
        <v>103.14</v>
      </c>
      <c r="H5" s="7">
        <v>105.44</v>
      </c>
      <c r="I5" s="7">
        <v>104.83</v>
      </c>
      <c r="J5" s="7">
        <v>111.86</v>
      </c>
      <c r="K5" s="7">
        <v>103.92</v>
      </c>
    </row>
    <row r="6" spans="1:11" x14ac:dyDescent="0.3">
      <c r="A6" t="s">
        <v>83</v>
      </c>
      <c r="B6" t="s">
        <v>84</v>
      </c>
      <c r="D6" s="7">
        <v>98.91</v>
      </c>
      <c r="E6" s="7">
        <v>101.16</v>
      </c>
      <c r="F6" s="7">
        <v>99.94</v>
      </c>
      <c r="G6" s="7">
        <v>101.66</v>
      </c>
      <c r="H6" s="7">
        <v>101.3</v>
      </c>
      <c r="I6" s="7">
        <v>102.03</v>
      </c>
      <c r="J6" s="7">
        <v>102.55</v>
      </c>
      <c r="K6" s="7">
        <v>103.67</v>
      </c>
    </row>
    <row r="7" spans="1:11" x14ac:dyDescent="0.3">
      <c r="A7" t="s">
        <v>85</v>
      </c>
      <c r="B7" t="s">
        <v>86</v>
      </c>
      <c r="D7" s="7">
        <v>77.400000000000006</v>
      </c>
      <c r="E7" s="7">
        <v>82.05</v>
      </c>
      <c r="F7" s="7">
        <v>77.55</v>
      </c>
      <c r="G7" s="7">
        <v>80.959999999999994</v>
      </c>
      <c r="H7" s="7">
        <v>73.34</v>
      </c>
      <c r="I7" s="7">
        <v>78.34</v>
      </c>
      <c r="J7" s="7">
        <v>83.49</v>
      </c>
      <c r="K7" s="7">
        <v>80.16</v>
      </c>
    </row>
    <row r="8" spans="1:11" x14ac:dyDescent="0.3">
      <c r="A8" t="s">
        <v>87</v>
      </c>
      <c r="B8" t="s">
        <v>88</v>
      </c>
      <c r="D8" s="7">
        <v>77.83</v>
      </c>
      <c r="E8" s="7">
        <v>81.239999999999995</v>
      </c>
      <c r="F8" s="7">
        <v>77.41</v>
      </c>
      <c r="G8" s="7">
        <v>79.8</v>
      </c>
      <c r="H8" s="7">
        <v>70.459999999999994</v>
      </c>
      <c r="I8" s="7">
        <v>76.25</v>
      </c>
      <c r="J8" s="7">
        <v>76.540000000000006</v>
      </c>
      <c r="K8" s="7">
        <v>79.97</v>
      </c>
    </row>
    <row r="9" spans="1:11" x14ac:dyDescent="0.3">
      <c r="A9" t="s">
        <v>89</v>
      </c>
      <c r="B9" t="s">
        <v>90</v>
      </c>
      <c r="D9" s="7">
        <v>71.569999999999993</v>
      </c>
      <c r="E9" s="7">
        <v>71.86</v>
      </c>
      <c r="F9" s="7">
        <v>71.95</v>
      </c>
      <c r="G9" s="7">
        <v>88.57</v>
      </c>
      <c r="H9" s="7">
        <v>89.92</v>
      </c>
      <c r="I9" s="7">
        <v>85.29</v>
      </c>
      <c r="J9" s="7">
        <v>92.79</v>
      </c>
      <c r="K9" s="7">
        <v>85.67</v>
      </c>
    </row>
    <row r="10" spans="1:11" x14ac:dyDescent="0.3">
      <c r="A10" t="s">
        <v>91</v>
      </c>
      <c r="B10" t="s">
        <v>92</v>
      </c>
      <c r="D10" s="7">
        <v>71.89</v>
      </c>
      <c r="E10" s="7">
        <v>71.7</v>
      </c>
      <c r="F10" s="7">
        <v>72.010000000000005</v>
      </c>
      <c r="G10" s="7">
        <v>85.42</v>
      </c>
      <c r="H10" s="7">
        <v>86.56</v>
      </c>
      <c r="I10" s="7">
        <v>87.72</v>
      </c>
      <c r="J10" s="7">
        <v>89.21</v>
      </c>
      <c r="K10" s="7">
        <v>84.81</v>
      </c>
    </row>
    <row r="11" spans="1:11" x14ac:dyDescent="0.3">
      <c r="A11" t="s">
        <v>93</v>
      </c>
      <c r="B11" t="s">
        <v>94</v>
      </c>
      <c r="D11" s="7">
        <v>56.07</v>
      </c>
      <c r="E11" s="7">
        <v>57.25</v>
      </c>
      <c r="F11" s="7">
        <v>53.86</v>
      </c>
      <c r="G11" s="7">
        <v>68.819999999999993</v>
      </c>
      <c r="H11" s="7">
        <v>61.67</v>
      </c>
      <c r="I11" s="7">
        <v>62.18</v>
      </c>
      <c r="J11" s="7">
        <v>67.900000000000006</v>
      </c>
      <c r="K11" s="7">
        <v>64.69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56.32</v>
      </c>
      <c r="E12" s="7">
        <v>57.12</v>
      </c>
      <c r="F12" s="7">
        <v>53.91</v>
      </c>
      <c r="G12" s="7">
        <v>66.37</v>
      </c>
      <c r="H12" s="7">
        <v>59.37</v>
      </c>
      <c r="I12" s="7">
        <v>63.95</v>
      </c>
      <c r="J12" s="7">
        <v>65.28</v>
      </c>
      <c r="K12" s="7">
        <v>64.040000000000006</v>
      </c>
    </row>
    <row r="13" spans="1:11" x14ac:dyDescent="0.3">
      <c r="A13" t="s">
        <v>97</v>
      </c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3">
      <c r="A16" t="s">
        <v>102</v>
      </c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t="s">
        <v>103</v>
      </c>
      <c r="B17" t="s">
        <v>104</v>
      </c>
      <c r="D17" s="7">
        <v>29.59</v>
      </c>
      <c r="E17" s="7">
        <v>27.59</v>
      </c>
      <c r="F17" s="7">
        <v>29.35</v>
      </c>
      <c r="G17" s="7">
        <v>29.61</v>
      </c>
      <c r="H17" s="7">
        <v>30.46</v>
      </c>
      <c r="I17" s="7">
        <v>26.59</v>
      </c>
      <c r="J17" s="7">
        <v>25.98</v>
      </c>
      <c r="K17" s="7">
        <v>25.43</v>
      </c>
    </row>
    <row r="18" spans="1:11" x14ac:dyDescent="0.3">
      <c r="A18" t="s">
        <v>105</v>
      </c>
      <c r="B18" t="s">
        <v>106</v>
      </c>
      <c r="D18" s="7">
        <v>8.06</v>
      </c>
      <c r="E18" s="7">
        <v>8.08</v>
      </c>
      <c r="F18" s="7">
        <v>6.97</v>
      </c>
      <c r="G18" s="7">
        <v>8.4</v>
      </c>
      <c r="H18" s="7">
        <v>13.42</v>
      </c>
      <c r="I18" s="7">
        <v>6.57</v>
      </c>
      <c r="J18" s="7">
        <v>12.01</v>
      </c>
      <c r="K18" s="7">
        <v>10.53</v>
      </c>
    </row>
    <row r="19" spans="1:11" x14ac:dyDescent="0.3">
      <c r="A19" t="s">
        <v>107</v>
      </c>
      <c r="B19" t="s">
        <v>108</v>
      </c>
      <c r="D19" s="7">
        <v>4.3899999999999997</v>
      </c>
      <c r="E19" s="7">
        <v>4.26</v>
      </c>
      <c r="F19" s="7">
        <v>3.87</v>
      </c>
      <c r="G19" s="7">
        <v>3.85</v>
      </c>
      <c r="H19" s="7">
        <v>3.65</v>
      </c>
      <c r="I19" s="7">
        <v>5</v>
      </c>
      <c r="J19" s="7">
        <v>6.07</v>
      </c>
      <c r="K19" s="7">
        <v>3.77</v>
      </c>
    </row>
    <row r="20" spans="1:11" x14ac:dyDescent="0.3">
      <c r="A20" t="s">
        <v>109</v>
      </c>
      <c r="B20" t="s">
        <v>110</v>
      </c>
      <c r="D20" s="7">
        <v>333.25</v>
      </c>
      <c r="E20" s="7">
        <v>327.52999999999997</v>
      </c>
      <c r="F20" s="7">
        <v>325.56</v>
      </c>
      <c r="G20" s="7">
        <v>327.98</v>
      </c>
      <c r="H20" s="7">
        <v>338.26</v>
      </c>
      <c r="I20" s="7">
        <v>309.08999999999997</v>
      </c>
      <c r="J20" s="7">
        <v>332.91</v>
      </c>
      <c r="K20" s="7">
        <v>328.32</v>
      </c>
    </row>
    <row r="21" spans="1:11" x14ac:dyDescent="0.3">
      <c r="A21" t="s">
        <v>111</v>
      </c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t="s">
        <v>112</v>
      </c>
      <c r="B22" t="s">
        <v>113</v>
      </c>
      <c r="D22" s="7">
        <v>41.47</v>
      </c>
      <c r="E22" s="7">
        <v>43.36</v>
      </c>
      <c r="F22" s="7">
        <v>40.43</v>
      </c>
      <c r="G22" s="7">
        <v>41.12</v>
      </c>
      <c r="H22" s="7">
        <v>39</v>
      </c>
      <c r="I22" s="7">
        <v>40.950000000000003</v>
      </c>
      <c r="J22" s="7">
        <v>42.81</v>
      </c>
      <c r="K22" s="7">
        <v>41.54</v>
      </c>
    </row>
    <row r="23" spans="1:11" x14ac:dyDescent="0.3">
      <c r="A23" t="s">
        <v>114</v>
      </c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t="s">
        <v>115</v>
      </c>
      <c r="B24" t="s">
        <v>116</v>
      </c>
      <c r="D24" s="7">
        <v>0.14000000000000001</v>
      </c>
      <c r="E24" s="7">
        <v>0.09</v>
      </c>
      <c r="F24" s="7">
        <v>0.11</v>
      </c>
      <c r="G24" s="7">
        <v>0.08</v>
      </c>
      <c r="H24" s="7">
        <v>0.08</v>
      </c>
      <c r="I24" s="7">
        <v>0.1</v>
      </c>
      <c r="J24" s="7">
        <v>0.11</v>
      </c>
      <c r="K24" s="7">
        <v>0.11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1.04</v>
      </c>
      <c r="K26" s="7">
        <v>0</v>
      </c>
    </row>
    <row r="27" spans="1:11" x14ac:dyDescent="0.3">
      <c r="A27" t="s">
        <v>121</v>
      </c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t="s">
        <v>122</v>
      </c>
      <c r="B28" t="s">
        <v>123</v>
      </c>
      <c r="D28" s="7">
        <v>20.32</v>
      </c>
      <c r="E28" s="7">
        <v>20.25</v>
      </c>
      <c r="F28" s="7">
        <v>18.809999999999999</v>
      </c>
      <c r="G28" s="7">
        <v>14.64</v>
      </c>
      <c r="H28" s="7">
        <v>15.08</v>
      </c>
      <c r="I28" s="7">
        <v>15.53</v>
      </c>
      <c r="J28" s="7">
        <v>15.17</v>
      </c>
      <c r="K28" s="7">
        <v>20.68</v>
      </c>
    </row>
    <row r="29" spans="1:11" x14ac:dyDescent="0.3">
      <c r="A29" t="s">
        <v>124</v>
      </c>
      <c r="B29" t="s">
        <v>125</v>
      </c>
      <c r="D29" s="7">
        <v>283.33999999999997</v>
      </c>
      <c r="E29" s="7">
        <v>278.02999999999997</v>
      </c>
      <c r="F29" s="7">
        <v>248</v>
      </c>
      <c r="G29" s="7">
        <v>186.08</v>
      </c>
      <c r="H29" s="7">
        <v>180.61</v>
      </c>
      <c r="I29" s="7">
        <v>205.82</v>
      </c>
      <c r="J29" s="7">
        <v>205.33</v>
      </c>
      <c r="K29" s="7">
        <v>300.48</v>
      </c>
    </row>
    <row r="30" spans="1:11" x14ac:dyDescent="0.3">
      <c r="A30" t="s">
        <v>126</v>
      </c>
      <c r="B30" t="s">
        <v>127</v>
      </c>
      <c r="D30" s="7">
        <v>5.56</v>
      </c>
      <c r="E30" s="7">
        <v>25.98</v>
      </c>
      <c r="F30" s="7">
        <v>10.28</v>
      </c>
      <c r="G30" s="7">
        <v>5.74</v>
      </c>
      <c r="H30" s="7">
        <v>26.38</v>
      </c>
      <c r="I30" s="7">
        <v>10.31</v>
      </c>
      <c r="J30" s="7">
        <v>23.35</v>
      </c>
      <c r="K30" s="7">
        <v>37.26</v>
      </c>
    </row>
    <row r="31" spans="1:11" x14ac:dyDescent="0.3">
      <c r="A31" t="s">
        <v>128</v>
      </c>
      <c r="B31" t="s">
        <v>129</v>
      </c>
      <c r="D31" s="7">
        <v>288.91000000000003</v>
      </c>
      <c r="E31" s="7">
        <v>304.01</v>
      </c>
      <c r="F31" s="7">
        <v>258.27999999999997</v>
      </c>
      <c r="G31" s="7">
        <v>191.82</v>
      </c>
      <c r="H31" s="7">
        <v>206.99</v>
      </c>
      <c r="I31" s="7">
        <v>216.14</v>
      </c>
      <c r="J31" s="7">
        <v>228.68</v>
      </c>
      <c r="K31" s="7">
        <v>337.74</v>
      </c>
    </row>
    <row r="32" spans="1:11" x14ac:dyDescent="0.3">
      <c r="A32" t="s">
        <v>130</v>
      </c>
      <c r="B32" t="s">
        <v>131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spans="1:11" x14ac:dyDescent="0.3">
      <c r="A33" t="s">
        <v>132</v>
      </c>
      <c r="B33" t="s">
        <v>133</v>
      </c>
      <c r="D33" s="7">
        <v>0.15</v>
      </c>
      <c r="E33" s="7">
        <v>0</v>
      </c>
      <c r="F33" s="7">
        <v>0</v>
      </c>
      <c r="G33" s="7">
        <v>0.03</v>
      </c>
      <c r="H33" s="7">
        <v>0.06</v>
      </c>
      <c r="I33" s="7">
        <v>2.58</v>
      </c>
      <c r="J33" s="7">
        <v>0.31</v>
      </c>
      <c r="K33" s="7">
        <v>1.3</v>
      </c>
    </row>
    <row r="34" spans="1:11" x14ac:dyDescent="0.3">
      <c r="A34" t="s">
        <v>134</v>
      </c>
      <c r="B34" t="s">
        <v>135</v>
      </c>
      <c r="D34" s="7">
        <v>0.4</v>
      </c>
      <c r="E34" s="7">
        <v>0</v>
      </c>
      <c r="F34" s="7">
        <v>0</v>
      </c>
      <c r="G34" s="7">
        <v>0</v>
      </c>
      <c r="H34" s="7">
        <v>8.34</v>
      </c>
      <c r="I34" s="7">
        <v>8.32</v>
      </c>
      <c r="J34" s="7">
        <v>1.86</v>
      </c>
      <c r="K34" s="7">
        <v>1.83</v>
      </c>
    </row>
    <row r="35" spans="1:11" x14ac:dyDescent="0.3">
      <c r="A35" t="s">
        <v>136</v>
      </c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t="s">
        <v>137</v>
      </c>
      <c r="B36" t="s">
        <v>138</v>
      </c>
      <c r="D36" s="7">
        <v>77.599999999999994</v>
      </c>
      <c r="E36" s="7">
        <v>82.93</v>
      </c>
      <c r="F36" s="7">
        <v>80.25</v>
      </c>
      <c r="G36" s="7">
        <v>81.5</v>
      </c>
      <c r="H36" s="7">
        <v>84.79</v>
      </c>
      <c r="I36" s="7">
        <v>85.18</v>
      </c>
      <c r="J36" s="7">
        <v>84.43</v>
      </c>
      <c r="K36" s="7">
        <v>85.99</v>
      </c>
    </row>
    <row r="37" spans="1:11" x14ac:dyDescent="0.3">
      <c r="A37" t="s">
        <v>139</v>
      </c>
      <c r="B37" t="s">
        <v>140</v>
      </c>
      <c r="D37" s="7">
        <v>25.39</v>
      </c>
      <c r="E37" s="7">
        <v>78.22</v>
      </c>
      <c r="F37" s="7">
        <v>67.47</v>
      </c>
      <c r="G37" s="7">
        <v>26.08</v>
      </c>
      <c r="H37" s="7">
        <v>44.83</v>
      </c>
      <c r="I37" s="7">
        <v>45.45</v>
      </c>
      <c r="J37" s="7">
        <v>59.87</v>
      </c>
      <c r="K37" s="7">
        <v>58.39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</row>
    <row r="39" spans="1:11" x14ac:dyDescent="0.3">
      <c r="A39" t="s">
        <v>143</v>
      </c>
      <c r="B39" t="s">
        <v>144</v>
      </c>
      <c r="D39" s="7">
        <v>57.95</v>
      </c>
      <c r="E39" s="7">
        <v>49.8</v>
      </c>
      <c r="F39" s="7">
        <v>48.63</v>
      </c>
      <c r="G39" s="7">
        <v>63.67</v>
      </c>
      <c r="H39" s="7">
        <v>49.64</v>
      </c>
      <c r="I39" s="7">
        <v>50.98</v>
      </c>
      <c r="J39" s="7">
        <v>50.94</v>
      </c>
      <c r="K39" s="7">
        <v>50.84</v>
      </c>
    </row>
    <row r="40" spans="1:11" x14ac:dyDescent="0.3">
      <c r="A40" t="s">
        <v>145</v>
      </c>
      <c r="B40" t="s">
        <v>146</v>
      </c>
      <c r="D40" s="7">
        <v>15.5</v>
      </c>
      <c r="E40" s="7">
        <v>74.45</v>
      </c>
      <c r="F40" s="7">
        <v>70.42</v>
      </c>
      <c r="G40" s="7">
        <v>18.21</v>
      </c>
      <c r="H40" s="7">
        <v>52.38</v>
      </c>
      <c r="I40" s="7">
        <v>40.9</v>
      </c>
      <c r="J40" s="7">
        <v>34.78</v>
      </c>
      <c r="K40" s="7">
        <v>49.66</v>
      </c>
    </row>
    <row r="41" spans="1:11" x14ac:dyDescent="0.3">
      <c r="A41" t="s">
        <v>147</v>
      </c>
      <c r="B41" t="s">
        <v>148</v>
      </c>
      <c r="D41" s="7">
        <v>0</v>
      </c>
      <c r="E41" s="7">
        <v>91.38</v>
      </c>
      <c r="F41" s="7">
        <v>0</v>
      </c>
      <c r="G41" s="7">
        <v>0</v>
      </c>
      <c r="H41" s="7">
        <v>0</v>
      </c>
      <c r="I41" s="7">
        <v>0.08</v>
      </c>
      <c r="J41" s="7">
        <v>0</v>
      </c>
      <c r="K41" s="7">
        <v>44.52</v>
      </c>
    </row>
    <row r="42" spans="1:11" x14ac:dyDescent="0.3">
      <c r="A42" t="s">
        <v>149</v>
      </c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t="s">
        <v>150</v>
      </c>
      <c r="B43" t="s">
        <v>151</v>
      </c>
      <c r="D43" s="7">
        <v>80.239999999999995</v>
      </c>
      <c r="E43" s="7">
        <v>57.71</v>
      </c>
      <c r="F43" s="7">
        <v>62.07</v>
      </c>
      <c r="G43" s="7">
        <v>75.319999999999993</v>
      </c>
      <c r="H43" s="7">
        <v>69.89</v>
      </c>
      <c r="I43" s="7">
        <v>71.11</v>
      </c>
      <c r="J43" s="7">
        <v>69.430000000000007</v>
      </c>
      <c r="K43" s="7">
        <v>71.3</v>
      </c>
    </row>
    <row r="44" spans="1:11" x14ac:dyDescent="0.3">
      <c r="A44" t="s">
        <v>152</v>
      </c>
      <c r="B44" t="s">
        <v>153</v>
      </c>
      <c r="D44" s="7">
        <v>69.25</v>
      </c>
      <c r="E44" s="7">
        <v>66.45</v>
      </c>
      <c r="F44" s="7">
        <v>77.959999999999994</v>
      </c>
      <c r="G44" s="7">
        <v>78.569999999999993</v>
      </c>
      <c r="H44" s="7">
        <v>70.83</v>
      </c>
      <c r="I44" s="7">
        <v>69.290000000000006</v>
      </c>
      <c r="J44" s="7">
        <v>71.150000000000006</v>
      </c>
      <c r="K44" s="7">
        <v>73.5</v>
      </c>
    </row>
    <row r="45" spans="1:11" x14ac:dyDescent="0.3">
      <c r="A45" t="s">
        <v>154</v>
      </c>
      <c r="B45" t="s">
        <v>155</v>
      </c>
      <c r="D45" s="7">
        <v>61.59</v>
      </c>
      <c r="E45" s="7">
        <v>56.09</v>
      </c>
      <c r="F45" s="7">
        <v>61.62</v>
      </c>
      <c r="G45" s="7">
        <v>65.88</v>
      </c>
      <c r="H45" s="7">
        <v>71.459999999999994</v>
      </c>
      <c r="I45" s="7">
        <v>74.760000000000005</v>
      </c>
      <c r="J45" s="7">
        <v>79.19</v>
      </c>
      <c r="K45" s="7">
        <v>85.4</v>
      </c>
    </row>
    <row r="46" spans="1:11" x14ac:dyDescent="0.3">
      <c r="A46" t="s">
        <v>156</v>
      </c>
      <c r="B46" t="s">
        <v>157</v>
      </c>
      <c r="D46" s="7">
        <v>42.89</v>
      </c>
      <c r="E46" s="7">
        <v>42.96</v>
      </c>
      <c r="F46" s="7">
        <v>62.8</v>
      </c>
      <c r="G46" s="7">
        <v>50.69</v>
      </c>
      <c r="H46" s="7">
        <v>50.21</v>
      </c>
      <c r="I46" s="7">
        <v>33.67</v>
      </c>
      <c r="J46" s="7">
        <v>40.57</v>
      </c>
      <c r="K46" s="7">
        <v>36.520000000000003</v>
      </c>
    </row>
    <row r="47" spans="1:11" x14ac:dyDescent="0.3">
      <c r="A47" t="s">
        <v>158</v>
      </c>
      <c r="B47" t="s">
        <v>159</v>
      </c>
      <c r="D47" s="7">
        <v>-8.34</v>
      </c>
      <c r="E47" s="7">
        <v>-6.91</v>
      </c>
      <c r="F47" s="7">
        <v>-9.31</v>
      </c>
      <c r="G47" s="7">
        <v>-10.85</v>
      </c>
      <c r="H47" s="7">
        <v>-11.33</v>
      </c>
      <c r="I47" s="7">
        <v>-13.48</v>
      </c>
      <c r="J47" s="7">
        <v>-12.08</v>
      </c>
      <c r="K47" s="7">
        <v>-18.79</v>
      </c>
    </row>
    <row r="48" spans="1:11" x14ac:dyDescent="0.3">
      <c r="A48" t="s">
        <v>160</v>
      </c>
      <c r="D48" s="7"/>
      <c r="E48" s="7"/>
      <c r="F48" s="7"/>
      <c r="G48" s="7"/>
      <c r="H48" s="7"/>
      <c r="I48" s="7"/>
      <c r="J48" s="7"/>
      <c r="K48" s="7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1:11" x14ac:dyDescent="0.3">
      <c r="A50" t="s">
        <v>163</v>
      </c>
      <c r="B50" t="s">
        <v>164</v>
      </c>
      <c r="D50" s="7">
        <v>20.95</v>
      </c>
      <c r="E50" s="7">
        <v>0</v>
      </c>
      <c r="F50" s="7">
        <v>0</v>
      </c>
      <c r="G50" s="7">
        <v>8.9</v>
      </c>
      <c r="H50" s="7">
        <v>1.02</v>
      </c>
      <c r="I50" s="7">
        <v>6.22</v>
      </c>
      <c r="J50" s="7">
        <v>5.5</v>
      </c>
      <c r="K50" s="7">
        <v>5.56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0.89</v>
      </c>
      <c r="E51" s="7">
        <v>0.79</v>
      </c>
      <c r="F51" s="7">
        <v>0.71</v>
      </c>
      <c r="G51" s="7">
        <v>0.37</v>
      </c>
      <c r="H51" s="7">
        <v>0.11</v>
      </c>
      <c r="I51" s="7">
        <v>0.37</v>
      </c>
      <c r="J51" s="7">
        <v>0.41</v>
      </c>
      <c r="K51" s="7">
        <v>0.39</v>
      </c>
    </row>
    <row r="52" spans="1:11" x14ac:dyDescent="0.3">
      <c r="A52" t="s">
        <v>167</v>
      </c>
      <c r="B52" t="s">
        <v>168</v>
      </c>
      <c r="D52" s="7">
        <v>35.14</v>
      </c>
      <c r="E52" s="7">
        <v>47.27</v>
      </c>
      <c r="F52" s="7">
        <v>39.909999999999997</v>
      </c>
      <c r="G52" s="7">
        <v>38.71</v>
      </c>
      <c r="H52" s="7">
        <v>55.36</v>
      </c>
      <c r="I52" s="7">
        <v>78.92</v>
      </c>
      <c r="J52" s="7">
        <v>75.25</v>
      </c>
      <c r="K52" s="7">
        <v>78.59</v>
      </c>
    </row>
    <row r="53" spans="1:11" x14ac:dyDescent="0.3">
      <c r="A53" t="s">
        <v>169</v>
      </c>
      <c r="D53" s="7">
        <v>0</v>
      </c>
      <c r="E53" s="7">
        <v>11.041635695049653</v>
      </c>
      <c r="F53" s="7">
        <v>6.3755286976404131</v>
      </c>
      <c r="G53" s="7">
        <v>9.0394683786855285</v>
      </c>
      <c r="H53" s="7">
        <v>10.464932345969101</v>
      </c>
      <c r="I53" s="7">
        <v>8.6192044748466028</v>
      </c>
      <c r="J53" s="7">
        <v>10.767110221358161</v>
      </c>
      <c r="K53" s="7">
        <v>13.198888378472382</v>
      </c>
    </row>
    <row r="54" spans="1:11" x14ac:dyDescent="0.3">
      <c r="A54" t="s">
        <v>170</v>
      </c>
      <c r="B54" t="s">
        <v>171</v>
      </c>
      <c r="D54" s="7">
        <v>-8.5619775775720605E-15</v>
      </c>
      <c r="E54" s="7">
        <v>0</v>
      </c>
      <c r="F54" s="7">
        <v>0</v>
      </c>
      <c r="G54" s="7">
        <v>5.7336880032689308</v>
      </c>
      <c r="H54" s="7">
        <v>9.1199811943124214</v>
      </c>
      <c r="I54" s="7">
        <v>7.605980884075092</v>
      </c>
      <c r="J54" s="7">
        <v>9.8571400737117258</v>
      </c>
      <c r="K54" s="7">
        <v>12.704561461458663</v>
      </c>
    </row>
    <row r="55" spans="1:11" x14ac:dyDescent="0.3">
      <c r="A55" t="s">
        <v>172</v>
      </c>
      <c r="B55" t="s">
        <v>173</v>
      </c>
      <c r="D55" s="7">
        <v>6.6658300604733158</v>
      </c>
      <c r="E55" s="7">
        <v>11.041635695049653</v>
      </c>
      <c r="F55" s="7">
        <v>6.3755286976404131</v>
      </c>
      <c r="G55" s="7">
        <v>3.3057803754165977</v>
      </c>
      <c r="H55" s="7">
        <v>1.3449511516566801</v>
      </c>
      <c r="I55" s="7">
        <v>1.0132235907715104</v>
      </c>
      <c r="J55" s="7">
        <v>0.90997014764643536</v>
      </c>
      <c r="K55" s="7">
        <v>0.49432691701371839</v>
      </c>
    </row>
    <row r="56" spans="1:11" x14ac:dyDescent="0.3">
      <c r="A56" t="s">
        <v>174</v>
      </c>
      <c r="B56" t="s">
        <v>175</v>
      </c>
      <c r="D56" s="7">
        <v>75.198294680598721</v>
      </c>
      <c r="E56" s="7">
        <v>73.482757096227473</v>
      </c>
      <c r="F56" s="7">
        <v>80.184118177532142</v>
      </c>
      <c r="G56" s="7">
        <v>67.08214873532232</v>
      </c>
      <c r="H56" s="7">
        <v>72.651981208522827</v>
      </c>
      <c r="I56" s="7">
        <v>68.378391705215051</v>
      </c>
      <c r="J56" s="7">
        <v>65.654191795341333</v>
      </c>
      <c r="K56" s="7">
        <v>67.587373833705172</v>
      </c>
    </row>
    <row r="57" spans="1:11" x14ac:dyDescent="0.3">
      <c r="A57" t="s">
        <v>176</v>
      </c>
      <c r="B57" t="s">
        <v>177</v>
      </c>
      <c r="D57" s="7">
        <v>18.135875258927975</v>
      </c>
      <c r="E57" s="7">
        <v>15.475607208722877</v>
      </c>
      <c r="F57" s="7">
        <v>13.440353124827444</v>
      </c>
      <c r="G57" s="7">
        <v>23.878382885992146</v>
      </c>
      <c r="H57" s="7">
        <v>16.883086445508063</v>
      </c>
      <c r="I57" s="7">
        <v>23.002403819938344</v>
      </c>
      <c r="J57" s="7">
        <v>23.578697983300508</v>
      </c>
      <c r="K57" s="7">
        <v>19.213737787822449</v>
      </c>
    </row>
    <row r="58" spans="1:11" x14ac:dyDescent="0.3">
      <c r="A58" t="s">
        <v>178</v>
      </c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t="s">
        <v>179</v>
      </c>
      <c r="B59" t="s">
        <v>180</v>
      </c>
      <c r="D59" s="7"/>
      <c r="E59" s="7" t="s">
        <v>355</v>
      </c>
      <c r="F59" s="7" t="s">
        <v>355</v>
      </c>
      <c r="G59" s="7" t="s">
        <v>355</v>
      </c>
      <c r="H59" s="7" t="s">
        <v>355</v>
      </c>
      <c r="I59" s="7" t="s">
        <v>355</v>
      </c>
      <c r="J59" s="7" t="s">
        <v>355</v>
      </c>
      <c r="K59" s="7" t="s">
        <v>355</v>
      </c>
    </row>
    <row r="60" spans="1:11" x14ac:dyDescent="0.3">
      <c r="A60" t="s">
        <v>181</v>
      </c>
      <c r="B60" t="s">
        <v>182</v>
      </c>
      <c r="D60" s="7" t="s">
        <v>355</v>
      </c>
      <c r="E60" s="7" t="s">
        <v>355</v>
      </c>
      <c r="F60" s="7" t="s">
        <v>355</v>
      </c>
      <c r="G60" s="7" t="s">
        <v>355</v>
      </c>
      <c r="H60" s="7" t="s">
        <v>355</v>
      </c>
      <c r="I60" s="7" t="s">
        <v>355</v>
      </c>
      <c r="J60" s="7" t="s">
        <v>355</v>
      </c>
      <c r="K60" s="7" t="s">
        <v>355</v>
      </c>
    </row>
    <row r="61" spans="1:11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</row>
    <row r="63" spans="1:11" x14ac:dyDescent="0.3">
      <c r="A63" t="s">
        <v>187</v>
      </c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8" t="s">
        <v>188</v>
      </c>
      <c r="B64" s="8" t="s">
        <v>189</v>
      </c>
      <c r="C64" s="9">
        <v>1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</row>
    <row r="65" spans="1:11" x14ac:dyDescent="0.3">
      <c r="A65" s="8" t="s">
        <v>190</v>
      </c>
      <c r="B65" s="8" t="s">
        <v>191</v>
      </c>
      <c r="C65" s="9"/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</row>
    <row r="67" spans="1:11" x14ac:dyDescent="0.3">
      <c r="A67" t="s">
        <v>194</v>
      </c>
      <c r="D67" s="7"/>
      <c r="E67" s="7"/>
      <c r="F67" s="7"/>
      <c r="G67" s="7"/>
      <c r="H67" s="7"/>
      <c r="I67" s="7"/>
      <c r="J67" s="7"/>
      <c r="K67" s="7"/>
    </row>
    <row r="68" spans="1:11" x14ac:dyDescent="0.3">
      <c r="A68" t="s">
        <v>195</v>
      </c>
      <c r="B68" t="s">
        <v>196</v>
      </c>
      <c r="D68" s="7">
        <v>54.71</v>
      </c>
      <c r="E68" s="7">
        <v>79.23</v>
      </c>
      <c r="F68" s="28">
        <v>53.95</v>
      </c>
      <c r="G68" s="28">
        <v>46.88</v>
      </c>
      <c r="H68" s="28">
        <v>47.45</v>
      </c>
      <c r="I68" s="28">
        <v>67.78</v>
      </c>
      <c r="J68" s="28">
        <v>64.790000000000006</v>
      </c>
      <c r="K68" s="28">
        <v>59.07</v>
      </c>
    </row>
    <row r="69" spans="1:11" x14ac:dyDescent="0.3">
      <c r="A69" t="s">
        <v>197</v>
      </c>
      <c r="D69" s="7"/>
      <c r="E69" s="7"/>
      <c r="F69" s="7"/>
      <c r="G69" s="7"/>
      <c r="H69" s="7"/>
      <c r="I69" s="7"/>
      <c r="J69" s="7"/>
      <c r="K69" s="7"/>
    </row>
    <row r="70" spans="1:11" x14ac:dyDescent="0.3">
      <c r="A70" t="s">
        <v>198</v>
      </c>
      <c r="B70" t="s">
        <v>199</v>
      </c>
      <c r="D70" s="7">
        <v>14.47</v>
      </c>
      <c r="E70" s="28">
        <v>12.69</v>
      </c>
      <c r="F70" s="7">
        <v>14.41</v>
      </c>
      <c r="G70" s="7">
        <v>13.67</v>
      </c>
      <c r="H70" s="7">
        <v>12.53</v>
      </c>
      <c r="I70" s="7">
        <v>12.68</v>
      </c>
      <c r="J70" s="7">
        <v>11.66</v>
      </c>
      <c r="K70" s="7">
        <v>12.33</v>
      </c>
    </row>
    <row r="71" spans="1:11" x14ac:dyDescent="0.3">
      <c r="A71" t="s">
        <v>200</v>
      </c>
      <c r="B71" t="s">
        <v>201</v>
      </c>
      <c r="D71" s="7">
        <v>15.63</v>
      </c>
      <c r="E71" s="28">
        <v>13.21</v>
      </c>
      <c r="F71" s="7">
        <v>15.39</v>
      </c>
      <c r="G71" s="7">
        <v>15.22</v>
      </c>
      <c r="H71" s="7">
        <v>15.02</v>
      </c>
      <c r="I71" s="7">
        <v>14.2</v>
      </c>
      <c r="J71" s="7">
        <v>13.29</v>
      </c>
      <c r="K71" s="7">
        <v>14.2</v>
      </c>
    </row>
    <row r="72" spans="1:11" x14ac:dyDescent="0.3">
      <c r="A72" t="s">
        <v>305</v>
      </c>
      <c r="D72" s="7">
        <v>0</v>
      </c>
      <c r="E72" s="7"/>
      <c r="F72" s="7"/>
      <c r="G72" s="7"/>
      <c r="H72" s="7"/>
      <c r="I72" s="7"/>
      <c r="J72" s="7"/>
      <c r="K72" s="7"/>
    </row>
    <row r="73" spans="1:11" x14ac:dyDescent="0.3">
      <c r="B73" t="s">
        <v>202</v>
      </c>
      <c r="D73" s="7">
        <v>78.180000000000007</v>
      </c>
      <c r="E73" s="7">
        <v>79.27</v>
      </c>
      <c r="F73" s="7">
        <v>77.92</v>
      </c>
      <c r="G73" s="7">
        <v>82.15</v>
      </c>
      <c r="H73" s="7">
        <v>77.25</v>
      </c>
      <c r="I73" s="7">
        <v>76.31</v>
      </c>
      <c r="J73" s="7">
        <v>74.902527316844285</v>
      </c>
      <c r="K73" s="7">
        <v>69.060033572412422</v>
      </c>
    </row>
    <row r="74" spans="1:11" x14ac:dyDescent="0.3">
      <c r="B74" t="s">
        <v>203</v>
      </c>
      <c r="D74" s="7">
        <v>81.19</v>
      </c>
      <c r="E74" s="7">
        <v>84.73</v>
      </c>
      <c r="F74" s="7">
        <v>85.06</v>
      </c>
      <c r="G74" s="7">
        <v>87.54</v>
      </c>
      <c r="H74" s="7">
        <v>86.04</v>
      </c>
      <c r="I74" s="7">
        <v>84.76</v>
      </c>
      <c r="J74" s="7">
        <v>84.898509790969428</v>
      </c>
      <c r="K74" s="7">
        <v>80.352482322668038</v>
      </c>
    </row>
    <row r="75" spans="1:11" x14ac:dyDescent="0.3">
      <c r="B75" t="s">
        <v>204</v>
      </c>
      <c r="D75" s="7">
        <v>63.89</v>
      </c>
      <c r="E75" s="7">
        <v>58.57</v>
      </c>
      <c r="F75" s="7">
        <v>49.81</v>
      </c>
      <c r="G75" s="7">
        <v>55.16</v>
      </c>
      <c r="H75" s="7">
        <v>37.15</v>
      </c>
      <c r="I75" s="7">
        <v>42.01</v>
      </c>
      <c r="J75" s="7">
        <v>41.877995223898886</v>
      </c>
      <c r="K75" s="7">
        <v>33.11590582401449</v>
      </c>
    </row>
    <row r="76" spans="1:11" x14ac:dyDescent="0.3">
      <c r="A76" s="8" t="s">
        <v>37</v>
      </c>
      <c r="B76" s="8"/>
      <c r="C76" s="9">
        <v>47</v>
      </c>
      <c r="D76" s="7">
        <v>74.05715737352206</v>
      </c>
      <c r="E76" s="7">
        <v>65.394899269769581</v>
      </c>
      <c r="F76" s="28">
        <v>68.720738361751103</v>
      </c>
      <c r="G76" s="28">
        <v>78.318140832349243</v>
      </c>
      <c r="H76" s="28">
        <v>70.444404181794752</v>
      </c>
      <c r="I76" s="28">
        <v>70.12664586689381</v>
      </c>
      <c r="J76" s="28">
        <v>68.494469812954378</v>
      </c>
      <c r="K76" s="28">
        <v>64.72659490835342</v>
      </c>
    </row>
    <row r="77" spans="1:11" x14ac:dyDescent="0.3">
      <c r="A77" s="29" t="s">
        <v>338</v>
      </c>
      <c r="B77" s="29"/>
      <c r="C77" s="61"/>
      <c r="D77" s="28">
        <v>72.843979971244366</v>
      </c>
      <c r="E77" s="28">
        <v>63.408876375511603</v>
      </c>
      <c r="F77" s="28">
        <v>67.216488451518742</v>
      </c>
      <c r="G77" s="28">
        <v>76.771593099905488</v>
      </c>
      <c r="H77" s="28">
        <v>68.36043651934385</v>
      </c>
      <c r="I77" s="28">
        <v>67.985206061526952</v>
      </c>
      <c r="J77" s="28">
        <v>66.365026483979008</v>
      </c>
      <c r="K77" s="28">
        <v>62.651569304762965</v>
      </c>
    </row>
    <row r="78" spans="1:11" x14ac:dyDescent="0.3">
      <c r="A78" t="s">
        <v>268</v>
      </c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>
        <v>4</v>
      </c>
      <c r="B79" t="s">
        <v>205</v>
      </c>
      <c r="D79" s="7">
        <v>18.209021389781668</v>
      </c>
      <c r="E79" s="7">
        <v>17.258077568801532</v>
      </c>
      <c r="F79" s="28">
        <v>17.744978359782486</v>
      </c>
      <c r="G79" s="28">
        <v>17.380660954712361</v>
      </c>
      <c r="H79" s="28">
        <v>15.402451142762505</v>
      </c>
      <c r="I79" s="28">
        <v>16.113120683985528</v>
      </c>
      <c r="J79" s="28">
        <v>15.837252542929017</v>
      </c>
      <c r="K79" s="28">
        <v>15.6522712016111</v>
      </c>
    </row>
    <row r="80" spans="1:11" x14ac:dyDescent="0.3">
      <c r="A80">
        <v>9</v>
      </c>
      <c r="B80" t="s">
        <v>350</v>
      </c>
      <c r="D80" s="7">
        <v>13.05552477003214</v>
      </c>
      <c r="E80" s="7">
        <v>13.345070720134574</v>
      </c>
      <c r="F80" s="28">
        <v>14.149372988569525</v>
      </c>
      <c r="G80" s="28">
        <v>14.543229108712586</v>
      </c>
      <c r="H80" s="28">
        <v>14.298332781274153</v>
      </c>
      <c r="I80" s="28">
        <v>15.334867916255618</v>
      </c>
      <c r="J80" s="28">
        <v>12.829487039265011</v>
      </c>
      <c r="K80" s="28">
        <v>12.016110986797942</v>
      </c>
    </row>
    <row r="81" spans="1:11" x14ac:dyDescent="0.3">
      <c r="A81">
        <v>10</v>
      </c>
      <c r="B81" t="s">
        <v>206</v>
      </c>
      <c r="D81" s="7">
        <v>4.3555358528205694</v>
      </c>
      <c r="E81" s="7">
        <v>3.4355226568981969</v>
      </c>
      <c r="F81" s="28">
        <v>3.6621906558650537</v>
      </c>
      <c r="G81" s="28">
        <v>3.8500055635918544</v>
      </c>
      <c r="H81" s="28">
        <v>4.7808325052445628</v>
      </c>
      <c r="I81" s="28">
        <v>4.4722130878000659</v>
      </c>
      <c r="J81" s="28">
        <v>3.3577600349994525</v>
      </c>
      <c r="K81" s="28">
        <v>3.3340792123517566</v>
      </c>
    </row>
    <row r="82" spans="1:11" x14ac:dyDescent="0.3">
      <c r="A82">
        <v>12</v>
      </c>
      <c r="B82" t="s">
        <v>207</v>
      </c>
      <c r="D82" s="7">
        <v>20.336916768258895</v>
      </c>
      <c r="E82" s="7">
        <v>20.781752573126123</v>
      </c>
      <c r="F82" s="28">
        <v>18.87692819886805</v>
      </c>
      <c r="G82" s="28">
        <v>20.741070435072885</v>
      </c>
      <c r="H82" s="28">
        <v>21.055537153582865</v>
      </c>
      <c r="I82" s="28">
        <v>19.533048339362054</v>
      </c>
      <c r="J82" s="28">
        <v>19.895001640599368</v>
      </c>
      <c r="K82" s="28">
        <v>19.993287088834194</v>
      </c>
    </row>
    <row r="83" spans="1:11" x14ac:dyDescent="0.3">
      <c r="A83" t="s">
        <v>208</v>
      </c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>
        <v>4</v>
      </c>
      <c r="B84" t="s">
        <v>205</v>
      </c>
      <c r="D84" s="7">
        <v>86.51</v>
      </c>
      <c r="E84" s="7">
        <v>80.44</v>
      </c>
      <c r="F84" s="7">
        <v>80.8</v>
      </c>
      <c r="G84" s="7">
        <v>84.02</v>
      </c>
      <c r="H84" s="7">
        <v>76.58</v>
      </c>
      <c r="I84" s="7">
        <v>79.73</v>
      </c>
      <c r="J84" s="7">
        <v>70.244303489009326</v>
      </c>
      <c r="K84" s="7">
        <v>75.808763163281867</v>
      </c>
    </row>
    <row r="85" spans="1:11" x14ac:dyDescent="0.3">
      <c r="A85">
        <v>9</v>
      </c>
      <c r="B85" t="s">
        <v>350</v>
      </c>
      <c r="D85" s="7">
        <v>77.22</v>
      </c>
      <c r="E85" s="7">
        <v>76.03</v>
      </c>
      <c r="F85" s="7">
        <v>77.72</v>
      </c>
      <c r="G85" s="7">
        <v>77.150000000000006</v>
      </c>
      <c r="H85" s="7">
        <v>74.95</v>
      </c>
      <c r="I85" s="7">
        <v>79.650000000000006</v>
      </c>
      <c r="J85" s="7">
        <v>90.048536650673185</v>
      </c>
      <c r="K85" s="7">
        <v>88.391167378442475</v>
      </c>
    </row>
    <row r="86" spans="1:11" x14ac:dyDescent="0.3">
      <c r="A86">
        <v>10</v>
      </c>
      <c r="B86" t="s">
        <v>206</v>
      </c>
      <c r="D86" s="7">
        <v>74.709999999999994</v>
      </c>
      <c r="E86" s="7">
        <v>60.55</v>
      </c>
      <c r="F86" s="7">
        <v>63.26</v>
      </c>
      <c r="G86" s="7">
        <v>61.78</v>
      </c>
      <c r="H86" s="7">
        <v>64.25</v>
      </c>
      <c r="I86" s="7">
        <v>67.28</v>
      </c>
      <c r="J86" s="7">
        <v>73.347745957457988</v>
      </c>
      <c r="K86" s="7">
        <v>69.321381216125204</v>
      </c>
    </row>
    <row r="87" spans="1:11" x14ac:dyDescent="0.3">
      <c r="A87">
        <v>12</v>
      </c>
      <c r="B87" t="s">
        <v>207</v>
      </c>
      <c r="D87" s="7">
        <v>76.28</v>
      </c>
      <c r="E87" s="7">
        <v>74.709999999999994</v>
      </c>
      <c r="F87" s="7">
        <v>77.099999999999994</v>
      </c>
      <c r="G87" s="7">
        <v>76.37</v>
      </c>
      <c r="H87" s="7">
        <v>74.02</v>
      </c>
      <c r="I87" s="7">
        <v>78.89</v>
      </c>
      <c r="J87" s="7">
        <v>76.778923003409261</v>
      </c>
      <c r="K87" s="7">
        <v>81.840586811502419</v>
      </c>
    </row>
    <row r="88" spans="1:11" x14ac:dyDescent="0.3">
      <c r="B88" s="66" t="s">
        <v>306</v>
      </c>
      <c r="D88" s="7"/>
      <c r="E88" s="7"/>
      <c r="F88" s="7"/>
      <c r="G88" s="7"/>
      <c r="H88" s="7"/>
      <c r="I88" s="7"/>
      <c r="J88" s="7"/>
      <c r="K88" s="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7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7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7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7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D93" s="7"/>
      <c r="E93" s="7"/>
      <c r="F93" s="7"/>
      <c r="G93" s="7"/>
      <c r="H93" s="7"/>
      <c r="I93" s="7"/>
      <c r="J93" s="7"/>
      <c r="K93" s="7"/>
    </row>
    <row r="94" spans="1:11" x14ac:dyDescent="0.3">
      <c r="B94" s="37" t="s">
        <v>303</v>
      </c>
      <c r="D94" s="7"/>
      <c r="E94" s="7"/>
      <c r="F94" s="7"/>
      <c r="G94" s="7"/>
      <c r="H94" s="7"/>
      <c r="I94" s="7"/>
      <c r="J94" s="7"/>
      <c r="K94" s="7"/>
    </row>
    <row r="95" spans="1:11" x14ac:dyDescent="0.3">
      <c r="D95" s="7"/>
      <c r="E95" s="7"/>
      <c r="F95" s="7"/>
      <c r="G95" s="7"/>
      <c r="H95" s="7"/>
      <c r="I95" s="7"/>
      <c r="J95" s="7"/>
      <c r="K95" s="7"/>
    </row>
    <row r="96" spans="1:11" x14ac:dyDescent="0.3">
      <c r="D96" s="7"/>
      <c r="E96" s="7"/>
      <c r="F96" s="7"/>
      <c r="G96" s="7"/>
      <c r="H96" s="7"/>
      <c r="I96" s="7"/>
      <c r="J96" s="7"/>
      <c r="K96" s="7"/>
    </row>
    <row r="97" spans="4:11" x14ac:dyDescent="0.3">
      <c r="D97" s="7"/>
      <c r="E97" s="7"/>
      <c r="F97" s="7"/>
      <c r="G97" s="7"/>
      <c r="H97" s="7"/>
      <c r="I97" s="7"/>
      <c r="J97" s="7"/>
      <c r="K97" s="7"/>
    </row>
    <row r="98" spans="4:11" x14ac:dyDescent="0.3">
      <c r="D98" s="7"/>
      <c r="E98" s="7"/>
      <c r="F98" s="7"/>
      <c r="G98" s="7"/>
      <c r="H98" s="7"/>
      <c r="I98" s="7"/>
      <c r="J98" s="7"/>
      <c r="K98" s="7"/>
    </row>
    <row r="99" spans="4:11" x14ac:dyDescent="0.3">
      <c r="D99" s="7"/>
      <c r="E99" s="7"/>
      <c r="F99" s="7"/>
      <c r="G99" s="7"/>
      <c r="H99" s="7"/>
      <c r="I99" s="7"/>
      <c r="J99" s="7"/>
      <c r="K99" s="7"/>
    </row>
    <row r="100" spans="4:11" x14ac:dyDescent="0.3">
      <c r="D100" s="7"/>
      <c r="E100" s="7"/>
      <c r="F100" s="7"/>
      <c r="G100" s="7"/>
      <c r="H100" s="7"/>
      <c r="I100" s="7"/>
      <c r="J100" s="7"/>
      <c r="K100" s="7"/>
    </row>
    <row r="101" spans="4:11" x14ac:dyDescent="0.3">
      <c r="D101" s="7"/>
      <c r="E101" s="7"/>
      <c r="F101" s="7"/>
      <c r="G101" s="7"/>
      <c r="H101" s="7"/>
      <c r="I101" s="7"/>
      <c r="J101" s="7"/>
      <c r="K101" s="7"/>
    </row>
    <row r="102" spans="4:11" x14ac:dyDescent="0.3">
      <c r="D102" s="7"/>
      <c r="E102" s="7"/>
      <c r="F102" s="7"/>
      <c r="G102" s="7"/>
      <c r="H102" s="7"/>
      <c r="I102" s="7"/>
      <c r="J102" s="7"/>
      <c r="K102" s="7"/>
    </row>
    <row r="103" spans="4:11" x14ac:dyDescent="0.3">
      <c r="D103" s="7"/>
      <c r="E103" s="7"/>
      <c r="F103" s="7"/>
      <c r="G103" s="7"/>
      <c r="H103" s="7"/>
      <c r="I103" s="7"/>
      <c r="J103" s="7"/>
      <c r="K103" s="7"/>
    </row>
    <row r="104" spans="4:11" x14ac:dyDescent="0.3">
      <c r="D104" s="7"/>
      <c r="E104" s="7"/>
      <c r="F104" s="7"/>
      <c r="G104" s="7"/>
      <c r="H104" s="7"/>
      <c r="I104" s="7"/>
      <c r="J104" s="7"/>
      <c r="K104" s="7"/>
    </row>
    <row r="105" spans="4:11" x14ac:dyDescent="0.3">
      <c r="D105" s="7"/>
      <c r="E105" s="7"/>
      <c r="F105" s="7"/>
      <c r="G105" s="7"/>
      <c r="H105" s="7"/>
      <c r="I105" s="7"/>
      <c r="J105" s="7"/>
      <c r="K105" s="7"/>
    </row>
    <row r="106" spans="4:11" x14ac:dyDescent="0.3">
      <c r="D106" s="7"/>
      <c r="E106" s="7"/>
      <c r="F106" s="7"/>
      <c r="G106" s="7"/>
      <c r="H106" s="7"/>
      <c r="I106" s="7"/>
      <c r="J106" s="7"/>
      <c r="K106" s="7"/>
    </row>
    <row r="107" spans="4:11" x14ac:dyDescent="0.3">
      <c r="D107" s="7"/>
      <c r="E107" s="7"/>
      <c r="F107" s="7"/>
      <c r="G107" s="7"/>
      <c r="H107" s="7"/>
      <c r="I107" s="7"/>
      <c r="J107" s="7"/>
      <c r="K107" s="7"/>
    </row>
    <row r="108" spans="4:11" x14ac:dyDescent="0.3">
      <c r="D108" s="7"/>
      <c r="E108" s="7"/>
      <c r="F108" s="7"/>
      <c r="G108" s="7"/>
      <c r="H108" s="7"/>
      <c r="I108" s="7"/>
      <c r="J108" s="7"/>
      <c r="K108" s="7"/>
    </row>
    <row r="109" spans="4:11" x14ac:dyDescent="0.3">
      <c r="D109" s="7"/>
      <c r="E109" s="7"/>
      <c r="F109" s="7"/>
      <c r="G109" s="7"/>
      <c r="H109" s="7"/>
      <c r="I109" s="7"/>
      <c r="J109" s="7"/>
      <c r="K109" s="7"/>
    </row>
    <row r="110" spans="4:11" x14ac:dyDescent="0.3">
      <c r="D110" s="7"/>
      <c r="E110" s="7"/>
      <c r="F110" s="7"/>
      <c r="G110" s="7"/>
      <c r="H110" s="7"/>
      <c r="I110" s="7"/>
      <c r="J110" s="7"/>
      <c r="K110" s="7"/>
    </row>
    <row r="111" spans="4:11" x14ac:dyDescent="0.3">
      <c r="D111" s="7"/>
      <c r="E111" s="7"/>
      <c r="F111" s="7"/>
      <c r="G111" s="7"/>
      <c r="H111" s="7"/>
      <c r="I111" s="7"/>
      <c r="J111" s="7"/>
      <c r="K111" s="7"/>
    </row>
    <row r="112" spans="4:11" x14ac:dyDescent="0.3">
      <c r="D112" s="7"/>
      <c r="E112" s="7"/>
      <c r="F112" s="7"/>
      <c r="G112" s="7"/>
      <c r="H112" s="7"/>
      <c r="I112" s="7"/>
      <c r="J112" s="7"/>
      <c r="K112" s="7"/>
    </row>
    <row r="113" spans="2:11" x14ac:dyDescent="0.3">
      <c r="D113" s="7"/>
      <c r="E113" s="7"/>
      <c r="F113" s="7"/>
      <c r="G113" s="7"/>
      <c r="H113" s="7"/>
      <c r="I113" s="7"/>
      <c r="J113" s="7"/>
      <c r="K113" s="7"/>
    </row>
    <row r="114" spans="2:11" x14ac:dyDescent="0.3">
      <c r="D114" s="7"/>
      <c r="E114" s="7"/>
      <c r="F114" s="7"/>
      <c r="G114" s="7"/>
      <c r="H114" s="7"/>
      <c r="I114" s="7"/>
      <c r="J114" s="7"/>
      <c r="K114" s="7"/>
    </row>
    <row r="115" spans="2:11" x14ac:dyDescent="0.3">
      <c r="B115" s="37" t="s">
        <v>304</v>
      </c>
      <c r="D115" s="7"/>
      <c r="E115" s="7"/>
      <c r="F115" s="7"/>
      <c r="G115" s="7"/>
      <c r="H115" s="7"/>
      <c r="I115" s="7"/>
      <c r="J115" s="7"/>
      <c r="K115" s="7"/>
    </row>
    <row r="116" spans="2:11" x14ac:dyDescent="0.3">
      <c r="D116" s="7"/>
      <c r="E116" s="7"/>
      <c r="F116" s="7"/>
      <c r="G116" s="7"/>
      <c r="H116" s="7"/>
      <c r="I116" s="7"/>
      <c r="J116" s="7"/>
      <c r="K116" s="7"/>
    </row>
    <row r="117" spans="2:11" x14ac:dyDescent="0.3">
      <c r="D117" s="7"/>
      <c r="E117" s="7"/>
      <c r="F117" s="7"/>
      <c r="G117" s="7"/>
      <c r="H117" s="7"/>
      <c r="I117" s="7"/>
      <c r="J117" s="7"/>
      <c r="K117" s="7"/>
    </row>
    <row r="118" spans="2:11" x14ac:dyDescent="0.3">
      <c r="D118" s="7"/>
      <c r="E118" s="7"/>
      <c r="F118" s="7"/>
      <c r="G118" s="7"/>
      <c r="H118" s="7"/>
      <c r="I118" s="7"/>
      <c r="J118" s="7"/>
      <c r="K118" s="7"/>
    </row>
    <row r="119" spans="2:11" x14ac:dyDescent="0.3">
      <c r="D119" s="7"/>
      <c r="E119" s="7"/>
      <c r="F119" s="7"/>
      <c r="G119" s="7"/>
      <c r="H119" s="7"/>
      <c r="I119" s="7"/>
      <c r="J119" s="7"/>
      <c r="K119" s="7"/>
    </row>
    <row r="120" spans="2:11" x14ac:dyDescent="0.3">
      <c r="D120" s="7"/>
      <c r="E120" s="7"/>
      <c r="F120" s="7"/>
      <c r="G120" s="7"/>
      <c r="H120" s="7"/>
      <c r="I120" s="7"/>
      <c r="J120" s="7"/>
      <c r="K120" s="7"/>
    </row>
    <row r="121" spans="2:11" x14ac:dyDescent="0.3">
      <c r="D121" s="7"/>
      <c r="E121" s="7"/>
      <c r="F121" s="7"/>
      <c r="G121" s="7"/>
      <c r="H121" s="7"/>
      <c r="I121" s="7"/>
      <c r="J121" s="7"/>
      <c r="K121" s="7"/>
    </row>
    <row r="122" spans="2:11" x14ac:dyDescent="0.3">
      <c r="D122" s="7"/>
      <c r="E122" s="7"/>
      <c r="F122" s="7"/>
      <c r="G122" s="7"/>
      <c r="H122" s="7"/>
      <c r="I122" s="7"/>
      <c r="J122" s="7"/>
      <c r="K122" s="7"/>
    </row>
    <row r="123" spans="2:11" x14ac:dyDescent="0.3">
      <c r="D123" s="7"/>
      <c r="E123" s="7"/>
      <c r="F123" s="7"/>
      <c r="G123" s="7"/>
      <c r="H123" s="7"/>
      <c r="I123" s="7"/>
      <c r="J123" s="7"/>
      <c r="K123" s="7"/>
    </row>
    <row r="124" spans="2:11" x14ac:dyDescent="0.3">
      <c r="D124" s="7"/>
      <c r="E124" s="7"/>
      <c r="F124" s="7"/>
      <c r="G124" s="7"/>
      <c r="H124" s="7"/>
      <c r="I124" s="7"/>
      <c r="J124" s="7"/>
      <c r="K124" s="7"/>
    </row>
    <row r="125" spans="2:11" x14ac:dyDescent="0.3">
      <c r="D125" s="7"/>
      <c r="E125" s="7"/>
      <c r="F125" s="7"/>
      <c r="G125" s="7"/>
      <c r="H125" s="7"/>
      <c r="I125" s="7"/>
      <c r="J125" s="7"/>
      <c r="K125" s="7"/>
    </row>
    <row r="126" spans="2:11" x14ac:dyDescent="0.3">
      <c r="D126" s="7"/>
      <c r="E126" s="7"/>
      <c r="F126" s="7"/>
      <c r="G126" s="7"/>
      <c r="H126" s="7"/>
      <c r="I126" s="7"/>
      <c r="J126" s="7"/>
      <c r="K126" s="7"/>
    </row>
    <row r="127" spans="2:11" x14ac:dyDescent="0.3">
      <c r="D127" s="7"/>
      <c r="E127" s="7"/>
      <c r="F127" s="7"/>
      <c r="G127" s="7"/>
      <c r="H127" s="7"/>
      <c r="I127" s="7"/>
      <c r="J127" s="7"/>
      <c r="K127" s="7"/>
    </row>
    <row r="128" spans="2:11" x14ac:dyDescent="0.3">
      <c r="D128" s="7"/>
      <c r="E128" s="7"/>
      <c r="F128" s="7"/>
      <c r="G128" s="7"/>
      <c r="H128" s="7"/>
      <c r="I128" s="7"/>
      <c r="J128" s="7"/>
      <c r="K128" s="7"/>
    </row>
    <row r="129" spans="2:11" x14ac:dyDescent="0.3">
      <c r="D129" s="7"/>
      <c r="E129" s="7"/>
      <c r="F129" s="7"/>
      <c r="G129" s="7"/>
      <c r="H129" s="7"/>
      <c r="I129" s="7"/>
      <c r="J129" s="7"/>
      <c r="K129" s="7"/>
    </row>
    <row r="130" spans="2:11" x14ac:dyDescent="0.3">
      <c r="D130" s="7"/>
      <c r="E130" s="7"/>
      <c r="F130" s="7"/>
      <c r="G130" s="7"/>
      <c r="H130" s="7"/>
      <c r="I130" s="7"/>
      <c r="J130" s="7"/>
      <c r="K130" s="7"/>
    </row>
    <row r="131" spans="2:11" x14ac:dyDescent="0.3">
      <c r="D131" s="7"/>
      <c r="E131" s="7"/>
      <c r="F131" s="7"/>
      <c r="G131" s="7"/>
      <c r="H131" s="7"/>
      <c r="I131" s="7"/>
      <c r="J131" s="7"/>
      <c r="K131" s="7"/>
    </row>
    <row r="132" spans="2:11" x14ac:dyDescent="0.3">
      <c r="D132" s="7"/>
      <c r="E132" s="7"/>
      <c r="F132" s="7"/>
      <c r="G132" s="7"/>
      <c r="H132" s="7"/>
      <c r="I132" s="7"/>
      <c r="J132" s="7"/>
      <c r="K132" s="7"/>
    </row>
    <row r="133" spans="2:11" x14ac:dyDescent="0.3">
      <c r="D133" s="7"/>
      <c r="E133" s="7"/>
      <c r="F133" s="7"/>
      <c r="G133" s="7"/>
      <c r="H133" s="7"/>
      <c r="I133" s="7"/>
      <c r="J133" s="7"/>
      <c r="K133" s="7"/>
    </row>
    <row r="134" spans="2:11" x14ac:dyDescent="0.3">
      <c r="D134" s="7"/>
      <c r="E134" s="7"/>
      <c r="F134" s="7"/>
      <c r="G134" s="7"/>
      <c r="H134" s="7"/>
      <c r="I134" s="7"/>
      <c r="J134" s="7"/>
      <c r="K134" s="7"/>
    </row>
    <row r="135" spans="2:11" x14ac:dyDescent="0.3">
      <c r="D135" s="7"/>
      <c r="E135" s="7"/>
      <c r="F135" s="7"/>
      <c r="G135" s="7"/>
      <c r="H135" s="7"/>
      <c r="I135" s="7"/>
      <c r="J135" s="7"/>
      <c r="K135" s="7"/>
    </row>
    <row r="136" spans="2:11" x14ac:dyDescent="0.3">
      <c r="B136" s="37" t="s">
        <v>159</v>
      </c>
      <c r="D136" s="7"/>
      <c r="E136" s="7"/>
      <c r="F136" s="7"/>
      <c r="G136" s="7"/>
      <c r="H136" s="7"/>
      <c r="I136" s="7"/>
      <c r="J136" s="7"/>
      <c r="K136" s="7"/>
    </row>
    <row r="137" spans="2:11" x14ac:dyDescent="0.3">
      <c r="D137" s="7"/>
      <c r="E137" s="7"/>
      <c r="F137" s="7"/>
      <c r="G137" s="7"/>
      <c r="H137" s="7"/>
      <c r="I137" s="7"/>
      <c r="J137" s="7"/>
      <c r="K137" s="7"/>
    </row>
    <row r="138" spans="2:11" x14ac:dyDescent="0.3">
      <c r="D138" s="7"/>
      <c r="E138" s="7"/>
      <c r="F138" s="7"/>
      <c r="G138" s="7"/>
      <c r="H138" s="7"/>
      <c r="I138" s="7"/>
      <c r="J138" s="7"/>
      <c r="K138" s="7"/>
    </row>
    <row r="139" spans="2:11" x14ac:dyDescent="0.3">
      <c r="D139" s="7"/>
      <c r="E139" s="7"/>
      <c r="F139" s="7"/>
      <c r="G139" s="7"/>
      <c r="H139" s="7"/>
      <c r="I139" s="7"/>
      <c r="J139" s="7"/>
      <c r="K139" s="7"/>
    </row>
    <row r="140" spans="2:11" x14ac:dyDescent="0.3">
      <c r="D140" s="7"/>
      <c r="E140" s="7"/>
      <c r="F140" s="7"/>
      <c r="G140" s="7"/>
      <c r="H140" s="7"/>
      <c r="I140" s="7"/>
      <c r="J140" s="7"/>
      <c r="K140" s="7"/>
    </row>
    <row r="141" spans="2:11" x14ac:dyDescent="0.3">
      <c r="D141" s="7"/>
      <c r="E141" s="7"/>
      <c r="F141" s="7"/>
      <c r="G141" s="7"/>
      <c r="H141" s="7"/>
      <c r="I141" s="7"/>
      <c r="J141" s="7"/>
      <c r="K141" s="7"/>
    </row>
    <row r="142" spans="2:11" x14ac:dyDescent="0.3">
      <c r="D142" s="7"/>
      <c r="E142" s="7"/>
      <c r="F142" s="7"/>
      <c r="G142" s="7"/>
      <c r="H142" s="7"/>
      <c r="I142" s="7"/>
      <c r="J142" s="7"/>
      <c r="K142" s="7"/>
    </row>
    <row r="143" spans="2:11" x14ac:dyDescent="0.3">
      <c r="D143" s="7"/>
      <c r="E143" s="7"/>
      <c r="F143" s="7"/>
      <c r="G143" s="7"/>
      <c r="H143" s="7"/>
      <c r="I143" s="7"/>
      <c r="J143" s="7"/>
      <c r="K143" s="7"/>
    </row>
    <row r="144" spans="2:11" x14ac:dyDescent="0.3">
      <c r="D144" s="7"/>
      <c r="E144" s="7"/>
      <c r="F144" s="7"/>
      <c r="G144" s="7"/>
      <c r="H144" s="7"/>
      <c r="I144" s="7"/>
      <c r="J144" s="7"/>
      <c r="K144" s="7"/>
    </row>
    <row r="145" spans="2:11" x14ac:dyDescent="0.3">
      <c r="D145" s="7"/>
      <c r="E145" s="7"/>
      <c r="F145" s="7"/>
      <c r="G145" s="7"/>
      <c r="H145" s="7"/>
      <c r="I145" s="7"/>
      <c r="J145" s="7"/>
      <c r="K145" s="7"/>
    </row>
    <row r="146" spans="2:11" x14ac:dyDescent="0.3">
      <c r="D146" s="7"/>
      <c r="E146" s="7"/>
      <c r="F146" s="7"/>
      <c r="G146" s="7"/>
      <c r="H146" s="7"/>
      <c r="I146" s="7"/>
      <c r="J146" s="7"/>
      <c r="K146" s="7"/>
    </row>
    <row r="147" spans="2:11" x14ac:dyDescent="0.3">
      <c r="D147" s="7"/>
      <c r="E147" s="7"/>
      <c r="F147" s="7"/>
      <c r="G147" s="7"/>
      <c r="H147" s="7"/>
      <c r="I147" s="7"/>
      <c r="J147" s="7"/>
      <c r="K147" s="7"/>
    </row>
    <row r="148" spans="2:11" x14ac:dyDescent="0.3">
      <c r="D148" s="7"/>
      <c r="E148" s="7"/>
      <c r="F148" s="7"/>
      <c r="G148" s="7"/>
      <c r="H148" s="7"/>
      <c r="I148" s="7"/>
      <c r="J148" s="7"/>
      <c r="K148" s="7"/>
    </row>
    <row r="149" spans="2:11" x14ac:dyDescent="0.3">
      <c r="D149" s="7"/>
      <c r="E149" s="7"/>
      <c r="F149" s="7"/>
      <c r="G149" s="7"/>
      <c r="H149" s="7"/>
      <c r="I149" s="7"/>
      <c r="J149" s="7"/>
      <c r="K149" s="7"/>
    </row>
    <row r="150" spans="2:11" x14ac:dyDescent="0.3">
      <c r="D150" s="7"/>
      <c r="E150" s="7"/>
      <c r="F150" s="7"/>
      <c r="G150" s="7"/>
      <c r="H150" s="7"/>
      <c r="I150" s="7"/>
      <c r="J150" s="7"/>
      <c r="K150" s="7"/>
    </row>
    <row r="151" spans="2:11" x14ac:dyDescent="0.3">
      <c r="D151" s="7"/>
      <c r="E151" s="7"/>
      <c r="F151" s="7"/>
      <c r="G151" s="7"/>
      <c r="H151" s="7"/>
      <c r="I151" s="7"/>
      <c r="J151" s="7"/>
      <c r="K151" s="7"/>
    </row>
    <row r="152" spans="2:11" x14ac:dyDescent="0.3">
      <c r="D152" s="7"/>
      <c r="E152" s="7"/>
      <c r="F152" s="7"/>
      <c r="G152" s="7"/>
      <c r="H152" s="7"/>
      <c r="I152" s="7"/>
      <c r="J152" s="7"/>
      <c r="K152" s="7"/>
    </row>
    <row r="153" spans="2:11" x14ac:dyDescent="0.3">
      <c r="D153" s="7"/>
      <c r="E153" s="7"/>
      <c r="F153" s="7"/>
      <c r="G153" s="7"/>
      <c r="H153" s="7"/>
      <c r="I153" s="7"/>
      <c r="J153" s="7"/>
      <c r="K153" s="7"/>
    </row>
    <row r="154" spans="2:11" x14ac:dyDescent="0.3">
      <c r="D154" s="7"/>
      <c r="E154" s="7"/>
      <c r="F154" s="7"/>
      <c r="G154" s="7"/>
      <c r="H154" s="7"/>
      <c r="I154" s="7"/>
      <c r="J154" s="7"/>
      <c r="K154" s="7"/>
    </row>
    <row r="155" spans="2:11" x14ac:dyDescent="0.3">
      <c r="D155" s="7"/>
      <c r="E155" s="7"/>
      <c r="F155" s="7"/>
      <c r="G155" s="7"/>
      <c r="H155" s="7"/>
      <c r="I155" s="7"/>
      <c r="J155" s="7"/>
      <c r="K155" s="7"/>
    </row>
    <row r="156" spans="2:11" x14ac:dyDescent="0.3">
      <c r="D156" s="7"/>
      <c r="E156" s="7"/>
      <c r="F156" s="7"/>
      <c r="G156" s="7"/>
      <c r="H156" s="7"/>
      <c r="I156" s="7"/>
      <c r="J156" s="7"/>
      <c r="K156" s="7"/>
    </row>
    <row r="157" spans="2:11" x14ac:dyDescent="0.3">
      <c r="B157" s="37" t="s">
        <v>168</v>
      </c>
      <c r="D157" s="7"/>
      <c r="E157" s="7"/>
      <c r="F157" s="7"/>
      <c r="G157" s="7"/>
      <c r="H157" s="7"/>
      <c r="I157" s="7"/>
      <c r="J157" s="7"/>
      <c r="K157" s="7"/>
    </row>
    <row r="158" spans="2:11" x14ac:dyDescent="0.3">
      <c r="D158" s="7"/>
      <c r="E158" s="7"/>
      <c r="F158" s="7"/>
      <c r="G158" s="7"/>
      <c r="H158" s="7"/>
      <c r="I158" s="7"/>
      <c r="J158" s="7"/>
      <c r="K158" s="7"/>
    </row>
    <row r="159" spans="2:11" x14ac:dyDescent="0.3">
      <c r="D159" s="7"/>
      <c r="E159" s="7"/>
      <c r="F159" s="7"/>
      <c r="G159" s="7"/>
      <c r="H159" s="7"/>
      <c r="I159" s="7"/>
      <c r="J159" s="7"/>
      <c r="K159" s="7"/>
    </row>
    <row r="160" spans="2:11" x14ac:dyDescent="0.3">
      <c r="D160" s="7"/>
      <c r="E160" s="7"/>
      <c r="F160" s="7"/>
      <c r="G160" s="7"/>
      <c r="H160" s="7"/>
      <c r="I160" s="7"/>
      <c r="J160" s="7"/>
      <c r="K160" s="7"/>
    </row>
    <row r="161" spans="4:11" x14ac:dyDescent="0.3">
      <c r="D161" s="7"/>
      <c r="E161" s="7"/>
      <c r="F161" s="7"/>
      <c r="G161" s="7"/>
      <c r="H161" s="7"/>
      <c r="I161" s="7"/>
      <c r="J161" s="7"/>
      <c r="K161" s="7"/>
    </row>
    <row r="162" spans="4:11" x14ac:dyDescent="0.3">
      <c r="D162" s="7"/>
      <c r="E162" s="7"/>
      <c r="F162" s="7"/>
      <c r="G162" s="7"/>
      <c r="H162" s="7"/>
      <c r="I162" s="7"/>
      <c r="J162" s="7"/>
      <c r="K162" s="7"/>
    </row>
    <row r="163" spans="4:11" x14ac:dyDescent="0.3">
      <c r="D163" s="7"/>
      <c r="E163" s="7"/>
      <c r="F163" s="7"/>
      <c r="G163" s="7"/>
      <c r="H163" s="7"/>
      <c r="I163" s="7"/>
      <c r="J163" s="7"/>
      <c r="K163" s="7"/>
    </row>
    <row r="164" spans="4:11" x14ac:dyDescent="0.3">
      <c r="D164" s="7"/>
      <c r="E164" s="7"/>
      <c r="F164" s="7"/>
      <c r="G164" s="7"/>
      <c r="H164" s="7"/>
      <c r="I164" s="7"/>
      <c r="J164" s="7"/>
      <c r="K164" s="7"/>
    </row>
    <row r="165" spans="4:11" x14ac:dyDescent="0.3">
      <c r="D165" s="7"/>
      <c r="E165" s="7"/>
      <c r="F165" s="7"/>
      <c r="G165" s="7"/>
      <c r="H165" s="7"/>
      <c r="I165" s="7"/>
      <c r="J165" s="7"/>
      <c r="K165" s="7"/>
    </row>
    <row r="166" spans="4:11" x14ac:dyDescent="0.3">
      <c r="D166" s="7"/>
      <c r="E166" s="7"/>
      <c r="F166" s="7"/>
      <c r="G166" s="7"/>
      <c r="H166" s="7"/>
      <c r="I166" s="7"/>
      <c r="J166" s="7"/>
      <c r="K166" s="7"/>
    </row>
    <row r="167" spans="4:11" x14ac:dyDescent="0.3">
      <c r="D167" s="7"/>
      <c r="E167" s="7"/>
      <c r="F167" s="7"/>
      <c r="G167" s="7"/>
      <c r="H167" s="7"/>
      <c r="I167" s="7"/>
      <c r="J167" s="7"/>
      <c r="K167" s="7"/>
    </row>
    <row r="168" spans="4:11" x14ac:dyDescent="0.3">
      <c r="D168" s="7"/>
      <c r="E168" s="7"/>
      <c r="F168" s="7"/>
      <c r="G168" s="7"/>
      <c r="H168" s="7"/>
      <c r="I168" s="7"/>
      <c r="J168" s="7"/>
      <c r="K168" s="7"/>
    </row>
    <row r="169" spans="4:11" x14ac:dyDescent="0.3">
      <c r="D169" s="7"/>
      <c r="E169" s="7"/>
      <c r="F169" s="7"/>
      <c r="G169" s="7"/>
      <c r="H169" s="7"/>
      <c r="I169" s="7"/>
      <c r="J169" s="7"/>
      <c r="K169" s="7"/>
    </row>
    <row r="170" spans="4:11" x14ac:dyDescent="0.3">
      <c r="D170" s="7"/>
      <c r="E170" s="7"/>
      <c r="F170" s="7"/>
      <c r="G170" s="7"/>
      <c r="H170" s="7"/>
      <c r="I170" s="7"/>
      <c r="J170" s="7"/>
      <c r="K170" s="7"/>
    </row>
    <row r="171" spans="4:11" x14ac:dyDescent="0.3">
      <c r="D171" s="7"/>
      <c r="E171" s="7"/>
      <c r="F171" s="7"/>
      <c r="G171" s="7"/>
      <c r="H171" s="7"/>
      <c r="I171" s="7"/>
      <c r="J171" s="7"/>
      <c r="K171" s="7"/>
    </row>
    <row r="172" spans="4:11" x14ac:dyDescent="0.3">
      <c r="D172" s="7"/>
      <c r="E172" s="7"/>
      <c r="F172" s="7"/>
      <c r="G172" s="7"/>
      <c r="H172" s="7"/>
      <c r="I172" s="7"/>
      <c r="J172" s="7"/>
      <c r="K172" s="7"/>
    </row>
    <row r="173" spans="4:11" x14ac:dyDescent="0.3">
      <c r="D173" s="7"/>
      <c r="E173" s="7"/>
      <c r="F173" s="7"/>
      <c r="G173" s="7"/>
      <c r="H173" s="7"/>
      <c r="I173" s="7"/>
      <c r="J173" s="7"/>
      <c r="K173" s="7"/>
    </row>
    <row r="174" spans="4:11" x14ac:dyDescent="0.3">
      <c r="D174" s="7"/>
      <c r="E174" s="7"/>
      <c r="F174" s="7"/>
      <c r="G174" s="7"/>
      <c r="H174" s="7"/>
      <c r="I174" s="7"/>
      <c r="J174" s="7"/>
      <c r="K174" s="7"/>
    </row>
    <row r="175" spans="4:11" x14ac:dyDescent="0.3">
      <c r="D175" s="7"/>
      <c r="E175" s="7"/>
      <c r="F175" s="7"/>
      <c r="G175" s="7"/>
      <c r="H175" s="7"/>
      <c r="I175" s="7"/>
      <c r="J175" s="7"/>
      <c r="K175" s="7"/>
    </row>
    <row r="176" spans="4:11" x14ac:dyDescent="0.3">
      <c r="D176" s="7"/>
      <c r="E176" s="7"/>
      <c r="F176" s="7"/>
      <c r="G176" s="7"/>
      <c r="H176" s="7"/>
      <c r="I176" s="7"/>
      <c r="J176" s="7"/>
      <c r="K176" s="7"/>
    </row>
    <row r="177" spans="2:11" x14ac:dyDescent="0.3">
      <c r="D177" s="7"/>
      <c r="E177" s="7"/>
      <c r="F177" s="7"/>
      <c r="G177" s="7"/>
      <c r="H177" s="7"/>
      <c r="I177" s="7"/>
      <c r="J177" s="7"/>
      <c r="K177" s="7"/>
    </row>
    <row r="178" spans="2:11" x14ac:dyDescent="0.3">
      <c r="B178" s="37" t="s">
        <v>302</v>
      </c>
    </row>
    <row r="179" spans="2:11" x14ac:dyDescent="0.3">
      <c r="E179" s="29"/>
    </row>
    <row r="199" spans="2:2" x14ac:dyDescent="0.3">
      <c r="B199" s="37" t="s">
        <v>268</v>
      </c>
    </row>
    <row r="218" spans="2:2" x14ac:dyDescent="0.3">
      <c r="B218" s="37" t="s">
        <v>208</v>
      </c>
    </row>
  </sheetData>
  <mergeCells count="1">
    <mergeCell ref="A1:B1"/>
  </mergeCells>
  <conditionalFormatting sqref="D3">
    <cfRule type="cellIs" dxfId="72" priority="54" operator="greaterThan">
      <formula>$C3</formula>
    </cfRule>
  </conditionalFormatting>
  <conditionalFormatting sqref="D12">
    <cfRule type="cellIs" dxfId="71" priority="52" operator="lessThan">
      <formula>$C12</formula>
    </cfRule>
  </conditionalFormatting>
  <conditionalFormatting sqref="D15:G15 K15">
    <cfRule type="cellIs" dxfId="70" priority="50" operator="greaterThan">
      <formula>$C$15</formula>
    </cfRule>
  </conditionalFormatting>
  <conditionalFormatting sqref="E3:G3 K3">
    <cfRule type="cellIs" dxfId="69" priority="46" operator="greaterThan">
      <formula>$C3</formula>
    </cfRule>
  </conditionalFormatting>
  <conditionalFormatting sqref="D51:G51 K51">
    <cfRule type="cellIs" dxfId="68" priority="45" operator="greaterThan">
      <formula>$C51</formula>
    </cfRule>
  </conditionalFormatting>
  <conditionalFormatting sqref="D62:G62 K62">
    <cfRule type="cellIs" dxfId="67" priority="44" operator="greaterThan">
      <formula>$C62</formula>
    </cfRule>
  </conditionalFormatting>
  <conditionalFormatting sqref="D64:G64 K64">
    <cfRule type="cellIs" dxfId="66" priority="43" operator="greaterThan">
      <formula>$C64</formula>
    </cfRule>
  </conditionalFormatting>
  <conditionalFormatting sqref="E12:G12 K12">
    <cfRule type="cellIs" dxfId="65" priority="42" operator="lessThan">
      <formula>$C12</formula>
    </cfRule>
  </conditionalFormatting>
  <conditionalFormatting sqref="D76:E77">
    <cfRule type="cellIs" dxfId="64" priority="41" operator="lessThan">
      <formula>$C76</formula>
    </cfRule>
  </conditionalFormatting>
  <conditionalFormatting sqref="E76:G77 K76:K77">
    <cfRule type="cellIs" dxfId="63" priority="40" operator="lessThan">
      <formula>$C76</formula>
    </cfRule>
  </conditionalFormatting>
  <conditionalFormatting sqref="D65">
    <cfRule type="expression" dxfId="62" priority="31">
      <formula>D$65+D$66&gt;=$C$66</formula>
    </cfRule>
  </conditionalFormatting>
  <conditionalFormatting sqref="E65:G65 K65">
    <cfRule type="expression" dxfId="61" priority="30">
      <formula>E$65+E$66&gt;=$C$66</formula>
    </cfRule>
  </conditionalFormatting>
  <conditionalFormatting sqref="D66">
    <cfRule type="expression" dxfId="60" priority="29">
      <formula>D$65+D$66&gt;=$C$66</formula>
    </cfRule>
  </conditionalFormatting>
  <conditionalFormatting sqref="E66:G66 K66">
    <cfRule type="expression" dxfId="59" priority="28">
      <formula>E$65+E$66&gt;=$C$66</formula>
    </cfRule>
  </conditionalFormatting>
  <conditionalFormatting sqref="H15">
    <cfRule type="cellIs" dxfId="58" priority="27" operator="greaterThan">
      <formula>$C$15</formula>
    </cfRule>
  </conditionalFormatting>
  <conditionalFormatting sqref="H3">
    <cfRule type="cellIs" dxfId="57" priority="26" operator="greaterThan">
      <formula>$C3</formula>
    </cfRule>
  </conditionalFormatting>
  <conditionalFormatting sqref="H51">
    <cfRule type="cellIs" dxfId="56" priority="25" operator="greaterThan">
      <formula>$C51</formula>
    </cfRule>
  </conditionalFormatting>
  <conditionalFormatting sqref="H62">
    <cfRule type="cellIs" dxfId="55" priority="24" operator="greaterThan">
      <formula>$C62</formula>
    </cfRule>
  </conditionalFormatting>
  <conditionalFormatting sqref="H64">
    <cfRule type="cellIs" dxfId="54" priority="23" operator="greaterThan">
      <formula>$C64</formula>
    </cfRule>
  </conditionalFormatting>
  <conditionalFormatting sqref="H12">
    <cfRule type="cellIs" dxfId="53" priority="22" operator="lessThan">
      <formula>$C12</formula>
    </cfRule>
  </conditionalFormatting>
  <conditionalFormatting sqref="H76:H77">
    <cfRule type="cellIs" dxfId="52" priority="21" operator="lessThan">
      <formula>$C76</formula>
    </cfRule>
  </conditionalFormatting>
  <conditionalFormatting sqref="H65">
    <cfRule type="expression" dxfId="51" priority="20">
      <formula>H$65+H$66&gt;=$C$66</formula>
    </cfRule>
  </conditionalFormatting>
  <conditionalFormatting sqref="H66">
    <cfRule type="expression" dxfId="50" priority="19">
      <formula>H$65+H$66&gt;=$C$66</formula>
    </cfRule>
  </conditionalFormatting>
  <conditionalFormatting sqref="I15">
    <cfRule type="cellIs" dxfId="49" priority="18" operator="greaterThan">
      <formula>$C$15</formula>
    </cfRule>
  </conditionalFormatting>
  <conditionalFormatting sqref="I3">
    <cfRule type="cellIs" dxfId="48" priority="17" operator="greaterThan">
      <formula>$C3</formula>
    </cfRule>
  </conditionalFormatting>
  <conditionalFormatting sqref="I51">
    <cfRule type="cellIs" dxfId="47" priority="16" operator="greaterThan">
      <formula>$C51</formula>
    </cfRule>
  </conditionalFormatting>
  <conditionalFormatting sqref="I62">
    <cfRule type="cellIs" dxfId="46" priority="15" operator="greaterThan">
      <formula>$C62</formula>
    </cfRule>
  </conditionalFormatting>
  <conditionalFormatting sqref="I64">
    <cfRule type="cellIs" dxfId="45" priority="14" operator="greaterThan">
      <formula>$C64</formula>
    </cfRule>
  </conditionalFormatting>
  <conditionalFormatting sqref="I12">
    <cfRule type="cellIs" dxfId="44" priority="13" operator="lessThan">
      <formula>$C12</formula>
    </cfRule>
  </conditionalFormatting>
  <conditionalFormatting sqref="I76:I77">
    <cfRule type="cellIs" dxfId="43" priority="12" operator="lessThan">
      <formula>$C76</formula>
    </cfRule>
  </conditionalFormatting>
  <conditionalFormatting sqref="I65">
    <cfRule type="expression" dxfId="42" priority="11">
      <formula>I$65+I$66&gt;=$C$66</formula>
    </cfRule>
  </conditionalFormatting>
  <conditionalFormatting sqref="I66">
    <cfRule type="expression" dxfId="41" priority="10">
      <formula>I$65+I$66&gt;=$C$66</formula>
    </cfRule>
  </conditionalFormatting>
  <conditionalFormatting sqref="J15">
    <cfRule type="cellIs" dxfId="40" priority="9" operator="greaterThan">
      <formula>$C$15</formula>
    </cfRule>
  </conditionalFormatting>
  <conditionalFormatting sqref="J3">
    <cfRule type="cellIs" dxfId="39" priority="8" operator="greaterThan">
      <formula>$C3</formula>
    </cfRule>
  </conditionalFormatting>
  <conditionalFormatting sqref="J51">
    <cfRule type="cellIs" dxfId="38" priority="7" operator="greaterThan">
      <formula>$C51</formula>
    </cfRule>
  </conditionalFormatting>
  <conditionalFormatting sqref="J62">
    <cfRule type="cellIs" dxfId="37" priority="6" operator="greaterThan">
      <formula>$C62</formula>
    </cfRule>
  </conditionalFormatting>
  <conditionalFormatting sqref="J64">
    <cfRule type="cellIs" dxfId="36" priority="5" operator="greaterThan">
      <formula>$C64</formula>
    </cfRule>
  </conditionalFormatting>
  <conditionalFormatting sqref="J12">
    <cfRule type="cellIs" dxfId="35" priority="4" operator="lessThan">
      <formula>$C12</formula>
    </cfRule>
  </conditionalFormatting>
  <conditionalFormatting sqref="J76:J77">
    <cfRule type="cellIs" dxfId="34" priority="3" operator="lessThan">
      <formula>$C76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2024-12-27T11:56:33Z</dcterms:modified>
</cp:coreProperties>
</file>