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7" activeTab="10"/>
  </bookViews>
  <sheets>
    <sheet name="Entrate_Uscite" sheetId="2" r:id="rId1"/>
    <sheet name="Tav_Entrate" sheetId="7" r:id="rId2"/>
    <sheet name="Tav_Uscite" sheetId="8" r:id="rId3"/>
    <sheet name="Tav_Saldi" sheetId="9" r:id="rId4"/>
    <sheet name="Missione12_Programmi" sheetId="14" r:id="rId5"/>
    <sheet name="Missione12_Macroaggregati" sheetId="15" r:id="rId6"/>
    <sheet name="Risultato_amministrazione" sheetId="1" r:id="rId7"/>
    <sheet name="Conto_economico" sheetId="6" r:id="rId8"/>
    <sheet name="Tav_contoeconomico" sheetId="10" r:id="rId9"/>
    <sheet name="Stato_patrimoniale" sheetId="5" r:id="rId10"/>
    <sheet name="Piano_indicatori" sheetId="4" r:id="rId11"/>
    <sheet name="Tav_indicatori" sheetId="12" r:id="rId12"/>
    <sheet name="Popolazione" sheetId="13" r:id="rId13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H6" i="9"/>
  <c r="H5" i="9"/>
  <c r="H4" i="9"/>
  <c r="H3" i="9"/>
  <c r="H2" i="9"/>
  <c r="H29" i="8"/>
  <c r="H28" i="8"/>
  <c r="K28" i="8" s="1"/>
  <c r="H26" i="8"/>
  <c r="K26" i="8" s="1"/>
  <c r="H25" i="8"/>
  <c r="K25" i="8" s="1"/>
  <c r="H24" i="8"/>
  <c r="H23" i="8"/>
  <c r="K23" i="8" s="1"/>
  <c r="H22" i="8"/>
  <c r="H19" i="8"/>
  <c r="H18" i="8"/>
  <c r="K18" i="8" s="1"/>
  <c r="H17" i="8"/>
  <c r="K17" i="8" s="1"/>
  <c r="H16" i="8"/>
  <c r="H14" i="8"/>
  <c r="H13" i="8"/>
  <c r="K13" i="8" s="1"/>
  <c r="H12" i="8"/>
  <c r="H11" i="8"/>
  <c r="H9" i="8"/>
  <c r="H8" i="8"/>
  <c r="H7" i="8"/>
  <c r="K7" i="8" s="1"/>
  <c r="H6" i="8"/>
  <c r="H5" i="8"/>
  <c r="H4" i="8"/>
  <c r="H3" i="8"/>
  <c r="H2" i="8"/>
  <c r="H19" i="7"/>
  <c r="H18" i="7"/>
  <c r="K18" i="7" s="1"/>
  <c r="H17" i="7"/>
  <c r="H14" i="7"/>
  <c r="H13" i="7"/>
  <c r="K13" i="7" s="1"/>
  <c r="H12" i="7"/>
  <c r="H10" i="7"/>
  <c r="H9" i="7"/>
  <c r="H8" i="7"/>
  <c r="K8" i="7" s="1"/>
  <c r="H7" i="7"/>
  <c r="H6" i="7"/>
  <c r="H4" i="7"/>
  <c r="H3" i="7"/>
  <c r="H2" i="7"/>
  <c r="W53" i="2"/>
  <c r="X52" i="2"/>
  <c r="W52" i="2"/>
  <c r="X51" i="2"/>
  <c r="AA51" i="2" s="1"/>
  <c r="W51" i="2"/>
  <c r="X50" i="2"/>
  <c r="W50" i="2"/>
  <c r="X49" i="2"/>
  <c r="W49" i="2"/>
  <c r="X48" i="2"/>
  <c r="X54" i="2" s="1"/>
  <c r="W48" i="2"/>
  <c r="W54" i="2" s="1"/>
  <c r="X16" i="2"/>
  <c r="W16" i="2"/>
  <c r="X15" i="2"/>
  <c r="W15" i="2"/>
  <c r="W20" i="2" s="1"/>
  <c r="X14" i="2"/>
  <c r="X20" i="2" s="1"/>
  <c r="W14" i="2"/>
  <c r="AA57" i="2"/>
  <c r="Z57" i="2"/>
  <c r="AA53" i="2"/>
  <c r="Z53" i="2"/>
  <c r="AA52" i="2"/>
  <c r="Z52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19" i="2"/>
  <c r="Z19" i="2"/>
  <c r="AA18" i="2"/>
  <c r="Z18" i="2"/>
  <c r="AA17" i="2"/>
  <c r="Z17" i="2"/>
  <c r="AA16" i="2"/>
  <c r="Z16" i="2"/>
  <c r="AA15" i="2"/>
  <c r="Z15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15" i="7" l="1"/>
  <c r="H5" i="7"/>
  <c r="K12" i="7"/>
  <c r="H15" i="8"/>
  <c r="H10" i="8"/>
  <c r="H21" i="8" s="1"/>
  <c r="H27" i="8"/>
  <c r="H20" i="8"/>
  <c r="H11" i="7"/>
  <c r="H16" i="7"/>
  <c r="W21" i="2"/>
  <c r="Z21" i="2" s="1"/>
  <c r="Z20" i="2"/>
  <c r="AA20" i="2"/>
  <c r="X21" i="2"/>
  <c r="AA21" i="2" s="1"/>
  <c r="X55" i="2"/>
  <c r="AA55" i="2" s="1"/>
  <c r="AA54" i="2"/>
  <c r="W55" i="2"/>
  <c r="Z55" i="2" s="1"/>
  <c r="Z54" i="2"/>
  <c r="AA14" i="2"/>
  <c r="H30" i="8" l="1"/>
  <c r="H20" i="7"/>
  <c r="V53" i="2"/>
  <c r="T53" i="2"/>
  <c r="V52" i="2"/>
  <c r="U52" i="2"/>
  <c r="T52" i="2"/>
  <c r="U51" i="2"/>
  <c r="T51" i="2"/>
  <c r="V51" i="2" s="1"/>
  <c r="U50" i="2"/>
  <c r="T50" i="2"/>
  <c r="V50" i="2" s="1"/>
  <c r="V49" i="2"/>
  <c r="U49" i="2"/>
  <c r="T49" i="2"/>
  <c r="U48" i="2"/>
  <c r="U54" i="2" s="1"/>
  <c r="U55" i="2" s="1"/>
  <c r="T48" i="2"/>
  <c r="V48" i="2" s="1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19" i="2"/>
  <c r="V18" i="2"/>
  <c r="V17" i="2"/>
  <c r="V16" i="2"/>
  <c r="U16" i="2"/>
  <c r="U62" i="2" s="1"/>
  <c r="T16" i="2"/>
  <c r="T62" i="2" s="1"/>
  <c r="U15" i="2"/>
  <c r="U57" i="2" s="1"/>
  <c r="T15" i="2"/>
  <c r="V15" i="2" s="1"/>
  <c r="U14" i="2"/>
  <c r="U63" i="2" s="1"/>
  <c r="T14" i="2"/>
  <c r="T63" i="2" s="1"/>
  <c r="V13" i="2"/>
  <c r="V12" i="2"/>
  <c r="V11" i="2"/>
  <c r="V10" i="2"/>
  <c r="V9" i="2"/>
  <c r="V8" i="2"/>
  <c r="V7" i="2"/>
  <c r="V6" i="2"/>
  <c r="V5" i="2"/>
  <c r="V4" i="2"/>
  <c r="V3" i="2"/>
  <c r="J27" i="5"/>
  <c r="J26" i="5"/>
  <c r="J13" i="5"/>
  <c r="J15" i="10"/>
  <c r="J13" i="10"/>
  <c r="J12" i="10"/>
  <c r="J11" i="10"/>
  <c r="J9" i="10"/>
  <c r="J8" i="10"/>
  <c r="J7" i="10"/>
  <c r="J6" i="10"/>
  <c r="J5" i="10"/>
  <c r="J4" i="10"/>
  <c r="J3" i="10"/>
  <c r="J2" i="10"/>
  <c r="J10" i="10" s="1"/>
  <c r="J14" i="10" s="1"/>
  <c r="J16" i="10" s="1"/>
  <c r="M27" i="6"/>
  <c r="M26" i="6"/>
  <c r="M25" i="6"/>
  <c r="M24" i="6"/>
  <c r="M23" i="6"/>
  <c r="M22" i="6"/>
  <c r="M20" i="6"/>
  <c r="M19" i="6"/>
  <c r="M18" i="6"/>
  <c r="M17" i="6"/>
  <c r="M16" i="6"/>
  <c r="M15" i="6"/>
  <c r="M14" i="6"/>
  <c r="M13" i="6"/>
  <c r="M12" i="6"/>
  <c r="M11" i="6"/>
  <c r="M9" i="6"/>
  <c r="M8" i="6"/>
  <c r="M7" i="6"/>
  <c r="M6" i="6"/>
  <c r="M5" i="6"/>
  <c r="M4" i="6"/>
  <c r="M3" i="6"/>
  <c r="M2" i="6"/>
  <c r="K28" i="6"/>
  <c r="K21" i="6"/>
  <c r="K10" i="6"/>
  <c r="K29" i="6" s="1"/>
  <c r="J23" i="1"/>
  <c r="J19" i="1"/>
  <c r="J13" i="1"/>
  <c r="J7" i="1"/>
  <c r="J21" i="1" s="1"/>
  <c r="I17" i="15"/>
  <c r="I16" i="15"/>
  <c r="I15" i="15"/>
  <c r="J17" i="15" s="1"/>
  <c r="H114" i="14"/>
  <c r="H112" i="14"/>
  <c r="H111" i="14"/>
  <c r="H110" i="14"/>
  <c r="H107" i="14"/>
  <c r="H109" i="14"/>
  <c r="H108" i="14"/>
  <c r="H113" i="14"/>
  <c r="H106" i="14"/>
  <c r="C24" i="14"/>
  <c r="B24" i="14"/>
  <c r="F25" i="14" s="1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J28" i="5" l="1"/>
  <c r="H31" i="8"/>
  <c r="H21" i="7"/>
  <c r="V14" i="2"/>
  <c r="T56" i="2"/>
  <c r="U60" i="2"/>
  <c r="U56" i="2"/>
  <c r="U61" i="2"/>
  <c r="T20" i="2"/>
  <c r="T54" i="2"/>
  <c r="T57" i="2"/>
  <c r="U20" i="2"/>
  <c r="U21" i="2" s="1"/>
  <c r="U59" i="2" s="1"/>
  <c r="T58" i="2"/>
  <c r="U58" i="2"/>
  <c r="I18" i="15"/>
  <c r="J4" i="15"/>
  <c r="J6" i="15"/>
  <c r="J11" i="15"/>
  <c r="J5" i="15"/>
  <c r="J12" i="15"/>
  <c r="J2" i="15"/>
  <c r="J13" i="15"/>
  <c r="J10" i="15"/>
  <c r="J3" i="15"/>
  <c r="J14" i="15"/>
  <c r="J7" i="15"/>
  <c r="J15" i="15"/>
  <c r="J8" i="15"/>
  <c r="J16" i="15"/>
  <c r="J9" i="15"/>
  <c r="H115" i="14"/>
  <c r="D24" i="14"/>
  <c r="E24" i="14"/>
  <c r="E3" i="13"/>
  <c r="G3" i="13"/>
  <c r="G4" i="13"/>
  <c r="G5" i="13"/>
  <c r="E4" i="13"/>
  <c r="T55" i="2" l="1"/>
  <c r="V55" i="2" s="1"/>
  <c r="V54" i="2"/>
  <c r="T21" i="2"/>
  <c r="V20" i="2"/>
  <c r="C9" i="10"/>
  <c r="D9" i="10"/>
  <c r="E9" i="10"/>
  <c r="F9" i="10"/>
  <c r="G9" i="10"/>
  <c r="H9" i="10"/>
  <c r="I9" i="10"/>
  <c r="B9" i="10"/>
  <c r="J29" i="6"/>
  <c r="I29" i="6"/>
  <c r="H29" i="6"/>
  <c r="G29" i="6"/>
  <c r="F29" i="6"/>
  <c r="E29" i="6"/>
  <c r="D29" i="6"/>
  <c r="C29" i="6"/>
  <c r="T59" i="2" l="1"/>
  <c r="V21" i="2"/>
  <c r="H17" i="15"/>
  <c r="G17" i="15"/>
  <c r="F17" i="15"/>
  <c r="E17" i="15"/>
  <c r="D17" i="15"/>
  <c r="C17" i="15"/>
  <c r="B17" i="15"/>
  <c r="H16" i="15"/>
  <c r="G16" i="15"/>
  <c r="G18" i="15" s="1"/>
  <c r="F16" i="15"/>
  <c r="F18" i="15" s="1"/>
  <c r="E16" i="15"/>
  <c r="E18" i="15" s="1"/>
  <c r="D16" i="15"/>
  <c r="C16" i="15"/>
  <c r="B16" i="15"/>
  <c r="B18" i="15" s="1"/>
  <c r="H15" i="15"/>
  <c r="G15" i="15"/>
  <c r="F15" i="15"/>
  <c r="E15" i="15"/>
  <c r="D15" i="15"/>
  <c r="C15" i="15"/>
  <c r="B15" i="15"/>
  <c r="I114" i="14"/>
  <c r="G114" i="14"/>
  <c r="F114" i="14"/>
  <c r="E114" i="14"/>
  <c r="D114" i="14"/>
  <c r="C114" i="14"/>
  <c r="B114" i="14"/>
  <c r="I113" i="14"/>
  <c r="G113" i="14"/>
  <c r="F113" i="14"/>
  <c r="E113" i="14"/>
  <c r="D113" i="14"/>
  <c r="C113" i="14"/>
  <c r="B113" i="14"/>
  <c r="I112" i="14"/>
  <c r="G112" i="14"/>
  <c r="F112" i="14"/>
  <c r="E112" i="14"/>
  <c r="D112" i="14"/>
  <c r="C112" i="14"/>
  <c r="B112" i="14"/>
  <c r="I111" i="14"/>
  <c r="G111" i="14"/>
  <c r="F111" i="14"/>
  <c r="E111" i="14"/>
  <c r="D111" i="14"/>
  <c r="C111" i="14"/>
  <c r="B111" i="14"/>
  <c r="I110" i="14"/>
  <c r="G110" i="14"/>
  <c r="F110" i="14"/>
  <c r="E110" i="14"/>
  <c r="D110" i="14"/>
  <c r="C110" i="14"/>
  <c r="B110" i="14"/>
  <c r="I108" i="14"/>
  <c r="G108" i="14"/>
  <c r="F108" i="14"/>
  <c r="E108" i="14"/>
  <c r="D108" i="14"/>
  <c r="C108" i="14"/>
  <c r="B108" i="14"/>
  <c r="I109" i="14"/>
  <c r="G109" i="14"/>
  <c r="F109" i="14"/>
  <c r="E109" i="14"/>
  <c r="D109" i="14"/>
  <c r="C109" i="14"/>
  <c r="B109" i="14"/>
  <c r="I107" i="14"/>
  <c r="G107" i="14"/>
  <c r="F107" i="14"/>
  <c r="E107" i="14"/>
  <c r="D107" i="14"/>
  <c r="C107" i="14"/>
  <c r="B107" i="14"/>
  <c r="I106" i="14"/>
  <c r="G106" i="14"/>
  <c r="F106" i="14"/>
  <c r="E106" i="14"/>
  <c r="D106" i="14"/>
  <c r="C106" i="14"/>
  <c r="B106" i="14"/>
  <c r="C102" i="14"/>
  <c r="B102" i="14"/>
  <c r="E101" i="14"/>
  <c r="D101" i="14"/>
  <c r="E100" i="14"/>
  <c r="D100" i="14"/>
  <c r="E99" i="14"/>
  <c r="D99" i="14"/>
  <c r="E98" i="14"/>
  <c r="D98" i="14"/>
  <c r="F97" i="14"/>
  <c r="E97" i="14"/>
  <c r="D97" i="14"/>
  <c r="F96" i="14"/>
  <c r="E96" i="14"/>
  <c r="D96" i="14"/>
  <c r="E95" i="14"/>
  <c r="D95" i="14"/>
  <c r="E94" i="14"/>
  <c r="D94" i="14"/>
  <c r="E93" i="14"/>
  <c r="D93" i="14"/>
  <c r="C89" i="14"/>
  <c r="B89" i="14"/>
  <c r="F88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F82" i="14"/>
  <c r="E82" i="14"/>
  <c r="D82" i="14"/>
  <c r="E81" i="14"/>
  <c r="D81" i="14"/>
  <c r="E80" i="14"/>
  <c r="D80" i="14"/>
  <c r="C76" i="14"/>
  <c r="B76" i="14"/>
  <c r="F76" i="14" s="1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C63" i="14"/>
  <c r="B63" i="14"/>
  <c r="F64" i="14" s="1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F55" i="14"/>
  <c r="E55" i="14"/>
  <c r="D55" i="14"/>
  <c r="E54" i="14"/>
  <c r="D54" i="14"/>
  <c r="C50" i="14"/>
  <c r="B50" i="14"/>
  <c r="F51" i="14" s="1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C37" i="14"/>
  <c r="B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C11" i="14"/>
  <c r="B11" i="14"/>
  <c r="F47" i="14" s="1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E2" i="14"/>
  <c r="D2" i="14"/>
  <c r="H18" i="15" l="1"/>
  <c r="C18" i="15"/>
  <c r="D18" i="15"/>
  <c r="F58" i="14"/>
  <c r="E63" i="14"/>
  <c r="F115" i="14"/>
  <c r="F69" i="14"/>
  <c r="F77" i="14"/>
  <c r="D102" i="14"/>
  <c r="F54" i="14"/>
  <c r="F57" i="14"/>
  <c r="F60" i="14"/>
  <c r="E115" i="14"/>
  <c r="F59" i="14"/>
  <c r="F62" i="14"/>
  <c r="E37" i="14"/>
  <c r="F63" i="14"/>
  <c r="F61" i="14"/>
  <c r="E89" i="14"/>
  <c r="E11" i="14"/>
  <c r="F46" i="14"/>
  <c r="F21" i="14"/>
  <c r="F15" i="14"/>
  <c r="F16" i="14"/>
  <c r="F18" i="14"/>
  <c r="F17" i="14"/>
  <c r="F19" i="14"/>
  <c r="F23" i="14"/>
  <c r="F22" i="14"/>
  <c r="F20" i="14"/>
  <c r="F24" i="14"/>
  <c r="F11" i="14"/>
  <c r="F44" i="14"/>
  <c r="F41" i="14"/>
  <c r="F5" i="14"/>
  <c r="F35" i="14"/>
  <c r="F8" i="14"/>
  <c r="F32" i="14"/>
  <c r="F3" i="14"/>
  <c r="F7" i="14"/>
  <c r="F2" i="14"/>
  <c r="F10" i="14"/>
  <c r="F34" i="14"/>
  <c r="F43" i="14"/>
  <c r="F29" i="14"/>
  <c r="F49" i="14"/>
  <c r="D115" i="14"/>
  <c r="F6" i="14"/>
  <c r="F12" i="14"/>
  <c r="F30" i="14"/>
  <c r="D50" i="14"/>
  <c r="F70" i="14"/>
  <c r="F80" i="14"/>
  <c r="F86" i="14"/>
  <c r="D89" i="14"/>
  <c r="G115" i="14"/>
  <c r="I115" i="14"/>
  <c r="F9" i="14"/>
  <c r="F33" i="14"/>
  <c r="F42" i="14"/>
  <c r="F50" i="14"/>
  <c r="F83" i="14"/>
  <c r="F89" i="14"/>
  <c r="F98" i="14"/>
  <c r="F45" i="14"/>
  <c r="F48" i="14"/>
  <c r="F90" i="14"/>
  <c r="E102" i="14"/>
  <c r="F4" i="14"/>
  <c r="F31" i="14"/>
  <c r="F81" i="14"/>
  <c r="F87" i="14"/>
  <c r="B115" i="14"/>
  <c r="C115" i="14"/>
  <c r="D11" i="14"/>
  <c r="F72" i="14"/>
  <c r="F100" i="14"/>
  <c r="F102" i="14"/>
  <c r="D37" i="14"/>
  <c r="F67" i="14"/>
  <c r="F75" i="14"/>
  <c r="F85" i="14"/>
  <c r="F95" i="14"/>
  <c r="F103" i="14"/>
  <c r="F37" i="14"/>
  <c r="E50" i="14"/>
  <c r="D63" i="14"/>
  <c r="F73" i="14"/>
  <c r="F93" i="14"/>
  <c r="F101" i="14"/>
  <c r="F38" i="14"/>
  <c r="F68" i="14"/>
  <c r="D76" i="14"/>
  <c r="F71" i="14"/>
  <c r="E76" i="14"/>
  <c r="F99" i="14"/>
  <c r="F28" i="14"/>
  <c r="F36" i="14"/>
  <c r="F56" i="14"/>
  <c r="F74" i="14"/>
  <c r="F84" i="14"/>
  <c r="F94" i="14"/>
  <c r="J9" i="12"/>
  <c r="J8" i="12"/>
  <c r="J7" i="12"/>
  <c r="J6" i="12"/>
  <c r="J5" i="12"/>
  <c r="J4" i="12"/>
  <c r="J3" i="12"/>
  <c r="J2" i="12"/>
  <c r="G3" i="9"/>
  <c r="G2" i="9"/>
  <c r="G29" i="8"/>
  <c r="G28" i="8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15" i="8" l="1"/>
  <c r="G11" i="7"/>
  <c r="G5" i="7"/>
  <c r="G15" i="7"/>
  <c r="G27" i="8"/>
  <c r="G20" i="8"/>
  <c r="G10" i="8"/>
  <c r="G16" i="7" l="1"/>
  <c r="G20" i="7"/>
  <c r="G30" i="8"/>
  <c r="G21" i="8"/>
  <c r="G31" i="8" l="1"/>
  <c r="G21" i="7"/>
  <c r="Q53" i="2"/>
  <c r="S53" i="2" s="1"/>
  <c r="S52" i="2"/>
  <c r="R52" i="2"/>
  <c r="Q52" i="2"/>
  <c r="R51" i="2"/>
  <c r="Q51" i="2"/>
  <c r="S51" i="2" s="1"/>
  <c r="R50" i="2"/>
  <c r="Q50" i="2"/>
  <c r="S50" i="2" s="1"/>
  <c r="S49" i="2"/>
  <c r="R49" i="2"/>
  <c r="Q49" i="2"/>
  <c r="R48" i="2"/>
  <c r="R54" i="2" s="1"/>
  <c r="R55" i="2" s="1"/>
  <c r="Q48" i="2"/>
  <c r="S48" i="2" s="1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19" i="2"/>
  <c r="S18" i="2"/>
  <c r="S17" i="2"/>
  <c r="R16" i="2"/>
  <c r="Q16" i="2"/>
  <c r="R15" i="2"/>
  <c r="R57" i="2" s="1"/>
  <c r="Q15" i="2"/>
  <c r="Q57" i="2" s="1"/>
  <c r="R14" i="2"/>
  <c r="Q14" i="2"/>
  <c r="S13" i="2"/>
  <c r="S12" i="2"/>
  <c r="S11" i="2"/>
  <c r="S10" i="2"/>
  <c r="S9" i="2"/>
  <c r="S8" i="2"/>
  <c r="S7" i="2"/>
  <c r="S6" i="2"/>
  <c r="S5" i="2"/>
  <c r="S4" i="2"/>
  <c r="S3" i="2"/>
  <c r="I27" i="5"/>
  <c r="I26" i="5"/>
  <c r="I13" i="5"/>
  <c r="I15" i="10"/>
  <c r="I13" i="10"/>
  <c r="I12" i="10"/>
  <c r="I11" i="10"/>
  <c r="I8" i="10"/>
  <c r="I7" i="10"/>
  <c r="I6" i="10"/>
  <c r="I5" i="10"/>
  <c r="I4" i="10"/>
  <c r="I3" i="10"/>
  <c r="I2" i="10"/>
  <c r="J28" i="6"/>
  <c r="J21" i="6"/>
  <c r="J10" i="6"/>
  <c r="L10" i="6"/>
  <c r="L21" i="6"/>
  <c r="M21" i="6" s="1"/>
  <c r="L28" i="6"/>
  <c r="M28" i="6" s="1"/>
  <c r="I23" i="1"/>
  <c r="I19" i="1"/>
  <c r="I13" i="1"/>
  <c r="I7" i="1"/>
  <c r="I28" i="5" l="1"/>
  <c r="I10" i="10"/>
  <c r="I14" i="10" s="1"/>
  <c r="I16" i="10" s="1"/>
  <c r="I21" i="1"/>
  <c r="R62" i="2"/>
  <c r="Q63" i="2"/>
  <c r="R63" i="2"/>
  <c r="Q62" i="2"/>
  <c r="G4" i="9"/>
  <c r="M10" i="6"/>
  <c r="L29" i="6"/>
  <c r="S16" i="2"/>
  <c r="S14" i="2"/>
  <c r="Q56" i="2"/>
  <c r="R60" i="2"/>
  <c r="R56" i="2"/>
  <c r="R61" i="2"/>
  <c r="Q20" i="2"/>
  <c r="Q54" i="2"/>
  <c r="S15" i="2"/>
  <c r="R20" i="2"/>
  <c r="Q58" i="2"/>
  <c r="G5" i="9" s="1"/>
  <c r="R58" i="2"/>
  <c r="R21" i="2" l="1"/>
  <c r="M29" i="6"/>
  <c r="K9" i="10"/>
  <c r="L9" i="10" s="1"/>
  <c r="Q55" i="2"/>
  <c r="S55" i="2" s="1"/>
  <c r="S54" i="2"/>
  <c r="Q21" i="2"/>
  <c r="S20" i="2"/>
  <c r="G11" i="13"/>
  <c r="G10" i="13"/>
  <c r="G9" i="13"/>
  <c r="G8" i="13"/>
  <c r="G7" i="13"/>
  <c r="G6" i="13"/>
  <c r="R59" i="2" l="1"/>
  <c r="S21" i="2"/>
  <c r="Q59" i="2"/>
  <c r="G6" i="9" s="1"/>
  <c r="D27" i="5"/>
  <c r="E27" i="5"/>
  <c r="F27" i="5"/>
  <c r="G27" i="5"/>
  <c r="H27" i="5"/>
  <c r="K27" i="5"/>
  <c r="I9" i="12" l="1"/>
  <c r="I8" i="12"/>
  <c r="I7" i="12"/>
  <c r="I6" i="12"/>
  <c r="I5" i="12"/>
  <c r="I4" i="12"/>
  <c r="I3" i="12"/>
  <c r="I2" i="12"/>
  <c r="L2" i="12"/>
  <c r="L3" i="12"/>
  <c r="L4" i="12"/>
  <c r="L5" i="12"/>
  <c r="L6" i="12"/>
  <c r="L7" i="12"/>
  <c r="L8" i="12"/>
  <c r="L9" i="12"/>
  <c r="F3" i="9"/>
  <c r="F2" i="9"/>
  <c r="F29" i="8"/>
  <c r="F28" i="8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F5" i="7" s="1"/>
  <c r="F15" i="7" l="1"/>
  <c r="F10" i="8"/>
  <c r="F15" i="8"/>
  <c r="F20" i="8"/>
  <c r="F27" i="8"/>
  <c r="F11" i="7"/>
  <c r="F30" i="8" l="1"/>
  <c r="F31" i="8" s="1"/>
  <c r="F21" i="8"/>
  <c r="F20" i="7"/>
  <c r="F16" i="7"/>
  <c r="F21" i="7" l="1"/>
  <c r="N56" i="2"/>
  <c r="N53" i="2"/>
  <c r="P53" i="2" s="1"/>
  <c r="P52" i="2"/>
  <c r="O52" i="2"/>
  <c r="N52" i="2"/>
  <c r="O51" i="2"/>
  <c r="N51" i="2"/>
  <c r="P51" i="2" s="1"/>
  <c r="O50" i="2"/>
  <c r="O61" i="2" s="1"/>
  <c r="N50" i="2"/>
  <c r="P50" i="2" s="1"/>
  <c r="P49" i="2"/>
  <c r="O49" i="2"/>
  <c r="N49" i="2"/>
  <c r="O48" i="2"/>
  <c r="O54" i="2" s="1"/>
  <c r="O55" i="2" s="1"/>
  <c r="N48" i="2"/>
  <c r="P48" i="2" s="1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O15" i="2"/>
  <c r="O57" i="2" s="1"/>
  <c r="N15" i="2"/>
  <c r="P15" i="2" s="1"/>
  <c r="O14" i="2"/>
  <c r="N14" i="2"/>
  <c r="P13" i="2"/>
  <c r="P12" i="2"/>
  <c r="P11" i="2"/>
  <c r="P10" i="2"/>
  <c r="P9" i="2"/>
  <c r="P8" i="2"/>
  <c r="P7" i="2"/>
  <c r="P6" i="2"/>
  <c r="P5" i="2"/>
  <c r="P4" i="2"/>
  <c r="P3" i="2"/>
  <c r="H26" i="5"/>
  <c r="H28" i="5" s="1"/>
  <c r="H13" i="5"/>
  <c r="H15" i="10"/>
  <c r="H13" i="10"/>
  <c r="H12" i="10"/>
  <c r="H11" i="10"/>
  <c r="H8" i="10"/>
  <c r="H7" i="10"/>
  <c r="H6" i="10"/>
  <c r="H5" i="10"/>
  <c r="H4" i="10"/>
  <c r="H3" i="10"/>
  <c r="H2" i="10"/>
  <c r="I28" i="6"/>
  <c r="I21" i="6"/>
  <c r="I10" i="6"/>
  <c r="H23" i="1"/>
  <c r="H19" i="1"/>
  <c r="H13" i="1"/>
  <c r="H7" i="1"/>
  <c r="H21" i="1" s="1"/>
  <c r="N63" i="2" l="1"/>
  <c r="H10" i="10"/>
  <c r="H14" i="10" s="1"/>
  <c r="H16" i="10" s="1"/>
  <c r="O62" i="2"/>
  <c r="O63" i="2"/>
  <c r="N62" i="2"/>
  <c r="F4" i="9"/>
  <c r="O56" i="2"/>
  <c r="P16" i="2"/>
  <c r="N20" i="2"/>
  <c r="N54" i="2"/>
  <c r="N57" i="2"/>
  <c r="P14" i="2"/>
  <c r="O20" i="2"/>
  <c r="N58" i="2"/>
  <c r="F5" i="9" s="1"/>
  <c r="O60" i="2"/>
  <c r="O58" i="2"/>
  <c r="W62" i="2"/>
  <c r="H9" i="12"/>
  <c r="H8" i="12"/>
  <c r="H7" i="12"/>
  <c r="H6" i="12"/>
  <c r="H5" i="12"/>
  <c r="H4" i="12"/>
  <c r="H3" i="12"/>
  <c r="H2" i="12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W57" i="2"/>
  <c r="I3" i="9" s="1"/>
  <c r="J3" i="9" s="1"/>
  <c r="X61" i="2"/>
  <c r="X62" i="2"/>
  <c r="X63" i="2"/>
  <c r="E5" i="7" l="1"/>
  <c r="E15" i="7"/>
  <c r="O21" i="2"/>
  <c r="O59" i="2" s="1"/>
  <c r="N55" i="2"/>
  <c r="P55" i="2" s="1"/>
  <c r="P54" i="2"/>
  <c r="N21" i="2"/>
  <c r="P20" i="2"/>
  <c r="X57" i="2"/>
  <c r="K3" i="9" s="1"/>
  <c r="W63" i="2"/>
  <c r="W56" i="2"/>
  <c r="Z56" i="2" s="1"/>
  <c r="W58" i="2"/>
  <c r="Z58" i="2" s="1"/>
  <c r="X60" i="2"/>
  <c r="X56" i="2"/>
  <c r="AA56" i="2" s="1"/>
  <c r="X58" i="2"/>
  <c r="AA58" i="2" s="1"/>
  <c r="E10" i="8"/>
  <c r="E15" i="8"/>
  <c r="E20" i="8"/>
  <c r="E27" i="8"/>
  <c r="E11" i="7"/>
  <c r="E16" i="7" l="1"/>
  <c r="I5" i="9"/>
  <c r="J5" i="9" s="1"/>
  <c r="I2" i="9"/>
  <c r="J2" i="9" s="1"/>
  <c r="K5" i="9"/>
  <c r="K2" i="9"/>
  <c r="P21" i="2"/>
  <c r="N59" i="2"/>
  <c r="F6" i="9" s="1"/>
  <c r="E20" i="7"/>
  <c r="E21" i="8"/>
  <c r="E21" i="7" l="1"/>
  <c r="M53" i="2"/>
  <c r="K53" i="2"/>
  <c r="L52" i="2"/>
  <c r="K52" i="2"/>
  <c r="M51" i="2"/>
  <c r="L51" i="2"/>
  <c r="K51" i="2"/>
  <c r="L50" i="2"/>
  <c r="K50" i="2"/>
  <c r="L49" i="2"/>
  <c r="K49" i="2"/>
  <c r="L48" i="2"/>
  <c r="K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19" i="2"/>
  <c r="M18" i="2"/>
  <c r="M17" i="2"/>
  <c r="L16" i="2"/>
  <c r="K16" i="2"/>
  <c r="L15" i="2"/>
  <c r="K15" i="2"/>
  <c r="L14" i="2"/>
  <c r="K14" i="2"/>
  <c r="M13" i="2"/>
  <c r="M12" i="2"/>
  <c r="M11" i="2"/>
  <c r="M10" i="2"/>
  <c r="M9" i="2"/>
  <c r="M8" i="2"/>
  <c r="M7" i="2"/>
  <c r="M6" i="2"/>
  <c r="M5" i="2"/>
  <c r="M4" i="2"/>
  <c r="M3" i="2"/>
  <c r="K26" i="5"/>
  <c r="K13" i="5"/>
  <c r="K15" i="10"/>
  <c r="L15" i="10" s="1"/>
  <c r="K13" i="10"/>
  <c r="L13" i="10" s="1"/>
  <c r="K12" i="10"/>
  <c r="L12" i="10" s="1"/>
  <c r="K11" i="10"/>
  <c r="L11" i="10" s="1"/>
  <c r="K8" i="10"/>
  <c r="L8" i="10" s="1"/>
  <c r="K7" i="10"/>
  <c r="L7" i="10" s="1"/>
  <c r="K6" i="10"/>
  <c r="L6" i="10" s="1"/>
  <c r="K4" i="10"/>
  <c r="L4" i="10" s="1"/>
  <c r="K3" i="10"/>
  <c r="L3" i="10" s="1"/>
  <c r="K23" i="1"/>
  <c r="K19" i="1"/>
  <c r="K13" i="1"/>
  <c r="K7" i="1"/>
  <c r="K28" i="5" l="1"/>
  <c r="K5" i="10"/>
  <c r="L5" i="10" s="1"/>
  <c r="K2" i="10"/>
  <c r="L2" i="10" s="1"/>
  <c r="M16" i="2"/>
  <c r="E4" i="9"/>
  <c r="K62" i="2"/>
  <c r="K56" i="2"/>
  <c r="K58" i="2"/>
  <c r="K63" i="2"/>
  <c r="L57" i="2"/>
  <c r="L61" i="2"/>
  <c r="L63" i="2"/>
  <c r="L60" i="2"/>
  <c r="L58" i="2"/>
  <c r="L56" i="2"/>
  <c r="M49" i="2"/>
  <c r="M50" i="2"/>
  <c r="M52" i="2"/>
  <c r="E28" i="8"/>
  <c r="M14" i="2"/>
  <c r="L62" i="2"/>
  <c r="L54" i="2"/>
  <c r="L55" i="2" s="1"/>
  <c r="M15" i="2"/>
  <c r="K57" i="2"/>
  <c r="K54" i="2"/>
  <c r="M54" i="2" s="1"/>
  <c r="E29" i="8"/>
  <c r="L20" i="2"/>
  <c r="M48" i="2"/>
  <c r="K20" i="2"/>
  <c r="K21" i="1"/>
  <c r="K4" i="9"/>
  <c r="I4" i="9"/>
  <c r="J4" i="9" s="1"/>
  <c r="L29" i="8"/>
  <c r="L28" i="8"/>
  <c r="L26" i="8"/>
  <c r="L25" i="8"/>
  <c r="L24" i="8"/>
  <c r="L23" i="8"/>
  <c r="L22" i="8"/>
  <c r="L19" i="8"/>
  <c r="L18" i="8"/>
  <c r="L17" i="8"/>
  <c r="L16" i="8"/>
  <c r="L14" i="8"/>
  <c r="L13" i="8"/>
  <c r="L12" i="8"/>
  <c r="L11" i="8"/>
  <c r="L9" i="8"/>
  <c r="L8" i="8"/>
  <c r="L7" i="8"/>
  <c r="L6" i="8"/>
  <c r="L5" i="8"/>
  <c r="L4" i="8"/>
  <c r="L3" i="8"/>
  <c r="L2" i="8"/>
  <c r="I29" i="8"/>
  <c r="K29" i="8" s="1"/>
  <c r="I28" i="8"/>
  <c r="M28" i="8" s="1"/>
  <c r="I26" i="8"/>
  <c r="M26" i="8" s="1"/>
  <c r="I25" i="8"/>
  <c r="M25" i="8" s="1"/>
  <c r="I24" i="8"/>
  <c r="K24" i="8" s="1"/>
  <c r="I23" i="8"/>
  <c r="M23" i="8" s="1"/>
  <c r="I22" i="8"/>
  <c r="K22" i="8" s="1"/>
  <c r="I19" i="8"/>
  <c r="K19" i="8" s="1"/>
  <c r="I18" i="8"/>
  <c r="I17" i="8"/>
  <c r="M17" i="8" s="1"/>
  <c r="I16" i="8"/>
  <c r="K16" i="8" s="1"/>
  <c r="I14" i="8"/>
  <c r="K14" i="8" s="1"/>
  <c r="I13" i="8"/>
  <c r="M13" i="8" s="1"/>
  <c r="I12" i="8"/>
  <c r="K12" i="8" s="1"/>
  <c r="I11" i="8"/>
  <c r="K11" i="8" s="1"/>
  <c r="I9" i="8"/>
  <c r="K9" i="8" s="1"/>
  <c r="I8" i="8"/>
  <c r="K8" i="8" s="1"/>
  <c r="I7" i="8"/>
  <c r="M7" i="8" s="1"/>
  <c r="I6" i="8"/>
  <c r="K6" i="8" s="1"/>
  <c r="I5" i="8"/>
  <c r="K5" i="8" s="1"/>
  <c r="I4" i="8"/>
  <c r="K4" i="8" s="1"/>
  <c r="I3" i="8"/>
  <c r="K3" i="8" s="1"/>
  <c r="I2" i="8"/>
  <c r="K2" i="8" s="1"/>
  <c r="M29" i="8" l="1"/>
  <c r="K10" i="10"/>
  <c r="L10" i="10" s="1"/>
  <c r="M9" i="8"/>
  <c r="E3" i="9"/>
  <c r="M18" i="8"/>
  <c r="E30" i="8"/>
  <c r="E2" i="9"/>
  <c r="M5" i="8"/>
  <c r="M14" i="8"/>
  <c r="M19" i="8"/>
  <c r="L21" i="2"/>
  <c r="K55" i="2"/>
  <c r="M55" i="2" s="1"/>
  <c r="M3" i="8"/>
  <c r="M12" i="8"/>
  <c r="E5" i="9"/>
  <c r="M2" i="8"/>
  <c r="M11" i="8"/>
  <c r="M16" i="8"/>
  <c r="M4" i="8"/>
  <c r="M8" i="8"/>
  <c r="M24" i="8"/>
  <c r="M20" i="2"/>
  <c r="K21" i="2"/>
  <c r="M6" i="8"/>
  <c r="M22" i="8"/>
  <c r="I20" i="8"/>
  <c r="K20" i="8" s="1"/>
  <c r="I15" i="8"/>
  <c r="K15" i="8" s="1"/>
  <c r="I10" i="8"/>
  <c r="K10" i="8" s="1"/>
  <c r="I27" i="8"/>
  <c r="K27" i="8" s="1"/>
  <c r="K14" i="10" l="1"/>
  <c r="L14" i="10" s="1"/>
  <c r="K59" i="2"/>
  <c r="E6" i="9" s="1"/>
  <c r="E31" i="8"/>
  <c r="L59" i="2"/>
  <c r="I30" i="8"/>
  <c r="K30" i="8" s="1"/>
  <c r="M21" i="2"/>
  <c r="I21" i="8"/>
  <c r="K21" i="8" s="1"/>
  <c r="K16" i="10" l="1"/>
  <c r="L16" i="10" s="1"/>
  <c r="I31" i="8"/>
  <c r="K31" i="8" s="1"/>
  <c r="L19" i="7"/>
  <c r="L18" i="7"/>
  <c r="L17" i="7"/>
  <c r="L14" i="7"/>
  <c r="L13" i="7"/>
  <c r="L12" i="7"/>
  <c r="L15" i="7" s="1"/>
  <c r="L10" i="7"/>
  <c r="L9" i="7"/>
  <c r="L8" i="7"/>
  <c r="L7" i="7"/>
  <c r="L6" i="7"/>
  <c r="L4" i="7"/>
  <c r="L3" i="7"/>
  <c r="L2" i="7"/>
  <c r="I19" i="7"/>
  <c r="K19" i="7" s="1"/>
  <c r="I18" i="7"/>
  <c r="I17" i="7"/>
  <c r="K17" i="7" s="1"/>
  <c r="I14" i="7"/>
  <c r="I13" i="7"/>
  <c r="I12" i="7"/>
  <c r="I10" i="7"/>
  <c r="K10" i="7" s="1"/>
  <c r="I9" i="7"/>
  <c r="K9" i="7" s="1"/>
  <c r="I8" i="7"/>
  <c r="I7" i="7"/>
  <c r="K7" i="7" s="1"/>
  <c r="I6" i="7"/>
  <c r="K6" i="7" s="1"/>
  <c r="I4" i="7"/>
  <c r="K4" i="7" s="1"/>
  <c r="I3" i="7"/>
  <c r="K3" i="7" s="1"/>
  <c r="I2" i="7"/>
  <c r="K2" i="7" s="1"/>
  <c r="Y53" i="2"/>
  <c r="Y52" i="2"/>
  <c r="Y51" i="2"/>
  <c r="Y50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6" i="2"/>
  <c r="Y14" i="2"/>
  <c r="Y13" i="2"/>
  <c r="Y12" i="2"/>
  <c r="Y11" i="2"/>
  <c r="Y10" i="2"/>
  <c r="Y9" i="2"/>
  <c r="Y8" i="2"/>
  <c r="Y7" i="2"/>
  <c r="Y6" i="2"/>
  <c r="Y5" i="2"/>
  <c r="Y4" i="2"/>
  <c r="Y3" i="2"/>
  <c r="G26" i="5"/>
  <c r="G13" i="5"/>
  <c r="G15" i="10"/>
  <c r="G13" i="10"/>
  <c r="G12" i="10"/>
  <c r="G11" i="10"/>
  <c r="G8" i="10"/>
  <c r="G7" i="10"/>
  <c r="G6" i="10"/>
  <c r="G4" i="10"/>
  <c r="G3" i="10"/>
  <c r="K14" i="7" l="1"/>
  <c r="M14" i="7"/>
  <c r="J21" i="8"/>
  <c r="G28" i="5"/>
  <c r="M10" i="7"/>
  <c r="M9" i="7"/>
  <c r="M3" i="7"/>
  <c r="M8" i="7"/>
  <c r="M13" i="7"/>
  <c r="M19" i="7"/>
  <c r="M6" i="7"/>
  <c r="M17" i="7"/>
  <c r="J25" i="8"/>
  <c r="J17" i="8"/>
  <c r="J7" i="8"/>
  <c r="J5" i="8"/>
  <c r="J31" i="8"/>
  <c r="J23" i="8"/>
  <c r="J19" i="8"/>
  <c r="J13" i="8"/>
  <c r="J9" i="8"/>
  <c r="J3" i="8"/>
  <c r="J4" i="8"/>
  <c r="J24" i="8"/>
  <c r="J18" i="8"/>
  <c r="J8" i="8"/>
  <c r="J22" i="8"/>
  <c r="J2" i="8"/>
  <c r="J16" i="8"/>
  <c r="J11" i="8"/>
  <c r="J6" i="8"/>
  <c r="J12" i="8"/>
  <c r="J28" i="8"/>
  <c r="J14" i="8"/>
  <c r="J26" i="8"/>
  <c r="J15" i="8"/>
  <c r="J10" i="8"/>
  <c r="J27" i="8"/>
  <c r="J20" i="8"/>
  <c r="M4" i="7"/>
  <c r="M2" i="7"/>
  <c r="M7" i="7"/>
  <c r="M12" i="7"/>
  <c r="M18" i="7"/>
  <c r="I15" i="7"/>
  <c r="I11" i="7"/>
  <c r="K11" i="7" s="1"/>
  <c r="I5" i="7"/>
  <c r="K5" i="7" s="1"/>
  <c r="Y49" i="2"/>
  <c r="Y15" i="2"/>
  <c r="Y48" i="2"/>
  <c r="H28" i="6"/>
  <c r="H21" i="6"/>
  <c r="H10" i="6"/>
  <c r="C23" i="1"/>
  <c r="D23" i="1"/>
  <c r="E23" i="1"/>
  <c r="F23" i="1"/>
  <c r="G23" i="1"/>
  <c r="B23" i="1"/>
  <c r="K15" i="7" l="1"/>
  <c r="M15" i="7"/>
  <c r="G5" i="10"/>
  <c r="G2" i="10"/>
  <c r="I20" i="7"/>
  <c r="K20" i="7" s="1"/>
  <c r="I16" i="7"/>
  <c r="K16" i="7" s="1"/>
  <c r="Y54" i="2"/>
  <c r="Y20" i="2"/>
  <c r="G7" i="1"/>
  <c r="G19" i="1"/>
  <c r="G13" i="1"/>
  <c r="G21" i="1" s="1"/>
  <c r="C6" i="10"/>
  <c r="D6" i="10"/>
  <c r="E6" i="10"/>
  <c r="F6" i="10"/>
  <c r="C7" i="10"/>
  <c r="D7" i="10"/>
  <c r="E7" i="10"/>
  <c r="F7" i="10"/>
  <c r="C8" i="10"/>
  <c r="D8" i="10"/>
  <c r="E8" i="10"/>
  <c r="F8" i="10"/>
  <c r="B8" i="10"/>
  <c r="B7" i="10"/>
  <c r="B6" i="10"/>
  <c r="C3" i="10"/>
  <c r="D3" i="10"/>
  <c r="E3" i="10"/>
  <c r="F3" i="10"/>
  <c r="C4" i="10"/>
  <c r="D4" i="10"/>
  <c r="E4" i="10"/>
  <c r="F4" i="10"/>
  <c r="B3" i="10"/>
  <c r="W59" i="2" l="1"/>
  <c r="X59" i="2"/>
  <c r="G10" i="10"/>
  <c r="Y55" i="2"/>
  <c r="I21" i="7"/>
  <c r="K21" i="7" s="1"/>
  <c r="Y21" i="2"/>
  <c r="B15" i="10"/>
  <c r="B13" i="10"/>
  <c r="B12" i="10"/>
  <c r="B11" i="10"/>
  <c r="K6" i="9" l="1"/>
  <c r="AA59" i="2"/>
  <c r="I6" i="9"/>
  <c r="J6" i="9" s="1"/>
  <c r="Z59" i="2"/>
  <c r="J16" i="7"/>
  <c r="G14" i="10"/>
  <c r="J21" i="7"/>
  <c r="J8" i="7"/>
  <c r="J6" i="7"/>
  <c r="J3" i="7"/>
  <c r="J13" i="7"/>
  <c r="J2" i="7"/>
  <c r="J9" i="7"/>
  <c r="J7" i="7"/>
  <c r="J18" i="7"/>
  <c r="J10" i="7"/>
  <c r="J17" i="7"/>
  <c r="J14" i="7"/>
  <c r="J4" i="7"/>
  <c r="J12" i="7"/>
  <c r="J15" i="7"/>
  <c r="J5" i="7"/>
  <c r="J11" i="7"/>
  <c r="F26" i="5"/>
  <c r="E26" i="5"/>
  <c r="D26" i="5"/>
  <c r="C24" i="5"/>
  <c r="B24" i="5"/>
  <c r="C15" i="5"/>
  <c r="C27" i="5" s="1"/>
  <c r="B15" i="5"/>
  <c r="F13" i="5"/>
  <c r="E13" i="5"/>
  <c r="D13" i="5"/>
  <c r="C6" i="5"/>
  <c r="B6" i="5"/>
  <c r="C5" i="5"/>
  <c r="B5" i="5"/>
  <c r="G28" i="6"/>
  <c r="F28" i="6"/>
  <c r="E28" i="6"/>
  <c r="D28" i="6"/>
  <c r="G21" i="6"/>
  <c r="F21" i="6"/>
  <c r="E21" i="6"/>
  <c r="D21" i="6"/>
  <c r="C14" i="6"/>
  <c r="C21" i="6" s="1"/>
  <c r="B5" i="10" s="1"/>
  <c r="G10" i="6"/>
  <c r="F10" i="6"/>
  <c r="E10" i="6"/>
  <c r="D10" i="6"/>
  <c r="C5" i="6"/>
  <c r="C4" i="6"/>
  <c r="B4" i="10" s="1"/>
  <c r="F19" i="1"/>
  <c r="E19" i="1"/>
  <c r="D19" i="1"/>
  <c r="C19" i="1"/>
  <c r="F13" i="1"/>
  <c r="E13" i="1"/>
  <c r="D13" i="1"/>
  <c r="C13" i="1"/>
  <c r="B13" i="1"/>
  <c r="F7" i="1"/>
  <c r="F21" i="1" s="1"/>
  <c r="E7" i="1"/>
  <c r="D7" i="1"/>
  <c r="C7" i="1"/>
  <c r="B7" i="1"/>
  <c r="H53" i="2"/>
  <c r="I52" i="2"/>
  <c r="H52" i="2"/>
  <c r="I51" i="2"/>
  <c r="H51" i="2"/>
  <c r="I50" i="2"/>
  <c r="H50" i="2"/>
  <c r="I49" i="2"/>
  <c r="H49" i="2"/>
  <c r="I48" i="2"/>
  <c r="H48" i="2"/>
  <c r="I16" i="2"/>
  <c r="H16" i="2"/>
  <c r="I15" i="2"/>
  <c r="H15" i="2"/>
  <c r="H57" i="2" s="1"/>
  <c r="D3" i="9" s="1"/>
  <c r="I14" i="2"/>
  <c r="H14" i="2"/>
  <c r="E53" i="2"/>
  <c r="F52" i="2"/>
  <c r="E52" i="2"/>
  <c r="F51" i="2"/>
  <c r="E51" i="2"/>
  <c r="F50" i="2"/>
  <c r="E50" i="2"/>
  <c r="F49" i="2"/>
  <c r="E49" i="2"/>
  <c r="F48" i="2"/>
  <c r="E48" i="2"/>
  <c r="F16" i="2"/>
  <c r="E16" i="2"/>
  <c r="F15" i="2"/>
  <c r="F57" i="2" s="1"/>
  <c r="E15" i="2"/>
  <c r="F14" i="2"/>
  <c r="E14" i="2"/>
  <c r="B53" i="2"/>
  <c r="C52" i="2"/>
  <c r="B52" i="2"/>
  <c r="C51" i="2"/>
  <c r="B51" i="2"/>
  <c r="C50" i="2"/>
  <c r="B50" i="2"/>
  <c r="C49" i="2"/>
  <c r="B49" i="2"/>
  <c r="C48" i="2"/>
  <c r="C61" i="2" s="1"/>
  <c r="B48" i="2"/>
  <c r="C16" i="2"/>
  <c r="B16" i="2"/>
  <c r="C15" i="2"/>
  <c r="C57" i="2" s="1"/>
  <c r="B15" i="2"/>
  <c r="C14" i="2"/>
  <c r="B14" i="2"/>
  <c r="B26" i="5" l="1"/>
  <c r="B27" i="5"/>
  <c r="B21" i="1"/>
  <c r="C21" i="1"/>
  <c r="B62" i="2"/>
  <c r="E20" i="2"/>
  <c r="E21" i="2" s="1"/>
  <c r="E57" i="2"/>
  <c r="C3" i="9" s="1"/>
  <c r="I62" i="2"/>
  <c r="G16" i="10"/>
  <c r="B58" i="2"/>
  <c r="B5" i="9" s="1"/>
  <c r="B56" i="2"/>
  <c r="B2" i="9" s="1"/>
  <c r="B63" i="2"/>
  <c r="F61" i="2"/>
  <c r="C63" i="2"/>
  <c r="C58" i="2"/>
  <c r="C56" i="2"/>
  <c r="C60" i="2"/>
  <c r="C62" i="2"/>
  <c r="E63" i="2"/>
  <c r="E58" i="2"/>
  <c r="C5" i="9" s="1"/>
  <c r="E56" i="2"/>
  <c r="C2" i="9" s="1"/>
  <c r="E62" i="2"/>
  <c r="I57" i="2"/>
  <c r="I61" i="2"/>
  <c r="D21" i="1"/>
  <c r="F28" i="5"/>
  <c r="I20" i="2"/>
  <c r="I21" i="2" s="1"/>
  <c r="I63" i="2"/>
  <c r="I58" i="2"/>
  <c r="I56" i="2"/>
  <c r="I60" i="2"/>
  <c r="B57" i="2"/>
  <c r="B3" i="9" s="1"/>
  <c r="F63" i="2"/>
  <c r="F60" i="2"/>
  <c r="F58" i="2"/>
  <c r="F56" i="2"/>
  <c r="F62" i="2"/>
  <c r="H58" i="2"/>
  <c r="D5" i="9" s="1"/>
  <c r="H56" i="2"/>
  <c r="D2" i="9" s="1"/>
  <c r="H63" i="2"/>
  <c r="H62" i="2"/>
  <c r="B13" i="5"/>
  <c r="C26" i="5"/>
  <c r="F20" i="2"/>
  <c r="F21" i="2" s="1"/>
  <c r="H20" i="2"/>
  <c r="H21" i="2" s="1"/>
  <c r="E21" i="1"/>
  <c r="C10" i="6"/>
  <c r="B2" i="10" s="1"/>
  <c r="B10" i="10" s="1"/>
  <c r="B14" i="10" s="1"/>
  <c r="B16" i="10" s="1"/>
  <c r="C13" i="5"/>
  <c r="B20" i="2"/>
  <c r="B21" i="2" s="1"/>
  <c r="C20" i="2"/>
  <c r="C21" i="2" s="1"/>
  <c r="C28" i="6"/>
  <c r="G6" i="12" l="1"/>
  <c r="F2" i="12"/>
  <c r="G2" i="12"/>
  <c r="F3" i="12"/>
  <c r="G3" i="12"/>
  <c r="F4" i="12"/>
  <c r="G4" i="12"/>
  <c r="F5" i="12"/>
  <c r="G5" i="12"/>
  <c r="F6" i="12"/>
  <c r="F7" i="12"/>
  <c r="G7" i="12"/>
  <c r="F8" i="12"/>
  <c r="G8" i="12"/>
  <c r="F9" i="12"/>
  <c r="G9" i="12"/>
  <c r="E9" i="12"/>
  <c r="E8" i="12"/>
  <c r="E7" i="12"/>
  <c r="E6" i="12"/>
  <c r="E5" i="12"/>
  <c r="E4" i="12"/>
  <c r="E3" i="12"/>
  <c r="E2" i="12"/>
  <c r="D11" i="10"/>
  <c r="E11" i="10"/>
  <c r="F11" i="10"/>
  <c r="D12" i="10"/>
  <c r="E12" i="10"/>
  <c r="F12" i="10"/>
  <c r="D13" i="10"/>
  <c r="E13" i="10"/>
  <c r="F13" i="10"/>
  <c r="D15" i="10"/>
  <c r="E15" i="10"/>
  <c r="F15" i="10"/>
  <c r="C15" i="10"/>
  <c r="C13" i="10"/>
  <c r="C12" i="10"/>
  <c r="C11" i="10"/>
  <c r="C4" i="9" l="1"/>
  <c r="B4" i="9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L20" i="8" l="1"/>
  <c r="M20" i="8" s="1"/>
  <c r="L11" i="7"/>
  <c r="M11" i="7" s="1"/>
  <c r="D15" i="8"/>
  <c r="B5" i="7"/>
  <c r="B11" i="7"/>
  <c r="B27" i="8"/>
  <c r="B15" i="7"/>
  <c r="D27" i="8"/>
  <c r="L27" i="8"/>
  <c r="M27" i="8" s="1"/>
  <c r="L15" i="8"/>
  <c r="M15" i="8" s="1"/>
  <c r="C27" i="8"/>
  <c r="L10" i="8"/>
  <c r="M10" i="8" s="1"/>
  <c r="D10" i="8"/>
  <c r="D20" i="8"/>
  <c r="C10" i="8"/>
  <c r="C15" i="8"/>
  <c r="C20" i="8"/>
  <c r="B20" i="8"/>
  <c r="B15" i="8"/>
  <c r="B10" i="8"/>
  <c r="L5" i="7"/>
  <c r="M5" i="7" s="1"/>
  <c r="C15" i="7"/>
  <c r="C11" i="7"/>
  <c r="D11" i="7"/>
  <c r="D5" i="7"/>
  <c r="D15" i="7"/>
  <c r="C5" i="7"/>
  <c r="B21" i="8" l="1"/>
  <c r="D21" i="8"/>
  <c r="C21" i="8"/>
  <c r="L21" i="8"/>
  <c r="M21" i="8" s="1"/>
  <c r="C16" i="7"/>
  <c r="L16" i="7"/>
  <c r="M16" i="7" s="1"/>
  <c r="D16" i="7"/>
  <c r="B16" i="7"/>
  <c r="B20" i="7"/>
  <c r="B21" i="7" s="1"/>
  <c r="L20" i="7"/>
  <c r="C30" i="8"/>
  <c r="C31" i="8" s="1"/>
  <c r="B30" i="8"/>
  <c r="B31" i="8" s="1"/>
  <c r="C20" i="7"/>
  <c r="C21" i="7" s="1"/>
  <c r="D20" i="7"/>
  <c r="D21" i="7" l="1"/>
  <c r="L21" i="7"/>
  <c r="M21" i="7" s="1"/>
  <c r="M20" i="7"/>
  <c r="L30" i="8"/>
  <c r="L31" i="8" l="1"/>
  <c r="M31" i="8" s="1"/>
  <c r="M30" i="8"/>
  <c r="C5" i="10"/>
  <c r="C2" i="10"/>
  <c r="C10" i="10" l="1"/>
  <c r="C14" i="10" s="1"/>
  <c r="C16" i="10" s="1"/>
  <c r="E5" i="10" l="1"/>
  <c r="F5" i="10"/>
  <c r="D5" i="10"/>
  <c r="E2" i="10"/>
  <c r="F2" i="10"/>
  <c r="D2" i="10"/>
  <c r="E10" i="10" l="1"/>
  <c r="E14" i="10" s="1"/>
  <c r="E16" i="10" s="1"/>
  <c r="D10" i="10"/>
  <c r="D14" i="10" s="1"/>
  <c r="D16" i="10" s="1"/>
  <c r="F10" i="10"/>
  <c r="E54" i="2"/>
  <c r="E55" i="2" s="1"/>
  <c r="E59" i="2" s="1"/>
  <c r="C6" i="9" s="1"/>
  <c r="F54" i="2"/>
  <c r="F55" i="2" s="1"/>
  <c r="F59" i="2" s="1"/>
  <c r="F14" i="10" l="1"/>
  <c r="F16" i="10" l="1"/>
  <c r="J47" i="2" l="1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J13" i="2"/>
  <c r="J12" i="2"/>
  <c r="J11" i="2"/>
  <c r="J10" i="2"/>
  <c r="J9" i="2"/>
  <c r="J8" i="2"/>
  <c r="J7" i="2"/>
  <c r="J6" i="2"/>
  <c r="J5" i="2"/>
  <c r="J4" i="2"/>
  <c r="J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D28" i="8" l="1"/>
  <c r="D4" i="9" l="1"/>
  <c r="J53" i="2"/>
  <c r="D29" i="8"/>
  <c r="J49" i="2"/>
  <c r="J52" i="2"/>
  <c r="J51" i="2"/>
  <c r="J50" i="2"/>
  <c r="J48" i="2"/>
  <c r="J16" i="2"/>
  <c r="J14" i="2"/>
  <c r="J15" i="2"/>
  <c r="I54" i="2"/>
  <c r="I55" i="2" s="1"/>
  <c r="I59" i="2" s="1"/>
  <c r="H54" i="2"/>
  <c r="D30" i="8" l="1"/>
  <c r="J21" i="2"/>
  <c r="J20" i="2"/>
  <c r="H55" i="2"/>
  <c r="J54" i="2"/>
  <c r="G12" i="2"/>
  <c r="D53" i="2"/>
  <c r="D52" i="2"/>
  <c r="J55" i="2" l="1"/>
  <c r="H59" i="2"/>
  <c r="D6" i="9" s="1"/>
  <c r="D31" i="8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G20" i="2" l="1"/>
  <c r="G54" i="2"/>
  <c r="G16" i="2"/>
  <c r="D21" i="2"/>
  <c r="D20" i="2"/>
  <c r="B55" i="2"/>
  <c r="D54" i="2"/>
  <c r="D55" i="2" l="1"/>
  <c r="B59" i="2"/>
  <c r="B6" i="9" s="1"/>
  <c r="G21" i="2"/>
  <c r="G55" i="2"/>
</calcChain>
</file>

<file path=xl/sharedStrings.xml><?xml version="1.0" encoding="utf-8"?>
<sst xmlns="http://schemas.openxmlformats.org/spreadsheetml/2006/main" count="645" uniqueCount="389">
  <si>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</si>
  <si>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</si>
  <si>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</si>
  <si>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</si>
  <si>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</si>
  <si>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</si>
  <si>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</si>
  <si>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</si>
  <si>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</si>
  <si>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</si>
  <si>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</si>
  <si>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</si>
  <si>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</si>
  <si>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</si>
  <si>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</si>
  <si>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</si>
  <si>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</si>
  <si>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</si>
  <si>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</si>
  <si>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</si>
  <si>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</si>
  <si>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</si>
  <si>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</si>
  <si>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</si>
  <si>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</si>
  <si>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</si>
  <si>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</si>
  <si>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</si>
  <si>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</si>
  <si>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</si>
  <si>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</si>
  <si>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</si>
  <si>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</si>
  <si>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</si>
  <si>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</si>
  <si>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</si>
  <si>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</si>
  <si>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</si>
  <si>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</si>
  <si>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</si>
  <si>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</si>
  <si>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</si>
  <si>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</si>
  <si>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</si>
  <si>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</si>
  <si>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</si>
  <si>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</si>
  <si>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</si>
  <si>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</si>
  <si>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</si>
  <si>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</si>
  <si>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</si>
  <si>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</si>
  <si>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</si>
  <si>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</si>
  <si>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</si>
  <si>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</si>
  <si>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</si>
  <si>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</si>
  <si>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</si>
  <si>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</si>
  <si>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</si>
  <si>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</si>
  <si>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</si>
  <si>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</si>
  <si>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</si>
  <si>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</si>
  <si>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</si>
  <si>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</si>
  <si>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</si>
  <si>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</si>
  <si>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</si>
  <si>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</si>
  <si>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</si>
  <si>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</si>
  <si>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</si>
  <si>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</si>
  <si>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</si>
  <si>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</si>
  <si>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</si>
  <si>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</si>
  <si>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</si>
  <si>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</si>
  <si>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</si>
  <si>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</si>
  <si>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</si>
  <si>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</si>
  <si>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</si>
  <si>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</si>
  <si>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</si>
  <si>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</si>
  <si>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</si>
  <si>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</si>
  <si>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</si>
  <si>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</si>
  <si>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</si>
  <si>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</si>
  <si>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</si>
  <si>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</si>
  <si>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</si>
  <si>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</si>
  <si>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</si>
  <si>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</si>
  <si>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</si>
  <si>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</si>
  <si>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</si>
  <si>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</si>
  <si>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</si>
  <si>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</si>
  <si>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</si>
  <si>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</si>
  <si>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</si>
  <si>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</si>
  <si>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</si>
  <si>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</si>
  <si>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</si>
  <si>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</si>
  <si>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</si>
  <si>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</si>
  <si>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</si>
  <si>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</si>
  <si>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</si>
  <si>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</si>
  <si>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</si>
  <si>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</si>
  <si>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</si>
  <si>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</si>
  <si>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</si>
  <si>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</si>
  <si>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</si>
  <si>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</si>
  <si>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</si>
  <si>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</si>
  <si>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</si>
  <si>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</si>
  <si>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</si>
  <si>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</si>
  <si>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</si>
  <si>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</si>
  <si>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</si>
  <si>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</si>
  <si>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</si>
  <si>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</si>
  <si>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</si>
  <si>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</si>
  <si>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</si>
  <si>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</si>
  <si>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</si>
  <si>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</si>
  <si>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</si>
  <si>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</si>
  <si>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</si>
  <si>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</si>
  <si>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</si>
  <si>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</si>
  <si>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</si>
  <si>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</si>
  <si>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</si>
  <si>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</si>
  <si>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</si>
  <si>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</si>
  <si>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</si>
  <si>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</si>
  <si>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</si>
  <si>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</si>
  <si>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</si>
  <si>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</si>
  <si>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</si>
  <si>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</si>
  <si>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</si>
  <si>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</si>
  <si>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</si>
  <si>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</si>
  <si>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</si>
  <si>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</si>
  <si>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</si>
  <si>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</si>
  <si>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</si>
  <si>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</si>
  <si>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</si>
  <si>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</si>
  <si>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</si>
  <si>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</si>
  <si>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</si>
  <si>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</si>
  <si>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</si>
  <si>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</si>
  <si>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</si>
  <si>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</si>
  <si>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</si>
  <si>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</si>
  <si>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</si>
  <si>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</si>
  <si>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</si>
  <si>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</si>
  <si>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</si>
  <si>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</si>
  <si>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</si>
  <si>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</si>
  <si>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</si>
  <si>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</si>
  <si>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</si>
  <si>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</si>
  <si>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</si>
  <si>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</si>
  <si>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</si>
  <si>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</si>
  <si>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</si>
  <si>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</si>
  <si>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</si>
  <si>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</si>
  <si>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</si>
  <si>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</si>
  <si>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</si>
  <si>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</si>
  <si>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</si>
  <si>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</si>
  <si>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</si>
  <si>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</si>
  <si>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</si>
  <si>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</si>
  <si>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</si>
  <si>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</si>
  <si>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</si>
  <si>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</si>
  <si>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</si>
  <si>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</si>
  <si>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</si>
  <si>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</si>
  <si>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</si>
  <si>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</si>
  <si>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</si>
  <si>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</si>
  <si>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</si>
  <si>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</si>
  <si>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</si>
  <si>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</si>
  <si>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</si>
  <si>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</si>
  <si>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</si>
  <si>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</si>
  <si>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</si>
  <si>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</si>
  <si>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</si>
  <si>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</si>
  <si>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</si>
  <si>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</si>
  <si>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</si>
  <si>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</si>
  <si>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</si>
  <si>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</si>
  <si>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</si>
  <si>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</si>
  <si>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</si>
  <si>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</si>
  <si>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</si>
  <si>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</si>
  <si>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</si>
  <si>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</si>
  <si>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</si>
  <si>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</si>
  <si>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</si>
  <si>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</si>
  <si>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</si>
  <si>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</si>
  <si>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</si>
  <si>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</si>
  <si>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</si>
  <si>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</si>
  <si>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</si>
  <si>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</si>
  <si>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</si>
  <si>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</si>
  <si>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</si>
  <si>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</si>
  <si>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</si>
  <si>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</si>
  <si>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</si>
  <si>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</si>
  <si>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</si>
  <si>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</si>
  <si>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</si>
  <si>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</si>
  <si>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</si>
  <si>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</si>
  <si>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</si>
  <si>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</si>
  <si>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</si>
  <si>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</si>
  <si>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</si>
  <si>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</si>
  <si>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</si>
  <si>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</si>
  <si>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</si>
  <si>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</si>
  <si>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</si>
  <si>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</si>
  <si>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</si>
  <si>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</si>
  <si>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</si>
  <si>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</si>
  <si>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</si>
  <si>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</si>
  <si>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</si>
  <si>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</si>
  <si>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</si>
  <si>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</si>
  <si>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</si>
  <si>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</si>
  <si>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</si>
  <si>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</si>
  <si>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</si>
  <si>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</si>
  <si>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</si>
  <si>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</si>
  <si>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</si>
  <si>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</si>
  <si>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</si>
  <si>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</si>
  <si>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</si>
  <si>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</si>
  <si>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</si>
  <si>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</si>
  <si>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</si>
  <si>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</si>
  <si>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</si>
  <si>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</si>
  <si>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</si>
  <si>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</si>
  <si>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</si>
  <si>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</si>
  <si>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</si>
  <si>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</si>
  <si>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</si>
  <si>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</si>
  <si>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</si>
  <si>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</si>
  <si>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</si>
  <si>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</si>
  <si>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</si>
  <si>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</si>
  <si>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/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</si>
  <si>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</si>
  <si>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</si>
  <si>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</si>
  <si>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</si>
  <si>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</si>
  <si>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</si>
  <si>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</si>
  <si>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</si>
  <si>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</si>
  <si>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Città metro-politana</t>
  </si>
  <si>
    <t>Saldo naturale</t>
  </si>
  <si>
    <t>Saldo migratorio</t>
  </si>
  <si>
    <t>Verifica</t>
  </si>
  <si>
    <t>Riaccertamento residui attivi</t>
  </si>
  <si>
    <t>Rapporto Fcde/Residui attivi (scala dx)</t>
  </si>
  <si>
    <t>Sviluppo sostenibile, tutela territ. e ambiente</t>
  </si>
  <si>
    <t>Saldo entrate/uscite finali</t>
  </si>
  <si>
    <t>Saldo entrate/uscite nette</t>
  </si>
  <si>
    <t>Capacità riscossione entrate finali</t>
  </si>
  <si>
    <t>Capacità pagamento uscite finali</t>
  </si>
  <si>
    <t>Entrate proprie su Entrate finali %</t>
  </si>
  <si>
    <t>Entrate da trasferimenti su Entrate finali %</t>
  </si>
  <si>
    <t>Risultato economico di esercizi precedenti (A4)</t>
  </si>
  <si>
    <t>Riserve negative per beni indisponibili (A5)</t>
  </si>
  <si>
    <t>Saldo censuario</t>
  </si>
  <si>
    <t>Impegni</t>
  </si>
  <si>
    <t>Pagamenti</t>
  </si>
  <si>
    <t>Residui</t>
  </si>
  <si>
    <t>Cap. pagamento</t>
  </si>
  <si>
    <t>Composizione spesa</t>
  </si>
  <si>
    <t>Infanzia, minori, asili nido</t>
  </si>
  <si>
    <t>Disabilità</t>
  </si>
  <si>
    <t>Anziani</t>
  </si>
  <si>
    <t>Soggetti a rischio esclusione sociale</t>
  </si>
  <si>
    <t>Famiglie</t>
  </si>
  <si>
    <t>Diritto alla casa</t>
  </si>
  <si>
    <t>Rete dei servizi sociosanitari e sociali</t>
  </si>
  <si>
    <t>Cooperazione e associazionismo</t>
  </si>
  <si>
    <t>Servizio necroscopico e cimiteriale</t>
  </si>
  <si>
    <t>Spesa finale</t>
  </si>
  <si>
    <t>Totale</t>
  </si>
  <si>
    <t>Spesa corrente</t>
  </si>
  <si>
    <t>Spesa in conto capitale</t>
  </si>
  <si>
    <t>%Spesa corrente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</si>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</sst>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0.0000"/>
    <numFmt numFmtId="168" formatCode="_-* #,##0.0_-;\-* #,##0.0_-;_-* &quot;-&quot;??_-;_-@_-"/>
    <numFmt numFmtId="169" formatCode="#,##0.0_ ;\-#,##0.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56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4" fontId="0" fillId="0" borderId="0" xfId="0" applyNumberFormat="1"/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0" xfId="1" applyNumberFormat="1" applyFont="1" applyBorder="1"/>
    <xf numFmtId="164" fontId="0" fillId="2" borderId="0" xfId="1" applyNumberFormat="1" applyFont="1" applyFill="1" applyBorder="1"/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4" xfId="1" applyNumberFormat="1" applyFon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164" fontId="0" fillId="0" borderId="0" xfId="1" applyNumberFormat="1" applyFont="1" applyFill="1"/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167" fontId="0" fillId="0" borderId="0" xfId="0" applyNumberFormat="1"/>
    <xf numFmtId="3" fontId="1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/>
    <xf numFmtId="0" fontId="0" fillId="0" borderId="0" xfId="0" applyAlignment="1"/>
    <xf numFmtId="3" fontId="0" fillId="0" borderId="0" xfId="0" applyNumberFormat="1" applyAlignment="1"/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11" fillId="4" borderId="0" xfId="0" applyFont="1" applyFill="1" applyAlignment="1">
      <alignment vertical="center"/>
    </xf>
    <xf numFmtId="166" fontId="11" fillId="4" borderId="0" xfId="0" applyNumberFormat="1" applyFont="1" applyFill="1" applyAlignment="1">
      <alignment vertical="center"/>
    </xf>
    <xf numFmtId="166" fontId="11" fillId="4" borderId="0" xfId="1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3" fillId="0" borderId="1" xfId="0" applyFont="1" applyBorder="1" applyAlignment="1">
      <alignment vertical="center"/>
    </xf>
    <xf numFmtId="166" fontId="13" fillId="0" borderId="1" xfId="0" applyNumberFormat="1" applyFont="1" applyBorder="1" applyAlignment="1">
      <alignment vertical="center"/>
    </xf>
    <xf numFmtId="168" fontId="0" fillId="0" borderId="0" xfId="0" applyNumberFormat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168" fontId="0" fillId="0" borderId="0" xfId="0" applyNumberFormat="1" applyAlignment="1">
      <alignment horizontal="right"/>
    </xf>
    <xf numFmtId="169" fontId="9" fillId="4" borderId="0" xfId="1" applyNumberFormat="1" applyFont="1" applyFill="1" applyAlignment="1">
      <alignment horizontal="center" vertical="center"/>
    </xf>
    <xf numFmtId="169" fontId="9" fillId="6" borderId="0" xfId="1" applyNumberFormat="1" applyFont="1" applyFill="1" applyAlignment="1">
      <alignment horizontal="center" vertical="center"/>
    </xf>
    <xf numFmtId="169" fontId="9" fillId="4" borderId="0" xfId="0" applyNumberFormat="1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Fill="1" applyBorder="1"/>
    <xf numFmtId="3" fontId="0" fillId="0" borderId="0" xfId="0" applyNumberFormat="1" applyFill="1"/>
    <xf numFmtId="165" fontId="0" fillId="0" borderId="0" xfId="0" applyNumberFormat="1" applyAlignment="1">
      <alignment horizontal="right"/>
    </xf>
    <xf numFmtId="165" fontId="1" fillId="0" borderId="0" xfId="0" applyNumberFormat="1" applyFont="1"/>
    <xf numFmtId="0" fontId="2" fillId="0" borderId="0" xfId="0" applyFont="1"/>
    <xf numFmtId="3" fontId="2" fillId="0" borderId="0" xfId="0" applyNumberFormat="1" applyFont="1" applyFill="1"/>
    <xf numFmtId="165" fontId="2" fillId="0" borderId="0" xfId="0" applyNumberFormat="1" applyFont="1"/>
    <xf numFmtId="3" fontId="2" fillId="0" borderId="0" xfId="0" applyNumberFormat="1" applyFont="1"/>
    <xf numFmtId="0" fontId="0" fillId="0" borderId="0" xfId="0" applyAlignment="1">
      <alignment vertical="center"/>
    </xf>
    <xf numFmtId="0" fontId="14" fillId="0" borderId="0" xfId="2" applyFont="1" applyFill="1" applyBorder="1" applyAlignment="1" applyProtection="1">
      <alignment vertical="center" readingOrder="1"/>
    </xf>
    <xf numFmtId="0" fontId="15" fillId="0" borderId="0" xfId="2" applyFont="1" applyFill="1" applyBorder="1" applyAlignment="1" applyProtection="1">
      <alignment vertical="center" readingOrder="1"/>
    </xf>
    <xf numFmtId="165" fontId="16" fillId="0" borderId="0" xfId="0" applyNumberFormat="1" applyFont="1"/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right"/>
    </xf>
    <xf numFmtId="164" fontId="0" fillId="4" borderId="0" xfId="0" applyNumberForma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190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30039793412926E-2"/>
          <c:y val="2.3284080230711907E-2"/>
          <c:w val="0.50826229785792909"/>
          <c:h val="0.9726006934318395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20497194747795494"/>
                  <c:y val="0.10174188671409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4665778717958765E-2"/>
                  <c:y val="-0.15071319788730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43615257048"/>
                  <c:y val="-8.7896374064353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253032736579568"/>
                  <c:y val="8.0119244353715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4.5605306799336651E-2"/>
                  <c:y val="9.7283302550144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1128100922868474E-2"/>
                  <c:y val="7.5995952313189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9.252120904241809E-2"/>
                  <c:y val="4.13891787622932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Missione12_Programmi!$A$2:$A$10</c:f>
              <c:strCache>
                <c:ptCount val="9"/>
                <c:pt idx="0">
                  <c:v>Infanzia, minori, asili nido</c:v>
                </c:pt>
                <c:pt idx="1">
                  <c:v>Disabilità</c:v>
                </c:pt>
                <c:pt idx="2">
                  <c:v>Anziani</c:v>
                </c:pt>
                <c:pt idx="3">
                  <c:v>Soggetti a rischio esclusione sociale</c:v>
                </c:pt>
                <c:pt idx="4">
                  <c:v>Famiglie</c:v>
                </c:pt>
                <c:pt idx="5">
                  <c:v>Diritto alla casa</c:v>
                </c:pt>
                <c:pt idx="6">
                  <c:v>Rete dei servizi sociosanitari e sociali</c:v>
                </c:pt>
                <c:pt idx="7">
                  <c:v>Cooperazione e associazionismo</c:v>
                </c:pt>
                <c:pt idx="8">
                  <c:v>Servizio necroscopico e cimiteriale</c:v>
                </c:pt>
              </c:strCache>
            </c:strRef>
          </c:cat>
          <c:val>
            <c:numRef>
              <c:f>Missione12_Programmi!$B$2:$B$10</c:f>
              <c:numCache>
                <c:formatCode>#,##0</c:formatCode>
                <c:ptCount val="9"/>
                <c:pt idx="0">
                  <c:v>191475445.34999999</c:v>
                </c:pt>
                <c:pt idx="1">
                  <c:v>76588618.780000001</c:v>
                </c:pt>
                <c:pt idx="2">
                  <c:v>58384033.43</c:v>
                </c:pt>
                <c:pt idx="3">
                  <c:v>58577211.25</c:v>
                </c:pt>
                <c:pt idx="4">
                  <c:v>34280</c:v>
                </c:pt>
                <c:pt idx="5">
                  <c:v>2490062.0499999998</c:v>
                </c:pt>
                <c:pt idx="6">
                  <c:v>16188146.67</c:v>
                </c:pt>
                <c:pt idx="7">
                  <c:v>298732.46999999997</c:v>
                </c:pt>
                <c:pt idx="8">
                  <c:v>25564840.84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905368777131741"/>
          <c:y val="3.1215427490599516E-2"/>
          <c:w val="0.37732233402704773"/>
          <c:h val="0.921087892443605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133E-2"/>
          <c:w val="0.9122665336936"/>
          <c:h val="0.7262500698051039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67.56</c:v>
                </c:pt>
                <c:pt idx="1">
                  <c:v>69.56</c:v>
                </c:pt>
                <c:pt idx="2">
                  <c:v>69.86</c:v>
                </c:pt>
                <c:pt idx="3">
                  <c:v>73.150000000000006</c:v>
                </c:pt>
                <c:pt idx="4">
                  <c:v>66.400000000000006</c:v>
                </c:pt>
                <c:pt idx="5">
                  <c:v>70.94</c:v>
                </c:pt>
                <c:pt idx="6">
                  <c:v>71.41</c:v>
                </c:pt>
                <c:pt idx="7">
                  <c:v>76.051354293601847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81.48</c:v>
                </c:pt>
                <c:pt idx="1">
                  <c:v>82.21</c:v>
                </c:pt>
                <c:pt idx="2">
                  <c:v>82.6</c:v>
                </c:pt>
                <c:pt idx="3">
                  <c:v>81.150000000000006</c:v>
                </c:pt>
                <c:pt idx="4">
                  <c:v>79.89</c:v>
                </c:pt>
                <c:pt idx="5">
                  <c:v>81.55</c:v>
                </c:pt>
                <c:pt idx="6">
                  <c:v>81.239999999999995</c:v>
                </c:pt>
                <c:pt idx="7">
                  <c:v>82.654957362507758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84.94</c:v>
                </c:pt>
                <c:pt idx="1">
                  <c:v>87.68</c:v>
                </c:pt>
                <c:pt idx="2">
                  <c:v>88.47</c:v>
                </c:pt>
                <c:pt idx="3">
                  <c:v>88.8</c:v>
                </c:pt>
                <c:pt idx="4">
                  <c:v>89.9</c:v>
                </c:pt>
                <c:pt idx="5">
                  <c:v>88.58</c:v>
                </c:pt>
                <c:pt idx="6">
                  <c:v>83.88</c:v>
                </c:pt>
                <c:pt idx="7">
                  <c:v>89.333611515111343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67.930000000000007</c:v>
                </c:pt>
                <c:pt idx="1">
                  <c:v>73.47</c:v>
                </c:pt>
                <c:pt idx="2">
                  <c:v>72.3</c:v>
                </c:pt>
                <c:pt idx="3">
                  <c:v>71.540000000000006</c:v>
                </c:pt>
                <c:pt idx="4">
                  <c:v>65.05</c:v>
                </c:pt>
                <c:pt idx="5">
                  <c:v>72.84</c:v>
                </c:pt>
                <c:pt idx="6">
                  <c:v>69.31</c:v>
                </c:pt>
                <c:pt idx="7">
                  <c:v>71.958730738201737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584448"/>
        <c:axId val="1063586080"/>
      </c:lineChart>
      <c:catAx>
        <c:axId val="106358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3586080"/>
        <c:crosses val="autoZero"/>
        <c:auto val="1"/>
        <c:lblAlgn val="ctr"/>
        <c:lblOffset val="100"/>
        <c:noMultiLvlLbl val="0"/>
      </c:catAx>
      <c:valAx>
        <c:axId val="1063586080"/>
        <c:scaling>
          <c:orientation val="minMax"/>
          <c:max val="90"/>
          <c:min val="6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063584448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1.1880834483318481E-2"/>
          <c:y val="0.86298514547383764"/>
          <c:w val="0.96671575846833646"/>
          <c:h val="0.109617468029262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509E-2"/>
          <c:y val="8.4949215143120954E-2"/>
          <c:w val="0.95679921453117933"/>
          <c:h val="0.717537897790477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477.94</c:v>
                </c:pt>
                <c:pt idx="1">
                  <c:v>456.27</c:v>
                </c:pt>
                <c:pt idx="2">
                  <c:v>466.68</c:v>
                </c:pt>
                <c:pt idx="3">
                  <c:v>451.43</c:v>
                </c:pt>
                <c:pt idx="4">
                  <c:v>458.99</c:v>
                </c:pt>
                <c:pt idx="5">
                  <c:v>440.64</c:v>
                </c:pt>
                <c:pt idx="6">
                  <c:v>467.88</c:v>
                </c:pt>
                <c:pt idx="7">
                  <c:v>460.08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4"/>
              <c:layout>
                <c:manualLayout>
                  <c:x val="1.90857906288754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81715812577536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63431625155058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7257371886629002E-3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3748592"/>
        <c:axId val="1433747504"/>
      </c:barChart>
      <c:catAx>
        <c:axId val="143374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33747504"/>
        <c:crosses val="autoZero"/>
        <c:auto val="1"/>
        <c:lblAlgn val="ctr"/>
        <c:lblOffset val="100"/>
        <c:noMultiLvlLbl val="0"/>
      </c:catAx>
      <c:valAx>
        <c:axId val="1433747504"/>
        <c:scaling>
          <c:orientation val="minMax"/>
          <c:max val="48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433748592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4.8014773776546733E-2"/>
          <c:w val="0.95679921453118"/>
          <c:h val="0.76555267156702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211.45</c:v>
                </c:pt>
                <c:pt idx="1">
                  <c:v>259.94</c:v>
                </c:pt>
                <c:pt idx="2">
                  <c:v>277.82</c:v>
                </c:pt>
                <c:pt idx="3">
                  <c:v>366</c:v>
                </c:pt>
                <c:pt idx="4">
                  <c:v>430.38</c:v>
                </c:pt>
                <c:pt idx="5">
                  <c:v>415.53</c:v>
                </c:pt>
                <c:pt idx="6">
                  <c:v>380.69000000000005</c:v>
                </c:pt>
                <c:pt idx="7">
                  <c:v>431.92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6"/>
              <c:layout>
                <c:manualLayout>
                  <c:x val="1.1451474377326082E-2"/>
                  <c:y val="-7.05255685614494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63431625155072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3750768"/>
        <c:axId val="1433749680"/>
      </c:barChart>
      <c:catAx>
        <c:axId val="143375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33749680"/>
        <c:crosses val="autoZero"/>
        <c:auto val="1"/>
        <c:lblAlgn val="ctr"/>
        <c:lblOffset val="100"/>
        <c:noMultiLvlLbl val="0"/>
      </c:catAx>
      <c:valAx>
        <c:axId val="1433749680"/>
        <c:scaling>
          <c:orientation val="minMax"/>
          <c:max val="460"/>
          <c:min val="0"/>
        </c:scaling>
        <c:delete val="1"/>
        <c:axPos val="l"/>
        <c:numFmt formatCode="0" sourceLinked="0"/>
        <c:majorTickMark val="out"/>
        <c:minorTickMark val="none"/>
        <c:tickLblPos val="none"/>
        <c:crossAx val="143375076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526E-2"/>
          <c:y val="2.5854108956602031E-2"/>
          <c:w val="0.95679921453118"/>
          <c:h val="0.89203980777648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17.5</c:v>
                </c:pt>
                <c:pt idx="1">
                  <c:v>17.649999999999999</c:v>
                </c:pt>
                <c:pt idx="2">
                  <c:v>14.99</c:v>
                </c:pt>
                <c:pt idx="3">
                  <c:v>11.6</c:v>
                </c:pt>
                <c:pt idx="4">
                  <c:v>-4.7300000000000004</c:v>
                </c:pt>
                <c:pt idx="5">
                  <c:v>-2.1800000000000002</c:v>
                </c:pt>
                <c:pt idx="6">
                  <c:v>-10.220000000000001</c:v>
                </c:pt>
                <c:pt idx="7">
                  <c:v>-8.0500000000000007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3746416"/>
        <c:axId val="1433752944"/>
      </c:barChart>
      <c:catAx>
        <c:axId val="143374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33752944"/>
        <c:crosses val="autoZero"/>
        <c:auto val="1"/>
        <c:lblAlgn val="ctr"/>
        <c:lblOffset val="100"/>
        <c:noMultiLvlLbl val="0"/>
      </c:catAx>
      <c:valAx>
        <c:axId val="1433752944"/>
        <c:scaling>
          <c:orientation val="minMax"/>
          <c:max val="40"/>
          <c:min val="-15"/>
        </c:scaling>
        <c:delete val="1"/>
        <c:axPos val="l"/>
        <c:numFmt formatCode="0" sourceLinked="0"/>
        <c:majorTickMark val="out"/>
        <c:minorTickMark val="none"/>
        <c:tickLblPos val="nextTo"/>
        <c:crossAx val="1433746416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138172107244112"/>
          <c:y val="0.90798624205442291"/>
          <c:w val="0.35341924944752645"/>
          <c:h val="8.816686431218602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526E-2"/>
          <c:y val="8.4949215143120954E-2"/>
          <c:w val="0.95679921453118"/>
          <c:h val="0.717537897790477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3157.93</c:v>
                </c:pt>
                <c:pt idx="1">
                  <c:v>3054.33</c:v>
                </c:pt>
                <c:pt idx="2">
                  <c:v>3028.67</c:v>
                </c:pt>
                <c:pt idx="3">
                  <c:v>2945.7</c:v>
                </c:pt>
                <c:pt idx="4">
                  <c:v>2983.86</c:v>
                </c:pt>
                <c:pt idx="5">
                  <c:v>3112.58</c:v>
                </c:pt>
                <c:pt idx="6">
                  <c:v>3108.29</c:v>
                </c:pt>
                <c:pt idx="7">
                  <c:v>3011.91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5268632503101441E-2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17721156598912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600534402137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451474377326082E-2"/>
                  <c:y val="3.84689363339110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5268632503101301E-2"/>
                  <c:y val="7.69378726678200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3600534402137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36005344021362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36005344021362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3749136"/>
        <c:axId val="1433746960"/>
      </c:barChart>
      <c:catAx>
        <c:axId val="143374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33746960"/>
        <c:crosses val="autoZero"/>
        <c:auto val="1"/>
        <c:lblAlgn val="ctr"/>
        <c:lblOffset val="100"/>
        <c:noMultiLvlLbl val="0"/>
      </c:catAx>
      <c:valAx>
        <c:axId val="1433746960"/>
        <c:scaling>
          <c:orientation val="minMax"/>
          <c:max val="32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433749136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39684685419459"/>
          <c:y val="7.7745360071207401E-3"/>
          <c:w val="0.84890268599572649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1371850</c:v>
                </c:pt>
                <c:pt idx="1">
                  <c:v>1358420</c:v>
                </c:pt>
                <c:pt idx="2">
                  <c:v>1349930</c:v>
                </c:pt>
                <c:pt idx="3">
                  <c:v>1374582</c:v>
                </c:pt>
                <c:pt idx="4">
                  <c:v>1406242</c:v>
                </c:pt>
                <c:pt idx="5">
                  <c:v>1395980</c:v>
                </c:pt>
                <c:pt idx="6">
                  <c:v>1380995</c:v>
                </c:pt>
                <c:pt idx="7">
                  <c:v>1363683</c:v>
                </c:pt>
                <c:pt idx="8">
                  <c:v>1352193</c:v>
                </c:pt>
                <c:pt idx="9">
                  <c:v>1339812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3745872"/>
        <c:axId val="1433751856"/>
      </c:barChart>
      <c:catAx>
        <c:axId val="1433745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433751856"/>
        <c:crosses val="autoZero"/>
        <c:auto val="1"/>
        <c:lblAlgn val="ctr"/>
        <c:lblOffset val="100"/>
        <c:noMultiLvlLbl val="0"/>
      </c:catAx>
      <c:valAx>
        <c:axId val="143375185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one"/>
        <c:spPr>
          <a:ln>
            <a:noFill/>
          </a:ln>
        </c:spPr>
        <c:crossAx val="14337458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02230057669705"/>
          <c:y val="3.8314176245210725E-2"/>
          <c:w val="0.87070933128718542"/>
          <c:h val="0.745340178872625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Missione12_Programmi!$A$106</c:f>
              <c:strCache>
                <c:ptCount val="1"/>
                <c:pt idx="0">
                  <c:v>Infanzia, minori, asili nido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Missione12_Programmi!$B$106:$I$106</c:f>
              <c:numCache>
                <c:formatCode>#,##0</c:formatCode>
                <c:ptCount val="8"/>
                <c:pt idx="0">
                  <c:v>169408820.18000001</c:v>
                </c:pt>
                <c:pt idx="1">
                  <c:v>168875407.62</c:v>
                </c:pt>
                <c:pt idx="2">
                  <c:v>181476838.86000001</c:v>
                </c:pt>
                <c:pt idx="3">
                  <c:v>169419981.69</c:v>
                </c:pt>
                <c:pt idx="4">
                  <c:v>163572437.09</c:v>
                </c:pt>
                <c:pt idx="5">
                  <c:v>193796720.56</c:v>
                </c:pt>
                <c:pt idx="6">
                  <c:v>195996388.81999999</c:v>
                </c:pt>
                <c:pt idx="7">
                  <c:v>191475445.34999999</c:v>
                </c:pt>
              </c:numCache>
            </c:numRef>
          </c:val>
        </c:ser>
        <c:ser>
          <c:idx val="1"/>
          <c:order val="1"/>
          <c:tx>
            <c:strRef>
              <c:f>Missione12_Programmi!$A$107</c:f>
              <c:strCache>
                <c:ptCount val="1"/>
                <c:pt idx="0">
                  <c:v>Disabilità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Missione12_Programmi!$B$107:$I$107</c:f>
              <c:numCache>
                <c:formatCode>#,##0</c:formatCode>
                <c:ptCount val="8"/>
                <c:pt idx="0">
                  <c:v>74984941.469999999</c:v>
                </c:pt>
                <c:pt idx="1">
                  <c:v>76160657.459999993</c:v>
                </c:pt>
                <c:pt idx="2">
                  <c:v>74224547.969999999</c:v>
                </c:pt>
                <c:pt idx="3">
                  <c:v>70310185.590000004</c:v>
                </c:pt>
                <c:pt idx="4">
                  <c:v>68310228.390000001</c:v>
                </c:pt>
                <c:pt idx="5">
                  <c:v>72213378.819999993</c:v>
                </c:pt>
                <c:pt idx="6">
                  <c:v>72017957.579999998</c:v>
                </c:pt>
                <c:pt idx="7">
                  <c:v>76588618.780000001</c:v>
                </c:pt>
              </c:numCache>
            </c:numRef>
          </c:val>
        </c:ser>
        <c:ser>
          <c:idx val="2"/>
          <c:order val="2"/>
          <c:tx>
            <c:strRef>
              <c:f>Missione12_Programmi!$A$109</c:f>
              <c:strCache>
                <c:ptCount val="1"/>
                <c:pt idx="0">
                  <c:v>Anziani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Missione12_Programmi!$B$109:$I$109</c:f>
              <c:numCache>
                <c:formatCode>#,##0</c:formatCode>
                <c:ptCount val="8"/>
                <c:pt idx="0">
                  <c:v>86749220.959999993</c:v>
                </c:pt>
                <c:pt idx="1">
                  <c:v>84440316.480000004</c:v>
                </c:pt>
                <c:pt idx="2">
                  <c:v>80565963.340000004</c:v>
                </c:pt>
                <c:pt idx="3">
                  <c:v>75573545.480000004</c:v>
                </c:pt>
                <c:pt idx="4">
                  <c:v>65259722.649999999</c:v>
                </c:pt>
                <c:pt idx="5">
                  <c:v>63273976.119999997</c:v>
                </c:pt>
                <c:pt idx="6">
                  <c:v>58043402.700000003</c:v>
                </c:pt>
                <c:pt idx="7">
                  <c:v>58384033.43</c:v>
                </c:pt>
              </c:numCache>
            </c:numRef>
          </c:val>
        </c:ser>
        <c:ser>
          <c:idx val="3"/>
          <c:order val="3"/>
          <c:tx>
            <c:strRef>
              <c:f>Missione12_Programmi!$A$108</c:f>
              <c:strCache>
                <c:ptCount val="1"/>
                <c:pt idx="0">
                  <c:v>Soggetti a rischio esclusione sociale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Missione12_Programmi!$B$108:$I$108</c:f>
              <c:numCache>
                <c:formatCode>#,##0</c:formatCode>
                <c:ptCount val="8"/>
                <c:pt idx="0">
                  <c:v>50484544.700000003</c:v>
                </c:pt>
                <c:pt idx="1">
                  <c:v>41361019</c:v>
                </c:pt>
                <c:pt idx="2">
                  <c:v>48274965.57</c:v>
                </c:pt>
                <c:pt idx="3">
                  <c:v>43727967.210000001</c:v>
                </c:pt>
                <c:pt idx="4">
                  <c:v>44758965.140000001</c:v>
                </c:pt>
                <c:pt idx="5">
                  <c:v>51824720.579999998</c:v>
                </c:pt>
                <c:pt idx="6">
                  <c:v>50457131</c:v>
                </c:pt>
                <c:pt idx="7">
                  <c:v>58577211.25</c:v>
                </c:pt>
              </c:numCache>
            </c:numRef>
          </c:val>
        </c:ser>
        <c:ser>
          <c:idx val="8"/>
          <c:order val="4"/>
          <c:tx>
            <c:strRef>
              <c:f>Missione12_Programmi!$A$110</c:f>
              <c:strCache>
                <c:ptCount val="1"/>
                <c:pt idx="0">
                  <c:v>Servizio necroscopico e cimiteriale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Missione12_Programmi!$B$110:$I$110</c:f>
              <c:numCache>
                <c:formatCode>#,##0</c:formatCode>
                <c:ptCount val="8"/>
                <c:pt idx="0">
                  <c:v>26912714.030000001</c:v>
                </c:pt>
                <c:pt idx="1">
                  <c:v>26712024.829999998</c:v>
                </c:pt>
                <c:pt idx="2">
                  <c:v>28248441.719999999</c:v>
                </c:pt>
                <c:pt idx="3">
                  <c:v>24433878.879999999</c:v>
                </c:pt>
                <c:pt idx="4">
                  <c:v>23975383.300000001</c:v>
                </c:pt>
                <c:pt idx="5">
                  <c:v>23975963.289999999</c:v>
                </c:pt>
                <c:pt idx="6">
                  <c:v>29069863.510000002</c:v>
                </c:pt>
                <c:pt idx="7">
                  <c:v>25564840.84</c:v>
                </c:pt>
              </c:numCache>
            </c:numRef>
          </c:val>
        </c:ser>
        <c:ser>
          <c:idx val="6"/>
          <c:order val="5"/>
          <c:tx>
            <c:strRef>
              <c:f>Missione12_Programmi!$A$111</c:f>
              <c:strCache>
                <c:ptCount val="1"/>
                <c:pt idx="0">
                  <c:v>Rete dei servizi sociosanitari e sociali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Missione12_Programmi!$B$111:$I$111</c:f>
              <c:numCache>
                <c:formatCode>#,##0</c:formatCode>
                <c:ptCount val="8"/>
                <c:pt idx="0">
                  <c:v>15067624.710000001</c:v>
                </c:pt>
                <c:pt idx="1">
                  <c:v>14505889.24</c:v>
                </c:pt>
                <c:pt idx="2">
                  <c:v>26892901.52</c:v>
                </c:pt>
                <c:pt idx="3">
                  <c:v>14538891.76</c:v>
                </c:pt>
                <c:pt idx="4">
                  <c:v>27622089.18</c:v>
                </c:pt>
                <c:pt idx="5">
                  <c:v>16408693.02</c:v>
                </c:pt>
                <c:pt idx="6">
                  <c:v>18169496.120000001</c:v>
                </c:pt>
                <c:pt idx="7">
                  <c:v>16188146.67</c:v>
                </c:pt>
              </c:numCache>
            </c:numRef>
          </c:val>
        </c:ser>
        <c:ser>
          <c:idx val="5"/>
          <c:order val="6"/>
          <c:tx>
            <c:strRef>
              <c:f>Missione12_Programmi!$A$112</c:f>
              <c:strCache>
                <c:ptCount val="1"/>
                <c:pt idx="0">
                  <c:v>Diritto alla casa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Missione12_Programmi!$B$112:$I$112</c:f>
              <c:numCache>
                <c:formatCode>#,##0</c:formatCode>
                <c:ptCount val="8"/>
                <c:pt idx="0">
                  <c:v>2653353.71</c:v>
                </c:pt>
                <c:pt idx="1">
                  <c:v>3711491.46</c:v>
                </c:pt>
                <c:pt idx="2">
                  <c:v>132080</c:v>
                </c:pt>
                <c:pt idx="3">
                  <c:v>2310322.0699999998</c:v>
                </c:pt>
                <c:pt idx="4">
                  <c:v>8049638.7599999998</c:v>
                </c:pt>
                <c:pt idx="5">
                  <c:v>897142</c:v>
                </c:pt>
                <c:pt idx="6">
                  <c:v>15601856.77</c:v>
                </c:pt>
                <c:pt idx="7">
                  <c:v>2490062.0499999998</c:v>
                </c:pt>
              </c:numCache>
            </c:numRef>
          </c:val>
        </c:ser>
        <c:ser>
          <c:idx val="7"/>
          <c:order val="7"/>
          <c:tx>
            <c:strRef>
              <c:f>Missione12_Programmi!$A$113</c:f>
              <c:strCache>
                <c:ptCount val="1"/>
                <c:pt idx="0">
                  <c:v>Cooperazione e associazionismo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Missione12_Programmi!$B$113:$I$113</c:f>
              <c:numCache>
                <c:formatCode>#,##0</c:formatCode>
                <c:ptCount val="8"/>
                <c:pt idx="0">
                  <c:v>1021388</c:v>
                </c:pt>
                <c:pt idx="1">
                  <c:v>433261</c:v>
                </c:pt>
                <c:pt idx="2">
                  <c:v>1587734.71</c:v>
                </c:pt>
                <c:pt idx="3">
                  <c:v>687870.22</c:v>
                </c:pt>
                <c:pt idx="4">
                  <c:v>784673.71</c:v>
                </c:pt>
                <c:pt idx="5">
                  <c:v>1230963.26</c:v>
                </c:pt>
                <c:pt idx="6">
                  <c:v>898932.3</c:v>
                </c:pt>
                <c:pt idx="7">
                  <c:v>298732.46999999997</c:v>
                </c:pt>
              </c:numCache>
            </c:numRef>
          </c:val>
        </c:ser>
        <c:ser>
          <c:idx val="4"/>
          <c:order val="8"/>
          <c:tx>
            <c:strRef>
              <c:f>Missione12_Programmi!$A$114</c:f>
              <c:strCache>
                <c:ptCount val="1"/>
                <c:pt idx="0">
                  <c:v>Famiglie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Missione12_Programmi!$B$114:$I$114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17500</c:v>
                </c:pt>
                <c:pt idx="6">
                  <c:v>47000</c:v>
                </c:pt>
                <c:pt idx="7">
                  <c:v>34280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2530288"/>
        <c:axId val="1442530832"/>
      </c:barChart>
      <c:catAx>
        <c:axId val="144253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42530832"/>
        <c:crosses val="autoZero"/>
        <c:auto val="1"/>
        <c:lblAlgn val="ctr"/>
        <c:lblOffset val="100"/>
        <c:noMultiLvlLbl val="0"/>
      </c:catAx>
      <c:valAx>
        <c:axId val="1442530832"/>
        <c:scaling>
          <c:orientation val="minMax"/>
          <c:max val="45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42530288"/>
        <c:crosses val="autoZero"/>
        <c:crossBetween val="between"/>
        <c:majorUnit val="1000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046750826680301E-2"/>
          <c:y val="0.85327288634375253"/>
          <c:w val="0.95810603430951646"/>
          <c:h val="0.125828472067950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59436042301088"/>
          <c:y val="3.9982547636090951E-2"/>
          <c:w val="0.83220845216704165"/>
          <c:h val="0.807411281166874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2882554645.2399998</c:v>
                </c:pt>
                <c:pt idx="1">
                  <c:v>3089434233.2199998</c:v>
                </c:pt>
                <c:pt idx="2">
                  <c:v>3201933505.4000001</c:v>
                </c:pt>
                <c:pt idx="3">
                  <c:v>3453994339.8299999</c:v>
                </c:pt>
                <c:pt idx="4">
                  <c:v>3626890458.7600002</c:v>
                </c:pt>
                <c:pt idx="5">
                  <c:v>3785781227.02</c:v>
                </c:pt>
                <c:pt idx="6">
                  <c:v>3610116011.7199998</c:v>
                </c:pt>
                <c:pt idx="7">
                  <c:v>3425668572.1900001</c:v>
                </c:pt>
                <c:pt idx="8">
                  <c:v>3288569149.8699999</c:v>
                </c:pt>
                <c:pt idx="9">
                  <c:v>3219686659.6999998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Risultato_amministrazione!$B$4:$K$4</c:f>
              <c:numCache>
                <c:formatCode>#,##0</c:formatCode>
                <c:ptCount val="10"/>
                <c:pt idx="0">
                  <c:v>1084793901.76</c:v>
                </c:pt>
                <c:pt idx="1">
                  <c:v>1051013280.3</c:v>
                </c:pt>
                <c:pt idx="2">
                  <c:v>1131894908.6500001</c:v>
                </c:pt>
                <c:pt idx="3">
                  <c:v>994134161.87</c:v>
                </c:pt>
                <c:pt idx="4">
                  <c:v>1040089749.11</c:v>
                </c:pt>
                <c:pt idx="5">
                  <c:v>1070054815.74</c:v>
                </c:pt>
                <c:pt idx="6">
                  <c:v>1086194215.72</c:v>
                </c:pt>
                <c:pt idx="7">
                  <c:v>1032004991.03</c:v>
                </c:pt>
                <c:pt idx="8">
                  <c:v>1193152248.1700001</c:v>
                </c:pt>
                <c:pt idx="9">
                  <c:v>970821986.95000005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531376"/>
        <c:axId val="1442532464"/>
      </c:lineChart>
      <c:catAx>
        <c:axId val="144253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42532464"/>
        <c:crosses val="autoZero"/>
        <c:auto val="1"/>
        <c:lblAlgn val="ctr"/>
        <c:lblOffset val="100"/>
        <c:noMultiLvlLbl val="0"/>
      </c:catAx>
      <c:valAx>
        <c:axId val="1442532464"/>
        <c:scaling>
          <c:orientation val="minMax"/>
          <c:max val="4000000000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42531376"/>
        <c:crosses val="autoZero"/>
        <c:crossBetween val="between"/>
        <c:majorUnit val="10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2882554645.2399998</c:v>
                </c:pt>
                <c:pt idx="1">
                  <c:v>3089434233.2199998</c:v>
                </c:pt>
                <c:pt idx="2">
                  <c:v>3201933505.4000001</c:v>
                </c:pt>
                <c:pt idx="3">
                  <c:v>3453994339.8299999</c:v>
                </c:pt>
                <c:pt idx="4">
                  <c:v>3626890458.7600002</c:v>
                </c:pt>
                <c:pt idx="5">
                  <c:v>3785781227.02</c:v>
                </c:pt>
                <c:pt idx="6">
                  <c:v>3610116011.7199998</c:v>
                </c:pt>
                <c:pt idx="7">
                  <c:v>3425668572.1900001</c:v>
                </c:pt>
                <c:pt idx="8">
                  <c:v>3288569149.8699999</c:v>
                </c:pt>
                <c:pt idx="9">
                  <c:v>3219686659.6999998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6D-46BC-BF31-299F62408AB4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Risultato_amministrazione!$B$8:$K$8</c:f>
              <c:numCache>
                <c:formatCode>#,##0</c:formatCode>
                <c:ptCount val="10"/>
                <c:pt idx="0">
                  <c:v>1021865323</c:v>
                </c:pt>
                <c:pt idx="1">
                  <c:v>1350846000</c:v>
                </c:pt>
                <c:pt idx="2">
                  <c:v>1594960000</c:v>
                </c:pt>
                <c:pt idx="3">
                  <c:v>1849686187.6099999</c:v>
                </c:pt>
                <c:pt idx="4">
                  <c:v>2020000000</c:v>
                </c:pt>
                <c:pt idx="5">
                  <c:v>2100000000</c:v>
                </c:pt>
                <c:pt idx="6">
                  <c:v>2050000000</c:v>
                </c:pt>
                <c:pt idx="7">
                  <c:v>2000000000</c:v>
                </c:pt>
                <c:pt idx="8">
                  <c:v>1860000000</c:v>
                </c:pt>
                <c:pt idx="9">
                  <c:v>1670000000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6D-46BC-BF31-299F62408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42533008"/>
        <c:axId val="1442526480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Risultato_amministrazione!$B$23:$K$23</c:f>
              <c:numCache>
                <c:formatCode>0.0</c:formatCode>
                <c:ptCount val="10"/>
                <c:pt idx="0">
                  <c:v>35.449989636360222</c:v>
                </c:pt>
                <c:pt idx="1">
                  <c:v>43.724704849666423</c:v>
                </c:pt>
                <c:pt idx="2">
                  <c:v>49.81240232847216</c:v>
                </c:pt>
                <c:pt idx="3">
                  <c:v>53.552090872883085</c:v>
                </c:pt>
                <c:pt idx="4">
                  <c:v>55.695092613594376</c:v>
                </c:pt>
                <c:pt idx="5">
                  <c:v>55.470717246200394</c:v>
                </c:pt>
                <c:pt idx="6">
                  <c:v>56.784878750289799</c:v>
                </c:pt>
                <c:pt idx="7">
                  <c:v>58.382764060605474</c:v>
                </c:pt>
                <c:pt idx="8">
                  <c:v>56.559552657529721</c:v>
                </c:pt>
                <c:pt idx="9">
                  <c:v>51.868401385233099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F6D-46BC-BF31-299F62408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590432"/>
        <c:axId val="1063588800"/>
      </c:lineChart>
      <c:catAx>
        <c:axId val="144253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42526480"/>
        <c:crosses val="autoZero"/>
        <c:auto val="1"/>
        <c:lblAlgn val="ctr"/>
        <c:lblOffset val="100"/>
        <c:noMultiLvlLbl val="0"/>
      </c:catAx>
      <c:valAx>
        <c:axId val="144252648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42533008"/>
        <c:crosses val="autoZero"/>
        <c:crossBetween val="between"/>
      </c:valAx>
      <c:valAx>
        <c:axId val="1063588800"/>
        <c:scaling>
          <c:orientation val="minMax"/>
          <c:min val="2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3590432"/>
        <c:crosses val="max"/>
        <c:crossBetween val="between"/>
      </c:valAx>
      <c:catAx>
        <c:axId val="106359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635888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214145065977253E-2"/>
          <c:y val="2.2745303569885231E-2"/>
          <c:w val="0.89790273772205842"/>
          <c:h val="0.97532171959037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EEA-4B62-99C9-5731F931FD6A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452-41DC-B25A-48B8A55670D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452-41DC-B25A-48B8A55670DF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EEA-4B62-99C9-5731F931FD6A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0236980231865324E-2"/>
                  <c:y val="-6.26173460600429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3.1276790048648147E-2"/>
                  <c:y val="-3.51802892872417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FF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Conto_economico!$C$1:$L$1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Conto_economico!$C$28:$L$28</c:f>
              <c:numCache>
                <c:formatCode>#,##0</c:formatCode>
                <c:ptCount val="10"/>
                <c:pt idx="0">
                  <c:v>-37844864.319999702</c:v>
                </c:pt>
                <c:pt idx="1">
                  <c:v>75953499.539999753</c:v>
                </c:pt>
                <c:pt idx="2">
                  <c:v>-114864004.49999982</c:v>
                </c:pt>
                <c:pt idx="3">
                  <c:v>-12690033.119999766</c:v>
                </c:pt>
                <c:pt idx="4">
                  <c:v>88761068.209999457</c:v>
                </c:pt>
                <c:pt idx="5">
                  <c:v>281465557.75999993</c:v>
                </c:pt>
                <c:pt idx="6">
                  <c:v>15402647.489999998</c:v>
                </c:pt>
                <c:pt idx="7">
                  <c:v>167398107.90000004</c:v>
                </c:pt>
                <c:pt idx="8">
                  <c:v>-66284721.679999582</c:v>
                </c:pt>
                <c:pt idx="9">
                  <c:v>-9929477.8499993086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584992"/>
        <c:axId val="1063588256"/>
      </c:barChart>
      <c:catAx>
        <c:axId val="1063584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063588256"/>
        <c:crosses val="autoZero"/>
        <c:auto val="1"/>
        <c:lblAlgn val="ctr"/>
        <c:lblOffset val="100"/>
        <c:noMultiLvlLbl val="0"/>
      </c:catAx>
      <c:valAx>
        <c:axId val="1063588256"/>
        <c:scaling>
          <c:orientation val="minMax"/>
          <c:max val="300000000"/>
        </c:scaling>
        <c:delete val="1"/>
        <c:axPos val="b"/>
        <c:numFmt formatCode="#,##0" sourceLinked="1"/>
        <c:majorTickMark val="out"/>
        <c:minorTickMark val="none"/>
        <c:tickLblPos val="none"/>
        <c:crossAx val="10635849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Stato_patrimoniale!$B$21:$K$21</c:f>
              <c:numCache>
                <c:formatCode>#,##0</c:formatCode>
                <c:ptCount val="10"/>
                <c:pt idx="0">
                  <c:v>4466330491.6700001</c:v>
                </c:pt>
                <c:pt idx="1">
                  <c:v>4432551827.670001</c:v>
                </c:pt>
                <c:pt idx="2">
                  <c:v>4322832185.5900002</c:v>
                </c:pt>
                <c:pt idx="3">
                  <c:v>4180130670.8699999</c:v>
                </c:pt>
                <c:pt idx="4">
                  <c:v>4182368525.8200002</c:v>
                </c:pt>
                <c:pt idx="5">
                  <c:v>4110054531.1300001</c:v>
                </c:pt>
                <c:pt idx="6">
                  <c:v>4190621919.1300001</c:v>
                </c:pt>
                <c:pt idx="7">
                  <c:v>4334271787.9499998</c:v>
                </c:pt>
                <c:pt idx="8">
                  <c:v>4308970904.3199997</c:v>
                </c:pt>
                <c:pt idx="9">
                  <c:v>4206649368.54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Stato_patrimoniale!$B$22:$K$22</c:f>
              <c:numCache>
                <c:formatCode>#,##0</c:formatCode>
                <c:ptCount val="10"/>
                <c:pt idx="0">
                  <c:v>835386888.11000001</c:v>
                </c:pt>
                <c:pt idx="1">
                  <c:v>803765896.80999994</c:v>
                </c:pt>
                <c:pt idx="2">
                  <c:v>802308016.38999999</c:v>
                </c:pt>
                <c:pt idx="3">
                  <c:v>761630527.52999997</c:v>
                </c:pt>
                <c:pt idx="4">
                  <c:v>773661662.66999996</c:v>
                </c:pt>
                <c:pt idx="5">
                  <c:v>536091978.17000002</c:v>
                </c:pt>
                <c:pt idx="6">
                  <c:v>534018725.68000001</c:v>
                </c:pt>
                <c:pt idx="7">
                  <c:v>536433588.20999998</c:v>
                </c:pt>
                <c:pt idx="8">
                  <c:v>586344846.39999998</c:v>
                </c:pt>
                <c:pt idx="9">
                  <c:v>470394227.50999999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Stato_patrimoniale!$B$23:$K$23</c:f>
              <c:numCache>
                <c:formatCode>#,##0</c:formatCode>
                <c:ptCount val="10"/>
                <c:pt idx="0">
                  <c:v>17849979.59</c:v>
                </c:pt>
                <c:pt idx="1">
                  <c:v>51535848.490000002</c:v>
                </c:pt>
                <c:pt idx="2">
                  <c:v>29382136.93</c:v>
                </c:pt>
                <c:pt idx="3">
                  <c:v>18835861.890000001</c:v>
                </c:pt>
                <c:pt idx="4">
                  <c:v>36583522.119999997</c:v>
                </c:pt>
                <c:pt idx="5">
                  <c:v>108572240.44</c:v>
                </c:pt>
                <c:pt idx="6">
                  <c:v>145140373.00999999</c:v>
                </c:pt>
                <c:pt idx="7">
                  <c:v>115421866.94</c:v>
                </c:pt>
                <c:pt idx="8">
                  <c:v>187048815.84</c:v>
                </c:pt>
                <c:pt idx="9">
                  <c:v>106939014.14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Stato_patrimoniale!$B$24:$K$24</c:f>
              <c:numCache>
                <c:formatCode>#,##0</c:formatCode>
                <c:ptCount val="10"/>
                <c:pt idx="0">
                  <c:v>103008229.81</c:v>
                </c:pt>
                <c:pt idx="1">
                  <c:v>180237209.28</c:v>
                </c:pt>
                <c:pt idx="2">
                  <c:v>187115274.28999999</c:v>
                </c:pt>
                <c:pt idx="3">
                  <c:v>153916524.33000001</c:v>
                </c:pt>
                <c:pt idx="4">
                  <c:v>173881567.93000001</c:v>
                </c:pt>
                <c:pt idx="5">
                  <c:v>210445161.53</c:v>
                </c:pt>
                <c:pt idx="6">
                  <c:v>219146527.74000001</c:v>
                </c:pt>
                <c:pt idx="7">
                  <c:v>199682687.53</c:v>
                </c:pt>
                <c:pt idx="8">
                  <c:v>241493183.40000001</c:v>
                </c:pt>
                <c:pt idx="9">
                  <c:v>234149688.13999999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3586624"/>
        <c:axId val="1063589344"/>
      </c:barChart>
      <c:catAx>
        <c:axId val="10635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3589344"/>
        <c:crosses val="autoZero"/>
        <c:auto val="1"/>
        <c:lblAlgn val="ctr"/>
        <c:lblOffset val="100"/>
        <c:noMultiLvlLbl val="0"/>
      </c:catAx>
      <c:valAx>
        <c:axId val="1063589344"/>
        <c:scaling>
          <c:orientation val="minMax"/>
          <c:max val="550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063586624"/>
        <c:crosses val="autoZero"/>
        <c:crossBetween val="between"/>
        <c:majorUnit val="10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977997366161615E-2"/>
          <c:y val="1.2121212121212118E-2"/>
          <c:w val="0.91284194830710264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Stato_patrimoniale!$B$14:$K$14</c:f>
              <c:numCache>
                <c:formatCode>#,##0</c:formatCode>
                <c:ptCount val="10"/>
                <c:pt idx="0">
                  <c:v>6038281967.8800001</c:v>
                </c:pt>
                <c:pt idx="1">
                  <c:v>6038281967.8800001</c:v>
                </c:pt>
                <c:pt idx="2">
                  <c:v>6038281967.8800001</c:v>
                </c:pt>
                <c:pt idx="3">
                  <c:v>6038281967.8800001</c:v>
                </c:pt>
                <c:pt idx="4">
                  <c:v>6115700967.8800001</c:v>
                </c:pt>
                <c:pt idx="5">
                  <c:v>6115700967.8800001</c:v>
                </c:pt>
                <c:pt idx="6">
                  <c:v>6115700967.8800001</c:v>
                </c:pt>
                <c:pt idx="7">
                  <c:v>6115700967.8800001</c:v>
                </c:pt>
                <c:pt idx="8">
                  <c:v>6115700967.8800001</c:v>
                </c:pt>
                <c:pt idx="9">
                  <c:v>6115700967.8000002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Stato_patrimoniale!$B$15:$K$15</c:f>
              <c:numCache>
                <c:formatCode>#,##0</c:formatCode>
                <c:ptCount val="10"/>
                <c:pt idx="0">
                  <c:v>783119630.5999999</c:v>
                </c:pt>
                <c:pt idx="1">
                  <c:v>836887019.96000004</c:v>
                </c:pt>
                <c:pt idx="2">
                  <c:v>992351564.36000001</c:v>
                </c:pt>
                <c:pt idx="3">
                  <c:v>926111053.88</c:v>
                </c:pt>
                <c:pt idx="4">
                  <c:v>1012606484.86</c:v>
                </c:pt>
                <c:pt idx="5">
                  <c:v>1601932330.8399999</c:v>
                </c:pt>
                <c:pt idx="6">
                  <c:v>1602143209.8499999</c:v>
                </c:pt>
                <c:pt idx="7">
                  <c:v>1729461092.5899999</c:v>
                </c:pt>
                <c:pt idx="8">
                  <c:v>1965296210.01</c:v>
                </c:pt>
                <c:pt idx="9">
                  <c:v>2039230790.8299999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Stato_patrimoniale!$B$17:$K$17</c:f>
              <c:numCache>
                <c:formatCode>#,##0</c:formatCode>
                <c:ptCount val="10"/>
                <c:pt idx="0">
                  <c:v>0</c:v>
                </c:pt>
                <c:pt idx="1">
                  <c:v>75953499.540000007</c:v>
                </c:pt>
                <c:pt idx="2">
                  <c:v>-114864004.5</c:v>
                </c:pt>
                <c:pt idx="3">
                  <c:v>-12690033.119999999</c:v>
                </c:pt>
                <c:pt idx="4">
                  <c:v>88761068.209999993</c:v>
                </c:pt>
                <c:pt idx="5">
                  <c:v>281465557.75999999</c:v>
                </c:pt>
                <c:pt idx="6">
                  <c:v>15402647.49</c:v>
                </c:pt>
                <c:pt idx="7">
                  <c:v>167398107.90000001</c:v>
                </c:pt>
                <c:pt idx="8">
                  <c:v>-66284721.68</c:v>
                </c:pt>
                <c:pt idx="9">
                  <c:v>-9929477.8000000007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3"/>
          <c:tx>
            <c:strRef>
              <c:f>Stato_patrimoniale!$A$18</c:f>
              <c:strCache>
                <c:ptCount val="1"/>
                <c:pt idx="0">
                  <c:v>Risultato economico di esercizi precedenti (A4)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Stato_patrimoniale!$B$18:$K$18</c:f>
              <c:numCache>
                <c:formatCode>#,##0</c:formatCode>
                <c:ptCount val="10"/>
                <c:pt idx="6">
                  <c:v>354337409.26999998</c:v>
                </c:pt>
                <c:pt idx="7">
                  <c:v>354337409.26999998</c:v>
                </c:pt>
                <c:pt idx="8">
                  <c:v>247748474.40000001</c:v>
                </c:pt>
                <c:pt idx="9">
                  <c:v>179439752.72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3587712"/>
        <c:axId val="1063589888"/>
      </c:barChart>
      <c:catAx>
        <c:axId val="1063587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063589888"/>
        <c:crosses val="autoZero"/>
        <c:auto val="1"/>
        <c:lblAlgn val="ctr"/>
        <c:lblOffset val="100"/>
        <c:noMultiLvlLbl val="0"/>
      </c:catAx>
      <c:valAx>
        <c:axId val="1063589888"/>
        <c:scaling>
          <c:orientation val="minMax"/>
          <c:max val="8500000000"/>
          <c:min val="-1000000000"/>
        </c:scaling>
        <c:delete val="0"/>
        <c:axPos val="b"/>
        <c:numFmt formatCode="0.E+00" sourceLinked="0"/>
        <c:majorTickMark val="none"/>
        <c:minorTickMark val="none"/>
        <c:tickLblPos val="nextTo"/>
        <c:crossAx val="1063587712"/>
        <c:crosses val="autoZero"/>
        <c:crossBetween val="between"/>
        <c:majorUnit val="100000000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4.0012051473698237E-3"/>
          <c:y val="0.91110992632480403"/>
          <c:w val="0.9875825786677328"/>
          <c:h val="7.1962439312098253E-2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123E-2"/>
          <c:w val="0.91226637907374752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66.69</c:v>
                </c:pt>
                <c:pt idx="1">
                  <c:v>57.42</c:v>
                </c:pt>
                <c:pt idx="2">
                  <c:v>66.84</c:v>
                </c:pt>
                <c:pt idx="3">
                  <c:v>67.03</c:v>
                </c:pt>
                <c:pt idx="4">
                  <c:v>64.349999999999994</c:v>
                </c:pt>
                <c:pt idx="5">
                  <c:v>61.97</c:v>
                </c:pt>
                <c:pt idx="6">
                  <c:v>64.08</c:v>
                </c:pt>
                <c:pt idx="7">
                  <c:v>58.214325707047301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53.65</c:v>
                </c:pt>
                <c:pt idx="1">
                  <c:v>51.84</c:v>
                </c:pt>
                <c:pt idx="2">
                  <c:v>53.31</c:v>
                </c:pt>
                <c:pt idx="3">
                  <c:v>52.056422785442237</c:v>
                </c:pt>
                <c:pt idx="4">
                  <c:v>52.770591463584239</c:v>
                </c:pt>
                <c:pt idx="5">
                  <c:v>55.814819907389726</c:v>
                </c:pt>
                <c:pt idx="6">
                  <c:v>55.481578447773458</c:v>
                </c:pt>
                <c:pt idx="7">
                  <c:v>57.864821179169056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55.07</c:v>
                </c:pt>
                <c:pt idx="1">
                  <c:v>52.97</c:v>
                </c:pt>
                <c:pt idx="2">
                  <c:v>54.78</c:v>
                </c:pt>
                <c:pt idx="3">
                  <c:v>52.816308778898048</c:v>
                </c:pt>
                <c:pt idx="4">
                  <c:v>53.88920848438481</c:v>
                </c:pt>
                <c:pt idx="5">
                  <c:v>61.187060015578474</c:v>
                </c:pt>
                <c:pt idx="6">
                  <c:v>56.930562798586415</c:v>
                </c:pt>
                <c:pt idx="7">
                  <c:v>57.373496768491307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585536"/>
        <c:axId val="1063587168"/>
      </c:lineChart>
      <c:catAx>
        <c:axId val="106358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3587168"/>
        <c:crosses val="autoZero"/>
        <c:auto val="1"/>
        <c:lblAlgn val="ctr"/>
        <c:lblOffset val="100"/>
        <c:noMultiLvlLbl val="0"/>
      </c:catAx>
      <c:valAx>
        <c:axId val="1063587168"/>
        <c:scaling>
          <c:orientation val="minMax"/>
          <c:max val="70"/>
          <c:min val="5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063585536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732"/>
          <c:w val="0.96177967444791279"/>
          <c:h val="0.17956804601552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94E-2"/>
          <c:w val="0.9029842635309353"/>
          <c:h val="0.741787567684237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8.1174438687392048</c:v>
                </c:pt>
                <c:pt idx="1">
                  <c:v>8.224782000215308</c:v>
                </c:pt>
                <c:pt idx="2">
                  <c:v>8</c:v>
                </c:pt>
                <c:pt idx="3">
                  <c:v>8.249194414607949</c:v>
                </c:pt>
                <c:pt idx="4">
                  <c:v>8.7090928472444311</c:v>
                </c:pt>
                <c:pt idx="5">
                  <c:v>9.5940562076020246</c:v>
                </c:pt>
                <c:pt idx="6">
                  <c:v>9.4704576683225881</c:v>
                </c:pt>
                <c:pt idx="7">
                  <c:v>8.8891379890146833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9.4127806563039726</c:v>
                </c:pt>
                <c:pt idx="1">
                  <c:v>9.5489288405641073</c:v>
                </c:pt>
                <c:pt idx="2">
                  <c:v>8.33</c:v>
                </c:pt>
                <c:pt idx="3">
                  <c:v>8.9795918367346932</c:v>
                </c:pt>
                <c:pt idx="4">
                  <c:v>8.9222897345698744</c:v>
                </c:pt>
                <c:pt idx="5">
                  <c:v>9.6263594271562383</c:v>
                </c:pt>
                <c:pt idx="6">
                  <c:v>8.614311383574675</c:v>
                </c:pt>
                <c:pt idx="7">
                  <c:v>8.1941486380450606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42.368307426597582</c:v>
                </c:pt>
                <c:pt idx="1">
                  <c:v>42.028205404241575</c:v>
                </c:pt>
                <c:pt idx="2">
                  <c:v>38.43</c:v>
                </c:pt>
                <c:pt idx="3">
                  <c:v>42.341568206229866</c:v>
                </c:pt>
                <c:pt idx="4">
                  <c:v>38.577976761539276</c:v>
                </c:pt>
                <c:pt idx="5">
                  <c:v>38.430063529665119</c:v>
                </c:pt>
                <c:pt idx="6">
                  <c:v>39.84779621604482</c:v>
                </c:pt>
                <c:pt idx="7">
                  <c:v>40.152449276986879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10.708117443868739</c:v>
                </c:pt>
                <c:pt idx="1">
                  <c:v>10.280977500269136</c:v>
                </c:pt>
                <c:pt idx="2">
                  <c:v>9.34</c:v>
                </c:pt>
                <c:pt idx="3">
                  <c:v>9.0870032223415684</c:v>
                </c:pt>
                <c:pt idx="4">
                  <c:v>9.2740645986568584</c:v>
                </c:pt>
                <c:pt idx="5">
                  <c:v>10.024765801658232</c:v>
                </c:pt>
                <c:pt idx="6">
                  <c:v>9.9672339076207574</c:v>
                </c:pt>
                <c:pt idx="7">
                  <c:v>9.8643649815043162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3590976"/>
        <c:axId val="1063583904"/>
      </c:barChart>
      <c:catAx>
        <c:axId val="106359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063583904"/>
        <c:crosses val="autoZero"/>
        <c:auto val="1"/>
        <c:lblAlgn val="ctr"/>
        <c:lblOffset val="100"/>
        <c:noMultiLvlLbl val="0"/>
      </c:catAx>
      <c:valAx>
        <c:axId val="1063583904"/>
        <c:scaling>
          <c:orientation val="minMax"/>
          <c:max val="7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063590976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665048657576403"/>
          <c:w val="0.95561111111111163"/>
          <c:h val="0.10571761713947864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106680</xdr:rowOff>
    </xdr:from>
    <xdr:to>
      <xdr:col>16</xdr:col>
      <xdr:colOff>403860</xdr:colOff>
      <xdr:row>17</xdr:row>
      <xdr:rowOff>160020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541020</xdr:colOff>
      <xdr:row>102</xdr:row>
      <xdr:rowOff>118110</xdr:rowOff>
    </xdr:from>
    <xdr:to>
      <xdr:col>20</xdr:col>
      <xdr:colOff>403860</xdr:colOff>
      <xdr:row>122</xdr:row>
      <xdr:rowOff>106680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1228723</xdr:colOff>
      <xdr:row>24</xdr:row>
      <xdr:rowOff>152399</xdr:rowOff>
    </xdr:from>
    <xdr:to>
      <xdr:col>10</xdr:col>
      <xdr:colOff>228600</xdr:colOff>
      <xdr:row>48</xdr:row>
      <xdr:rowOff>133350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50</xdr:row>
      <xdr:rowOff>0</xdr:rowOff>
    </xdr:from>
    <xdr:to>
      <xdr:col>10</xdr:col>
      <xdr:colOff>388620</xdr:colOff>
      <xdr:row>72</xdr:row>
      <xdr:rowOff>47625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733424</xdr:colOff>
      <xdr:row>30</xdr:row>
      <xdr:rowOff>102869</xdr:rowOff>
    </xdr:from>
    <xdr:to>
      <xdr:col>13</xdr:col>
      <xdr:colOff>495300</xdr:colOff>
      <xdr:row>50</xdr:row>
      <xdr:rowOff>55245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29</xdr:row>
      <xdr:rowOff>38100</xdr:rowOff>
    </xdr:from>
    <xdr:to>
      <xdr:col>5</xdr:col>
      <xdr:colOff>800099</xdr:colOff>
      <xdr:row>49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52</xdr:row>
      <xdr:rowOff>85724</xdr:rowOff>
    </xdr:from>
    <xdr:to>
      <xdr:col>6</xdr:col>
      <xdr:colOff>723900</xdr:colOff>
      <xdr:row>77</xdr:row>
      <xdr:rowOff>15239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544829</xdr:colOff>
      <xdr:row>199</xdr:row>
      <xdr:rowOff>62863</xdr:rowOff>
    </xdr:from>
    <xdr:to>
      <xdr:col>3</xdr:col>
      <xdr:colOff>78104</xdr:colOff>
      <xdr:row>217</xdr:row>
      <xdr:rowOff>43815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57147</xdr:colOff>
      <xdr:row>12</xdr:row>
      <xdr:rowOff>19049</xdr:rowOff>
    </xdr:from>
    <xdr:to>
      <xdr:col>10</xdr:col>
      <xdr:colOff>209550</xdr:colOff>
      <xdr:row>29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workbookViewId="0">
      <pane xSplit="1" ySplit="2" topLeftCell="S3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  <col min="17" max="18" width="15.33203125" bestFit="1" customWidth="1"/>
    <col min="19" max="19" width="7.109375" customWidth="1"/>
    <col min="20" max="21" width="15.33203125" bestFit="1" customWidth="1"/>
    <col min="22" max="22" width="7.109375" customWidth="1"/>
    <col min="23" max="24" width="15.33203125" bestFit="1" customWidth="1"/>
    <col min="25" max="25" width="7.109375" customWidth="1"/>
  </cols>
  <sheetData>
    <row r="1" spans="1:27" x14ac:dyDescent="0.3">
      <c r="B1" s="150">
        <v>2016</v>
      </c>
      <c r="C1" s="150"/>
      <c r="D1" s="151"/>
      <c r="E1" s="152">
        <v>2017</v>
      </c>
      <c r="F1" s="153"/>
      <c r="G1" s="154"/>
      <c r="H1" s="152">
        <v>2018</v>
      </c>
      <c r="I1" s="153"/>
      <c r="J1" s="154"/>
      <c r="K1" s="152">
        <v>2019</v>
      </c>
      <c r="L1" s="153"/>
      <c r="M1" s="154"/>
      <c r="N1" s="152">
        <v>2020</v>
      </c>
      <c r="O1" s="153"/>
      <c r="P1" s="154"/>
      <c r="Q1" s="152">
        <v>2021</v>
      </c>
      <c r="R1" s="153"/>
      <c r="S1" s="154"/>
      <c r="T1" s="152">
        <v>2022</v>
      </c>
      <c r="U1" s="153"/>
      <c r="V1" s="154"/>
      <c r="W1" s="152">
        <v>2023</v>
      </c>
      <c r="X1" s="153"/>
      <c r="Y1" s="154"/>
      <c r="Z1" s="149" t="s">
        <v>233</v>
      </c>
      <c r="AA1" s="149"/>
    </row>
    <row r="2" spans="1:27" x14ac:dyDescent="0.3">
      <c r="B2" s="18" t="s">
        <v>73</v>
      </c>
      <c r="C2" s="18" t="s">
        <v>74</v>
      </c>
      <c r="D2" s="19" t="s">
        <v>234</v>
      </c>
      <c r="E2" s="26" t="s">
        <v>73</v>
      </c>
      <c r="F2" s="18" t="s">
        <v>74</v>
      </c>
      <c r="G2" s="19" t="s">
        <v>234</v>
      </c>
      <c r="H2" s="26" t="s">
        <v>73</v>
      </c>
      <c r="I2" s="18" t="s">
        <v>74</v>
      </c>
      <c r="J2" s="19" t="s">
        <v>234</v>
      </c>
      <c r="K2" s="26" t="s">
        <v>73</v>
      </c>
      <c r="L2" s="104" t="s">
        <v>74</v>
      </c>
      <c r="M2" s="105" t="s">
        <v>234</v>
      </c>
      <c r="N2" s="26" t="s">
        <v>73</v>
      </c>
      <c r="O2" s="120" t="s">
        <v>74</v>
      </c>
      <c r="P2" s="121" t="s">
        <v>234</v>
      </c>
      <c r="Q2" s="26" t="s">
        <v>73</v>
      </c>
      <c r="R2" s="127" t="s">
        <v>74</v>
      </c>
      <c r="S2" s="128" t="s">
        <v>234</v>
      </c>
      <c r="T2" s="26" t="s">
        <v>73</v>
      </c>
      <c r="U2" s="144" t="s">
        <v>74</v>
      </c>
      <c r="V2" s="145" t="s">
        <v>234</v>
      </c>
      <c r="W2" s="26" t="s">
        <v>73</v>
      </c>
      <c r="X2" s="100" t="s">
        <v>74</v>
      </c>
      <c r="Y2" s="101" t="s">
        <v>234</v>
      </c>
      <c r="Z2" s="13" t="s">
        <v>73</v>
      </c>
      <c r="AA2" s="13" t="s">
        <v>74</v>
      </c>
    </row>
    <row r="3" spans="1:27" x14ac:dyDescent="0.3">
      <c r="A3" t="s">
        <v>20</v>
      </c>
      <c r="B3" s="32">
        <v>1366332024.4000001</v>
      </c>
      <c r="C3" s="32">
        <v>1075842826.6500001</v>
      </c>
      <c r="D3" s="21">
        <f>IF(B3&gt;0,C3/B3*100,"-")</f>
        <v>78.739486994197989</v>
      </c>
      <c r="E3" s="32">
        <v>1414703525.4000001</v>
      </c>
      <c r="F3" s="32">
        <v>920641899.49000001</v>
      </c>
      <c r="G3" s="21">
        <f>IF(E3&gt;0,F3/E3*100,"-")</f>
        <v>65.076666804070712</v>
      </c>
      <c r="H3" s="27">
        <v>1421319954.1199999</v>
      </c>
      <c r="I3" s="20">
        <v>1082158410.3900001</v>
      </c>
      <c r="J3" s="21">
        <f>IF(H3&gt;0,I3/H3*100,"-")</f>
        <v>76.137565454782546</v>
      </c>
      <c r="K3" s="20">
        <v>1434400074.1700001</v>
      </c>
      <c r="L3" s="20">
        <v>1142315003.21</v>
      </c>
      <c r="M3" s="21">
        <f>IF(K3&gt;0,L3/K3*100,"-")</f>
        <v>79.637126613437189</v>
      </c>
      <c r="N3" s="20">
        <v>1340114372.1900001</v>
      </c>
      <c r="O3" s="20">
        <v>1048110456.09</v>
      </c>
      <c r="P3" s="21">
        <f>IF(N3&gt;0,O3/N3*100,"-")</f>
        <v>78.210522761366221</v>
      </c>
      <c r="Q3" s="20">
        <v>1375575354.52</v>
      </c>
      <c r="R3" s="20">
        <v>1072037507.53</v>
      </c>
      <c r="S3" s="21">
        <f>IF(Q3&gt;0,R3/Q3*100,"-")</f>
        <v>77.933753611344841</v>
      </c>
      <c r="T3" s="130">
        <v>1428995409.3399999</v>
      </c>
      <c r="U3" s="20">
        <v>1100995411.3599999</v>
      </c>
      <c r="V3" s="21">
        <f>IF(T3&gt;0,U3/T3*100,"-")</f>
        <v>77.046812338502107</v>
      </c>
      <c r="W3" s="1">
        <v>1471905681.3900001</v>
      </c>
      <c r="X3" s="1">
        <v>990856388.77999997</v>
      </c>
      <c r="Y3" s="21">
        <f>IF(W3&gt;0,X3/W3*100,"-")</f>
        <v>67.317926773968338</v>
      </c>
      <c r="Z3" s="14">
        <f>IF(T3&gt;0,W3/T3*100-100,"-")</f>
        <v>3.0028278446198016</v>
      </c>
      <c r="AA3" s="14">
        <f>IF(U3&gt;0,X3/U3*100-100,"-")</f>
        <v>-10.00358597716145</v>
      </c>
    </row>
    <row r="4" spans="1:27" x14ac:dyDescent="0.3">
      <c r="A4" t="s">
        <v>21</v>
      </c>
      <c r="B4" s="32">
        <v>407773118.19999999</v>
      </c>
      <c r="C4" s="32">
        <v>376258259.52999997</v>
      </c>
      <c r="D4" s="21">
        <f t="shared" ref="D4:D21" si="0">IF(B4&gt;0,C4/B4*100,"-")</f>
        <v>92.271472232129099</v>
      </c>
      <c r="E4" s="32">
        <v>420962037.94999999</v>
      </c>
      <c r="F4" s="32">
        <v>380103531.79000002</v>
      </c>
      <c r="G4" s="21">
        <f t="shared" ref="G4:G21" si="1">IF(E4&gt;0,F4/E4*100,"-")</f>
        <v>90.294016448853057</v>
      </c>
      <c r="H4" s="27">
        <v>459608963.81</v>
      </c>
      <c r="I4" s="20">
        <v>283849892.89999998</v>
      </c>
      <c r="J4" s="21">
        <f t="shared" ref="J4:J21" si="2">IF(H4&gt;0,I4/H4*100,"-")</f>
        <v>61.758998464038243</v>
      </c>
      <c r="K4" s="20">
        <v>429369689.54000002</v>
      </c>
      <c r="L4" s="20">
        <v>218087951.83000001</v>
      </c>
      <c r="M4" s="21">
        <f t="shared" ref="M4:M13" si="3">IF(K4&gt;0,L4/K4*100,"-")</f>
        <v>50.792582043610459</v>
      </c>
      <c r="N4" s="20">
        <v>984131701.23000002</v>
      </c>
      <c r="O4" s="20">
        <v>728015101.17999995</v>
      </c>
      <c r="P4" s="21">
        <f t="shared" ref="P4:P13" si="4">IF(N4&gt;0,O4/N4*100,"-")</f>
        <v>73.975373445454792</v>
      </c>
      <c r="Q4" s="20">
        <v>995530992.46000004</v>
      </c>
      <c r="R4" s="20">
        <v>897525070.67999995</v>
      </c>
      <c r="S4" s="21">
        <f t="shared" ref="S4:S13" si="5">IF(Q4&gt;0,R4/Q4*100,"-")</f>
        <v>90.155412285274693</v>
      </c>
      <c r="T4" s="20">
        <v>623413442.67999995</v>
      </c>
      <c r="U4" s="20">
        <v>531444842.38</v>
      </c>
      <c r="V4" s="21">
        <f t="shared" ref="V4:V13" si="6">IF(T4&gt;0,U4/T4*100,"-")</f>
        <v>85.247575043516065</v>
      </c>
      <c r="W4" s="1">
        <v>518700898.75</v>
      </c>
      <c r="X4" s="1">
        <v>436044107.97000003</v>
      </c>
      <c r="Y4" s="21">
        <f t="shared" ref="Y4:Y13" si="7">IF(W4&gt;0,X4/W4*100,"-")</f>
        <v>84.064652484853639</v>
      </c>
      <c r="Z4" s="14">
        <f t="shared" ref="Z4:AA55" si="8">IF(T4&gt;0,W4/T4*100-100,"-")</f>
        <v>-16.796645173361981</v>
      </c>
      <c r="AA4" s="14">
        <f t="shared" si="8"/>
        <v>-17.951201479867862</v>
      </c>
    </row>
    <row r="5" spans="1:27" x14ac:dyDescent="0.3">
      <c r="A5" t="s">
        <v>22</v>
      </c>
      <c r="B5" s="32">
        <v>1384676130.0899999</v>
      </c>
      <c r="C5" s="32">
        <v>1015602857.45</v>
      </c>
      <c r="D5" s="21">
        <f t="shared" si="0"/>
        <v>73.345877449623458</v>
      </c>
      <c r="E5" s="32">
        <v>1342206382.45</v>
      </c>
      <c r="F5" s="32">
        <v>1003795829.64</v>
      </c>
      <c r="G5" s="21">
        <f t="shared" si="1"/>
        <v>74.786995708343937</v>
      </c>
      <c r="H5" s="27">
        <v>1399918147.3499999</v>
      </c>
      <c r="I5" s="20">
        <v>1072024204.85</v>
      </c>
      <c r="J5" s="21">
        <f t="shared" si="2"/>
        <v>76.577634690950134</v>
      </c>
      <c r="K5" s="20">
        <v>1437116530.77</v>
      </c>
      <c r="L5" s="20">
        <v>1117095293.9200001</v>
      </c>
      <c r="M5" s="21">
        <f t="shared" si="3"/>
        <v>77.731712773595746</v>
      </c>
      <c r="N5" s="20">
        <v>883340464.51999998</v>
      </c>
      <c r="O5" s="20">
        <v>636742023.47000003</v>
      </c>
      <c r="P5" s="21">
        <f t="shared" si="4"/>
        <v>72.083420724533482</v>
      </c>
      <c r="Q5" s="20">
        <v>973648422.04999995</v>
      </c>
      <c r="R5" s="20">
        <v>765055366.21000004</v>
      </c>
      <c r="S5" s="21">
        <f t="shared" si="5"/>
        <v>78.576141950622088</v>
      </c>
      <c r="T5" s="20">
        <v>1267695291.3499999</v>
      </c>
      <c r="U5" s="20">
        <v>1009591637.55</v>
      </c>
      <c r="V5" s="21">
        <f t="shared" si="6"/>
        <v>79.639929598134032</v>
      </c>
      <c r="W5" s="1">
        <v>1452898873.51</v>
      </c>
      <c r="X5" s="1">
        <v>1150067533.75</v>
      </c>
      <c r="Y5" s="21">
        <f t="shared" si="7"/>
        <v>79.156750323000665</v>
      </c>
      <c r="Z5" s="14">
        <f t="shared" si="8"/>
        <v>14.609471489222955</v>
      </c>
      <c r="AA5" s="14">
        <f t="shared" si="8"/>
        <v>13.914130325098199</v>
      </c>
    </row>
    <row r="6" spans="1:27" x14ac:dyDescent="0.3">
      <c r="A6" t="s">
        <v>23</v>
      </c>
      <c r="B6" s="32">
        <v>173860.94</v>
      </c>
      <c r="C6" s="32">
        <v>173860.94</v>
      </c>
      <c r="D6" s="21">
        <f t="shared" si="0"/>
        <v>100</v>
      </c>
      <c r="E6" s="32">
        <v>152474.67000000001</v>
      </c>
      <c r="F6" s="32">
        <v>152474.67000000001</v>
      </c>
      <c r="G6" s="21">
        <f t="shared" si="1"/>
        <v>100</v>
      </c>
      <c r="H6" s="27">
        <v>226037.91</v>
      </c>
      <c r="I6" s="20">
        <v>226037.91</v>
      </c>
      <c r="J6" s="21">
        <f t="shared" si="2"/>
        <v>100</v>
      </c>
      <c r="K6" s="20">
        <v>134934.98000000001</v>
      </c>
      <c r="L6" s="20">
        <v>134934.98000000001</v>
      </c>
      <c r="M6" s="21">
        <f t="shared" si="3"/>
        <v>100</v>
      </c>
      <c r="N6" s="20">
        <v>86347.96</v>
      </c>
      <c r="O6" s="20">
        <v>86347.96</v>
      </c>
      <c r="P6" s="21">
        <f t="shared" si="4"/>
        <v>100</v>
      </c>
      <c r="Q6" s="20">
        <v>96517.69</v>
      </c>
      <c r="R6" s="20">
        <v>96517.69</v>
      </c>
      <c r="S6" s="21">
        <f t="shared" si="5"/>
        <v>100</v>
      </c>
      <c r="T6" s="20">
        <v>57426.2</v>
      </c>
      <c r="U6" s="20">
        <v>57426.2</v>
      </c>
      <c r="V6" s="21">
        <f t="shared" si="6"/>
        <v>100</v>
      </c>
      <c r="W6" s="1">
        <v>81418.600000000006</v>
      </c>
      <c r="X6" s="1">
        <v>79796.960000000006</v>
      </c>
      <c r="Y6" s="21">
        <f t="shared" si="7"/>
        <v>98.008268380935064</v>
      </c>
      <c r="Z6" s="14">
        <f t="shared" si="8"/>
        <v>41.779536169901547</v>
      </c>
      <c r="AA6" s="14">
        <f t="shared" si="8"/>
        <v>38.95566831864204</v>
      </c>
    </row>
    <row r="7" spans="1:27" x14ac:dyDescent="0.3">
      <c r="A7" t="s">
        <v>24</v>
      </c>
      <c r="B7" s="32">
        <v>106097026.79000001</v>
      </c>
      <c r="C7" s="32">
        <v>80844467.609999999</v>
      </c>
      <c r="D7" s="21">
        <f t="shared" si="0"/>
        <v>76.198617488138567</v>
      </c>
      <c r="E7" s="32">
        <v>194732045.81</v>
      </c>
      <c r="F7" s="32">
        <v>176908856.06</v>
      </c>
      <c r="G7" s="21">
        <f t="shared" si="1"/>
        <v>90.847325782531925</v>
      </c>
      <c r="H7" s="27">
        <v>212699366.72999999</v>
      </c>
      <c r="I7" s="20">
        <v>173206361.94</v>
      </c>
      <c r="J7" s="21">
        <f t="shared" si="2"/>
        <v>81.432476552630121</v>
      </c>
      <c r="K7" s="20">
        <v>224089798.13</v>
      </c>
      <c r="L7" s="20">
        <v>93487182.920000002</v>
      </c>
      <c r="M7" s="21">
        <f t="shared" si="3"/>
        <v>41.71862516729378</v>
      </c>
      <c r="N7" s="20">
        <v>166689493.52000001</v>
      </c>
      <c r="O7" s="20">
        <v>112986625.23</v>
      </c>
      <c r="P7" s="21">
        <f t="shared" si="4"/>
        <v>67.782691544649438</v>
      </c>
      <c r="Q7" s="20">
        <v>281718093.08999997</v>
      </c>
      <c r="R7" s="20">
        <v>168729819.34999999</v>
      </c>
      <c r="S7" s="21">
        <f t="shared" si="5"/>
        <v>59.893142644585552</v>
      </c>
      <c r="T7" s="20">
        <v>409529810.70999998</v>
      </c>
      <c r="U7" s="20">
        <v>291648413.14999998</v>
      </c>
      <c r="V7" s="21">
        <f t="shared" si="6"/>
        <v>71.215429383362945</v>
      </c>
      <c r="W7" s="1">
        <v>381700165.63999999</v>
      </c>
      <c r="X7" s="1">
        <v>211265728.44999999</v>
      </c>
      <c r="Y7" s="21">
        <f t="shared" si="7"/>
        <v>55.348608009055724</v>
      </c>
      <c r="Z7" s="14">
        <f t="shared" si="8"/>
        <v>-6.7955114236377199</v>
      </c>
      <c r="AA7" s="14">
        <f t="shared" si="8"/>
        <v>-27.561502506326946</v>
      </c>
    </row>
    <row r="8" spans="1:27" x14ac:dyDescent="0.3">
      <c r="A8" t="s">
        <v>25</v>
      </c>
      <c r="B8" s="32">
        <v>0</v>
      </c>
      <c r="C8" s="32">
        <v>0</v>
      </c>
      <c r="D8" s="21" t="str">
        <f t="shared" si="0"/>
        <v>-</v>
      </c>
      <c r="E8" s="32">
        <v>0</v>
      </c>
      <c r="F8" s="32">
        <v>0</v>
      </c>
      <c r="G8" s="21" t="str">
        <f t="shared" si="1"/>
        <v>-</v>
      </c>
      <c r="H8" s="27">
        <v>0</v>
      </c>
      <c r="I8" s="20">
        <v>0</v>
      </c>
      <c r="J8" s="21" t="str">
        <f t="shared" si="2"/>
        <v>-</v>
      </c>
      <c r="K8" s="20">
        <v>0</v>
      </c>
      <c r="L8" s="20">
        <v>0</v>
      </c>
      <c r="M8" s="21" t="str">
        <f t="shared" si="3"/>
        <v>-</v>
      </c>
      <c r="N8" s="20">
        <v>0</v>
      </c>
      <c r="O8" s="20">
        <v>0</v>
      </c>
      <c r="P8" s="21" t="str">
        <f t="shared" si="4"/>
        <v>-</v>
      </c>
      <c r="Q8" s="20">
        <v>0</v>
      </c>
      <c r="R8" s="20">
        <v>0</v>
      </c>
      <c r="S8" s="21" t="str">
        <f t="shared" si="5"/>
        <v>-</v>
      </c>
      <c r="T8" s="20">
        <v>0</v>
      </c>
      <c r="U8" s="20">
        <v>0</v>
      </c>
      <c r="V8" s="21" t="str">
        <f t="shared" si="6"/>
        <v>-</v>
      </c>
      <c r="W8" s="20">
        <v>0</v>
      </c>
      <c r="X8" s="20">
        <v>0</v>
      </c>
      <c r="Y8" s="21" t="str">
        <f t="shared" si="7"/>
        <v>-</v>
      </c>
      <c r="Z8" s="14" t="str">
        <f t="shared" si="8"/>
        <v>-</v>
      </c>
      <c r="AA8" s="14" t="str">
        <f t="shared" si="8"/>
        <v>-</v>
      </c>
    </row>
    <row r="9" spans="1:27" x14ac:dyDescent="0.3">
      <c r="A9" t="s">
        <v>26</v>
      </c>
      <c r="B9" s="32">
        <v>5649599.7199999997</v>
      </c>
      <c r="C9" s="32">
        <v>4862038.79</v>
      </c>
      <c r="D9" s="21">
        <f t="shared" si="0"/>
        <v>86.059880893650288</v>
      </c>
      <c r="E9" s="32">
        <v>18861814.469999999</v>
      </c>
      <c r="F9" s="32">
        <v>18645333.100000001</v>
      </c>
      <c r="G9" s="21">
        <f t="shared" si="1"/>
        <v>98.852277068336591</v>
      </c>
      <c r="H9" s="27">
        <v>180148522.74000001</v>
      </c>
      <c r="I9" s="20">
        <v>180148522.74000001</v>
      </c>
      <c r="J9" s="21">
        <f t="shared" si="2"/>
        <v>100</v>
      </c>
      <c r="K9" s="20">
        <v>224064548.72</v>
      </c>
      <c r="L9" s="20">
        <v>199064766.72</v>
      </c>
      <c r="M9" s="21">
        <f t="shared" si="3"/>
        <v>88.842598196450652</v>
      </c>
      <c r="N9" s="20">
        <v>271926164.74000001</v>
      </c>
      <c r="O9" s="20">
        <v>271926164.74000001</v>
      </c>
      <c r="P9" s="21">
        <f t="shared" si="4"/>
        <v>100</v>
      </c>
      <c r="Q9" s="20">
        <v>82829885.670000002</v>
      </c>
      <c r="R9" s="20">
        <v>82829885.670000002</v>
      </c>
      <c r="S9" s="21">
        <f t="shared" si="5"/>
        <v>100</v>
      </c>
      <c r="T9" s="20">
        <v>15966325.880000001</v>
      </c>
      <c r="U9" s="20">
        <v>15966325.880000001</v>
      </c>
      <c r="V9" s="21">
        <f t="shared" si="6"/>
        <v>100</v>
      </c>
      <c r="W9" s="1">
        <v>117953764.33</v>
      </c>
      <c r="X9" s="1">
        <v>117951045.33</v>
      </c>
      <c r="Y9" s="21">
        <f t="shared" si="7"/>
        <v>99.997694859493933</v>
      </c>
      <c r="Z9" s="14">
        <f t="shared" si="8"/>
        <v>638.7658576964983</v>
      </c>
      <c r="AA9" s="14">
        <f t="shared" si="8"/>
        <v>638.74882810546762</v>
      </c>
    </row>
    <row r="10" spans="1:27" x14ac:dyDescent="0.3">
      <c r="A10" t="s">
        <v>27</v>
      </c>
      <c r="B10" s="32">
        <v>98589741.5</v>
      </c>
      <c r="C10" s="32">
        <v>67232757.680000007</v>
      </c>
      <c r="D10" s="21">
        <f t="shared" si="0"/>
        <v>68.194476075383577</v>
      </c>
      <c r="E10" s="32">
        <v>73177641.859999999</v>
      </c>
      <c r="F10" s="32">
        <v>67681818.150000006</v>
      </c>
      <c r="G10" s="21">
        <f t="shared" si="1"/>
        <v>92.489750188296114</v>
      </c>
      <c r="H10" s="27">
        <v>99571285.180000007</v>
      </c>
      <c r="I10" s="20">
        <v>99277852.439999998</v>
      </c>
      <c r="J10" s="21">
        <f t="shared" si="2"/>
        <v>99.705303853947896</v>
      </c>
      <c r="K10" s="20">
        <v>142688427.56</v>
      </c>
      <c r="L10" s="20">
        <v>142093677.02000001</v>
      </c>
      <c r="M10" s="21">
        <f t="shared" si="3"/>
        <v>99.583182357413051</v>
      </c>
      <c r="N10" s="20">
        <v>75795912.230000004</v>
      </c>
      <c r="O10" s="20">
        <v>75291603.879999995</v>
      </c>
      <c r="P10" s="21">
        <f t="shared" si="4"/>
        <v>99.334649672834985</v>
      </c>
      <c r="Q10" s="20">
        <v>79652977.560000002</v>
      </c>
      <c r="R10" s="20">
        <v>79477493.969999999</v>
      </c>
      <c r="S10" s="21">
        <f t="shared" si="5"/>
        <v>99.779689855451011</v>
      </c>
      <c r="T10" s="20">
        <v>73382764.939999998</v>
      </c>
      <c r="U10" s="20">
        <v>72968111.5</v>
      </c>
      <c r="V10" s="21">
        <f t="shared" si="6"/>
        <v>99.434944376463562</v>
      </c>
      <c r="W10" s="1">
        <v>74539147.260000005</v>
      </c>
      <c r="X10" s="1">
        <v>73875510.909999996</v>
      </c>
      <c r="Y10" s="21">
        <f t="shared" si="7"/>
        <v>99.109680786010102</v>
      </c>
      <c r="Z10" s="14">
        <f t="shared" si="8"/>
        <v>1.5758227711173021</v>
      </c>
      <c r="AA10" s="14">
        <f t="shared" si="8"/>
        <v>1.2435561114939873</v>
      </c>
    </row>
    <row r="11" spans="1:27" x14ac:dyDescent="0.3">
      <c r="A11" t="s">
        <v>28</v>
      </c>
      <c r="B11" s="32">
        <v>0</v>
      </c>
      <c r="C11" s="32">
        <v>0</v>
      </c>
      <c r="D11" s="21" t="str">
        <f t="shared" si="0"/>
        <v>-</v>
      </c>
      <c r="E11" s="32">
        <v>4185300.72</v>
      </c>
      <c r="F11" s="32">
        <v>4185300.72</v>
      </c>
      <c r="G11" s="21">
        <f t="shared" si="1"/>
        <v>100</v>
      </c>
      <c r="H11" s="27">
        <v>0</v>
      </c>
      <c r="I11" s="20">
        <v>0</v>
      </c>
      <c r="J11" s="21" t="str">
        <f t="shared" si="2"/>
        <v>-</v>
      </c>
      <c r="K11" s="20">
        <v>65406000</v>
      </c>
      <c r="L11" s="20">
        <v>65406000</v>
      </c>
      <c r="M11" s="21">
        <f t="shared" si="3"/>
        <v>100</v>
      </c>
      <c r="N11" s="20">
        <v>25037779.629999999</v>
      </c>
      <c r="O11" s="20">
        <v>25037779.629999999</v>
      </c>
      <c r="P11" s="21">
        <f t="shared" si="4"/>
        <v>100</v>
      </c>
      <c r="Q11" s="20">
        <v>0</v>
      </c>
      <c r="R11" s="20">
        <v>0</v>
      </c>
      <c r="S11" s="21" t="str">
        <f t="shared" si="5"/>
        <v>-</v>
      </c>
      <c r="T11" s="20">
        <v>0</v>
      </c>
      <c r="U11" s="20">
        <v>0</v>
      </c>
      <c r="V11" s="21" t="str">
        <f t="shared" si="6"/>
        <v>-</v>
      </c>
      <c r="W11" s="20">
        <v>0</v>
      </c>
      <c r="X11" s="20">
        <v>0</v>
      </c>
      <c r="Y11" s="21" t="str">
        <f t="shared" si="7"/>
        <v>-</v>
      </c>
      <c r="Z11" s="14" t="str">
        <f t="shared" si="8"/>
        <v>-</v>
      </c>
      <c r="AA11" s="14" t="str">
        <f t="shared" si="8"/>
        <v>-</v>
      </c>
    </row>
    <row r="12" spans="1:27" x14ac:dyDescent="0.3">
      <c r="A12" t="s">
        <v>29</v>
      </c>
      <c r="B12" s="32">
        <v>0</v>
      </c>
      <c r="C12" s="32">
        <v>0</v>
      </c>
      <c r="D12" s="21" t="str">
        <f t="shared" si="0"/>
        <v>-</v>
      </c>
      <c r="E12" s="32">
        <v>0</v>
      </c>
      <c r="F12" s="32">
        <v>0</v>
      </c>
      <c r="G12" s="21" t="str">
        <f t="shared" si="1"/>
        <v>-</v>
      </c>
      <c r="H12" s="27">
        <v>1003010.23</v>
      </c>
      <c r="I12" s="20">
        <v>0</v>
      </c>
      <c r="J12" s="21">
        <f t="shared" si="2"/>
        <v>0</v>
      </c>
      <c r="K12" s="20">
        <v>8072720.5999999996</v>
      </c>
      <c r="L12" s="20">
        <v>800000</v>
      </c>
      <c r="M12" s="21">
        <f t="shared" si="3"/>
        <v>9.9099181012160891</v>
      </c>
      <c r="N12" s="20">
        <v>900000</v>
      </c>
      <c r="O12" s="20">
        <v>900000</v>
      </c>
      <c r="P12" s="21">
        <f t="shared" si="4"/>
        <v>100</v>
      </c>
      <c r="Q12" s="20">
        <v>30000</v>
      </c>
      <c r="R12" s="20">
        <v>0</v>
      </c>
      <c r="S12" s="21">
        <f t="shared" si="5"/>
        <v>0</v>
      </c>
      <c r="T12" s="20">
        <v>0</v>
      </c>
      <c r="U12" s="20">
        <v>0</v>
      </c>
      <c r="V12" s="21" t="str">
        <f t="shared" si="6"/>
        <v>-</v>
      </c>
      <c r="W12" s="20">
        <v>0</v>
      </c>
      <c r="X12" s="20">
        <v>0</v>
      </c>
      <c r="Y12" s="21" t="str">
        <f t="shared" si="7"/>
        <v>-</v>
      </c>
      <c r="Z12" s="14" t="str">
        <f t="shared" si="8"/>
        <v>-</v>
      </c>
      <c r="AA12" s="14" t="str">
        <f t="shared" si="8"/>
        <v>-</v>
      </c>
    </row>
    <row r="13" spans="1:27" x14ac:dyDescent="0.3">
      <c r="A13" t="s">
        <v>30</v>
      </c>
      <c r="B13" s="32">
        <v>115127158.14</v>
      </c>
      <c r="C13" s="32">
        <v>115127158.14</v>
      </c>
      <c r="D13" s="21">
        <f t="shared" si="0"/>
        <v>100</v>
      </c>
      <c r="E13" s="32">
        <v>180107001.30000001</v>
      </c>
      <c r="F13" s="32">
        <v>180107001.30000001</v>
      </c>
      <c r="G13" s="21">
        <f t="shared" si="1"/>
        <v>100</v>
      </c>
      <c r="H13" s="27">
        <v>199395016.28999999</v>
      </c>
      <c r="I13" s="20">
        <v>199395016.28999999</v>
      </c>
      <c r="J13" s="21">
        <f t="shared" si="2"/>
        <v>100</v>
      </c>
      <c r="K13" s="20">
        <v>35117079.329999998</v>
      </c>
      <c r="L13" s="20">
        <v>35117079.329999998</v>
      </c>
      <c r="M13" s="21">
        <f t="shared" si="3"/>
        <v>100</v>
      </c>
      <c r="N13" s="20">
        <v>0</v>
      </c>
      <c r="O13" s="20">
        <v>0</v>
      </c>
      <c r="P13" s="21" t="str">
        <f t="shared" si="4"/>
        <v>-</v>
      </c>
      <c r="Q13" s="20">
        <v>100000000</v>
      </c>
      <c r="R13" s="20">
        <v>20000000</v>
      </c>
      <c r="S13" s="21">
        <f t="shared" si="5"/>
        <v>20</v>
      </c>
      <c r="T13" s="20">
        <v>50000000</v>
      </c>
      <c r="U13" s="20">
        <v>0</v>
      </c>
      <c r="V13" s="21">
        <f t="shared" si="6"/>
        <v>0</v>
      </c>
      <c r="W13" s="20">
        <v>50000000</v>
      </c>
      <c r="X13" s="20">
        <v>0</v>
      </c>
      <c r="Y13" s="21">
        <f t="shared" si="7"/>
        <v>0</v>
      </c>
      <c r="Z13" s="14">
        <f t="shared" si="8"/>
        <v>0</v>
      </c>
      <c r="AA13" s="14" t="str">
        <f t="shared" si="8"/>
        <v>-</v>
      </c>
    </row>
    <row r="14" spans="1:27" x14ac:dyDescent="0.3">
      <c r="A14" t="s">
        <v>31</v>
      </c>
      <c r="B14" s="32">
        <f t="shared" ref="B14:C14" si="9">SUM(B3:B5)</f>
        <v>3158781272.6900001</v>
      </c>
      <c r="C14" s="32">
        <f t="shared" si="9"/>
        <v>2467703943.6300001</v>
      </c>
      <c r="D14" s="21">
        <f>IF(B14&gt;0,C14/B14*100,"-")</f>
        <v>78.122026522226335</v>
      </c>
      <c r="E14" s="32">
        <f t="shared" ref="E14:F14" si="10">SUM(E3:E5)</f>
        <v>3177871945.8000002</v>
      </c>
      <c r="F14" s="32">
        <f t="shared" si="10"/>
        <v>2304541260.9200001</v>
      </c>
      <c r="G14" s="21">
        <f>IF(E14&gt;0,F14/E14*100,"-")</f>
        <v>72.518380231329701</v>
      </c>
      <c r="H14" s="27">
        <f t="shared" ref="H14:I14" si="11">SUM(H3:H5)</f>
        <v>3280847065.2799997</v>
      </c>
      <c r="I14" s="20">
        <f t="shared" si="11"/>
        <v>2438032508.1399999</v>
      </c>
      <c r="J14" s="21">
        <f>IF(H14&gt;0,I14/H14*100,"-")</f>
        <v>74.311068441464485</v>
      </c>
      <c r="K14" s="20">
        <f>SUM(K3:K5)</f>
        <v>3300886294.48</v>
      </c>
      <c r="L14" s="20">
        <f>SUM(L3:L5)</f>
        <v>2477498248.96</v>
      </c>
      <c r="M14" s="21">
        <f>IF(K14&gt;0,L14/K14*100,"-")</f>
        <v>75.055546539214816</v>
      </c>
      <c r="N14" s="20">
        <f>SUM(N3:N5)</f>
        <v>3207586537.9400001</v>
      </c>
      <c r="O14" s="20">
        <f>SUM(O3:O5)</f>
        <v>2412867580.7399998</v>
      </c>
      <c r="P14" s="21">
        <f>IF(N14&gt;0,O14/N14*100,"-")</f>
        <v>75.223771898282422</v>
      </c>
      <c r="Q14" s="20">
        <f>SUM(Q3:Q5)</f>
        <v>3344754769.0299997</v>
      </c>
      <c r="R14" s="20">
        <f>SUM(R3:R5)</f>
        <v>2734617944.4200001</v>
      </c>
      <c r="S14" s="21">
        <f>IF(Q14&gt;0,R14/Q14*100,"-")</f>
        <v>81.758398844081981</v>
      </c>
      <c r="T14" s="20">
        <f>SUM(T3:T5)</f>
        <v>3320104143.3699999</v>
      </c>
      <c r="U14" s="20">
        <f>SUM(U3:U5)</f>
        <v>2642031891.29</v>
      </c>
      <c r="V14" s="21">
        <f>IF(T14&gt;0,U14/T14*100,"-")</f>
        <v>79.576777631085477</v>
      </c>
      <c r="W14" s="20">
        <f>SUM(W3:W5)</f>
        <v>3443505453.6500001</v>
      </c>
      <c r="X14" s="20">
        <f>SUM(X3:X5)</f>
        <v>2576968030.5</v>
      </c>
      <c r="Y14" s="21">
        <f>IF(W14&gt;0,X14/W14*100,"-")</f>
        <v>74.83560183616089</v>
      </c>
      <c r="Z14" s="14">
        <f t="shared" si="8"/>
        <v>3.7167903460625809</v>
      </c>
      <c r="AA14" s="14">
        <f t="shared" si="8"/>
        <v>-2.4626447926119397</v>
      </c>
    </row>
    <row r="15" spans="1:27" x14ac:dyDescent="0.3">
      <c r="A15" t="s">
        <v>32</v>
      </c>
      <c r="B15" s="31">
        <f t="shared" ref="B15:C15" si="12">SUM(B6:B10)</f>
        <v>210510228.94999999</v>
      </c>
      <c r="C15" s="31">
        <f t="shared" si="12"/>
        <v>153113125.02000001</v>
      </c>
      <c r="D15" s="21">
        <f>IF(B15&gt;0,C15/B15*100,"-")</f>
        <v>72.734292192693005</v>
      </c>
      <c r="E15" s="31">
        <f t="shared" ref="E15:F15" si="13">SUM(E6:E10)</f>
        <v>286923976.81</v>
      </c>
      <c r="F15" s="31">
        <f t="shared" si="13"/>
        <v>263388481.97999999</v>
      </c>
      <c r="G15" s="21">
        <f>IF(E15&gt;0,F15/E15*100,"-")</f>
        <v>91.797306348648192</v>
      </c>
      <c r="H15" s="28">
        <f t="shared" ref="H15:I15" si="14">SUM(H6:H10)</f>
        <v>492645212.56</v>
      </c>
      <c r="I15" s="22">
        <f t="shared" si="14"/>
        <v>452858775.03000003</v>
      </c>
      <c r="J15" s="21">
        <f>IF(H15&gt;0,I15/H15*100,"-")</f>
        <v>91.923916742587991</v>
      </c>
      <c r="K15" s="22">
        <f>SUM(K6:K10)</f>
        <v>590977709.38999999</v>
      </c>
      <c r="L15" s="22">
        <f>SUM(L6:L10)</f>
        <v>434780561.63999999</v>
      </c>
      <c r="M15" s="21">
        <f>IF(K15&gt;0,L15/K15*100,"-")</f>
        <v>73.569705715089526</v>
      </c>
      <c r="N15" s="22">
        <f>SUM(N6:N10)</f>
        <v>514497918.45000005</v>
      </c>
      <c r="O15" s="22">
        <f>SUM(O6:O10)</f>
        <v>460290741.81</v>
      </c>
      <c r="P15" s="21">
        <f>IF(N15&gt;0,O15/N15*100,"-")</f>
        <v>89.464062983324197</v>
      </c>
      <c r="Q15" s="22">
        <f>SUM(Q6:Q10)</f>
        <v>444297474.00999999</v>
      </c>
      <c r="R15" s="22">
        <f>SUM(R6:R10)</f>
        <v>331133716.67999995</v>
      </c>
      <c r="S15" s="21">
        <f>IF(Q15&gt;0,R15/Q15*100,"-")</f>
        <v>74.529732003956212</v>
      </c>
      <c r="T15" s="22">
        <f>SUM(T6:T10)</f>
        <v>498936327.72999996</v>
      </c>
      <c r="U15" s="22">
        <f>SUM(U6:U10)</f>
        <v>380640276.72999996</v>
      </c>
      <c r="V15" s="21">
        <f>IF(T15&gt;0,U15/T15*100,"-")</f>
        <v>76.290351208097235</v>
      </c>
      <c r="W15" s="22">
        <f>SUM(W6:W10)</f>
        <v>574274495.83000004</v>
      </c>
      <c r="X15" s="22">
        <f>SUM(X6:X10)</f>
        <v>403172081.64999998</v>
      </c>
      <c r="Y15" s="21">
        <f>IF(W15&gt;0,X15/W15*100,"-")</f>
        <v>70.205465257044821</v>
      </c>
      <c r="Z15" s="14">
        <f t="shared" si="8"/>
        <v>15.099756003489389</v>
      </c>
      <c r="AA15" s="14">
        <f t="shared" si="8"/>
        <v>5.9194484392366462</v>
      </c>
    </row>
    <row r="16" spans="1:27" x14ac:dyDescent="0.3">
      <c r="A16" t="s">
        <v>33</v>
      </c>
      <c r="B16" s="32">
        <f t="shared" ref="B16:C16" si="15">SUM(B11:B13)</f>
        <v>115127158.14</v>
      </c>
      <c r="C16" s="32">
        <f t="shared" si="15"/>
        <v>115127158.14</v>
      </c>
      <c r="D16" s="21">
        <f t="shared" si="0"/>
        <v>100</v>
      </c>
      <c r="E16" s="32">
        <f t="shared" ref="E16:F16" si="16">SUM(E11:E13)</f>
        <v>184292302.02000001</v>
      </c>
      <c r="F16" s="32">
        <f t="shared" si="16"/>
        <v>184292302.02000001</v>
      </c>
      <c r="G16" s="21">
        <f t="shared" si="1"/>
        <v>100</v>
      </c>
      <c r="H16" s="27">
        <f t="shared" ref="H16:I16" si="17">SUM(H11:H13)</f>
        <v>200398026.51999998</v>
      </c>
      <c r="I16" s="20">
        <f t="shared" si="17"/>
        <v>199395016.28999999</v>
      </c>
      <c r="J16" s="21">
        <f t="shared" si="2"/>
        <v>99.499490964348453</v>
      </c>
      <c r="K16" s="20">
        <f t="shared" ref="K16:L16" si="18">SUM(K11:K13)</f>
        <v>108595799.92999999</v>
      </c>
      <c r="L16" s="20">
        <f t="shared" si="18"/>
        <v>101323079.33</v>
      </c>
      <c r="M16" s="21">
        <f t="shared" ref="M16:M21" si="19">IF(K16&gt;0,L16/K16*100,"-")</f>
        <v>93.30294486095417</v>
      </c>
      <c r="N16" s="20">
        <f t="shared" ref="N16:O16" si="20">SUM(N11:N13)</f>
        <v>25937779.629999999</v>
      </c>
      <c r="O16" s="20">
        <f t="shared" si="20"/>
        <v>25937779.629999999</v>
      </c>
      <c r="P16" s="21">
        <f t="shared" ref="P16:P21" si="21">IF(N16&gt;0,O16/N16*100,"-")</f>
        <v>100</v>
      </c>
      <c r="Q16" s="20">
        <f t="shared" ref="Q16:R16" si="22">SUM(Q11:Q13)</f>
        <v>100030000</v>
      </c>
      <c r="R16" s="20">
        <f t="shared" si="22"/>
        <v>20000000</v>
      </c>
      <c r="S16" s="21">
        <f t="shared" ref="S16:S21" si="23">IF(Q16&gt;0,R16/Q16*100,"-")</f>
        <v>19.994001799460161</v>
      </c>
      <c r="T16" s="20">
        <f t="shared" ref="T16:U16" si="24">SUM(T11:T13)</f>
        <v>50000000</v>
      </c>
      <c r="U16" s="20">
        <f t="shared" si="24"/>
        <v>0</v>
      </c>
      <c r="V16" s="21">
        <f t="shared" ref="V16:V21" si="25">IF(T16&gt;0,U16/T16*100,"-")</f>
        <v>0</v>
      </c>
      <c r="W16" s="20">
        <f t="shared" ref="W16:X16" si="26">SUM(W11:W13)</f>
        <v>50000000</v>
      </c>
      <c r="X16" s="20">
        <f t="shared" si="26"/>
        <v>0</v>
      </c>
      <c r="Y16" s="21">
        <f t="shared" ref="Y16:Y21" si="27">IF(W16&gt;0,X16/W16*100,"-")</f>
        <v>0</v>
      </c>
      <c r="Z16" s="14">
        <f t="shared" si="8"/>
        <v>0</v>
      </c>
      <c r="AA16" s="14" t="str">
        <f t="shared" si="8"/>
        <v>-</v>
      </c>
    </row>
    <row r="17" spans="1:27" x14ac:dyDescent="0.3">
      <c r="A17" t="s">
        <v>34</v>
      </c>
      <c r="B17" s="32">
        <v>105318647.73</v>
      </c>
      <c r="C17" s="32">
        <v>91344805.680000007</v>
      </c>
      <c r="D17" s="21">
        <f t="shared" si="0"/>
        <v>86.731844406297341</v>
      </c>
      <c r="E17" s="32">
        <v>110842728.59999999</v>
      </c>
      <c r="F17" s="32">
        <v>103209299.22</v>
      </c>
      <c r="G17" s="21">
        <f t="shared" si="1"/>
        <v>93.113279078912896</v>
      </c>
      <c r="H17" s="27">
        <v>127382266.7</v>
      </c>
      <c r="I17" s="20">
        <v>124923947.29000001</v>
      </c>
      <c r="J17" s="21">
        <f t="shared" si="2"/>
        <v>98.070124300904752</v>
      </c>
      <c r="K17" s="20">
        <v>116735338.52</v>
      </c>
      <c r="L17" s="20">
        <v>105282087.20999999</v>
      </c>
      <c r="M17" s="21">
        <f t="shared" si="19"/>
        <v>90.188702534119315</v>
      </c>
      <c r="N17" s="20">
        <v>126554494.91</v>
      </c>
      <c r="O17" s="20">
        <v>120251845.37</v>
      </c>
      <c r="P17" s="21">
        <f t="shared" si="21"/>
        <v>95.019813761271649</v>
      </c>
      <c r="Q17" s="20">
        <v>96163361.959999993</v>
      </c>
      <c r="R17" s="20">
        <v>87839219.829999998</v>
      </c>
      <c r="S17" s="21">
        <f t="shared" si="23"/>
        <v>91.343748845363265</v>
      </c>
      <c r="T17" s="20">
        <v>98910164.510000005</v>
      </c>
      <c r="U17" s="20">
        <v>60620048.039999999</v>
      </c>
      <c r="V17" s="21">
        <f t="shared" si="25"/>
        <v>61.287986265426944</v>
      </c>
      <c r="W17" s="1">
        <v>160382447.94</v>
      </c>
      <c r="X17" s="1">
        <v>151611019.5</v>
      </c>
      <c r="Y17" s="21">
        <f t="shared" si="27"/>
        <v>94.53092994111087</v>
      </c>
      <c r="Z17" s="14">
        <f t="shared" si="8"/>
        <v>62.149611958015726</v>
      </c>
      <c r="AA17" s="14">
        <f t="shared" si="8"/>
        <v>150.10046082437913</v>
      </c>
    </row>
    <row r="18" spans="1:27" x14ac:dyDescent="0.3">
      <c r="A18" t="s">
        <v>35</v>
      </c>
      <c r="B18" s="32">
        <v>0</v>
      </c>
      <c r="C18" s="32">
        <v>0</v>
      </c>
      <c r="D18" s="21" t="str">
        <f t="shared" si="0"/>
        <v>-</v>
      </c>
      <c r="E18" s="32">
        <v>0</v>
      </c>
      <c r="F18" s="32">
        <v>0</v>
      </c>
      <c r="G18" s="21" t="str">
        <f t="shared" si="1"/>
        <v>-</v>
      </c>
      <c r="H18" s="27">
        <v>0</v>
      </c>
      <c r="I18" s="20">
        <v>0</v>
      </c>
      <c r="J18" s="21" t="str">
        <f t="shared" si="2"/>
        <v>-</v>
      </c>
      <c r="K18" s="20">
        <v>0</v>
      </c>
      <c r="L18" s="20">
        <v>0</v>
      </c>
      <c r="M18" s="21" t="str">
        <f t="shared" si="19"/>
        <v>-</v>
      </c>
      <c r="N18" s="20">
        <v>0</v>
      </c>
      <c r="O18" s="20">
        <v>0</v>
      </c>
      <c r="P18" s="21" t="str">
        <f t="shared" si="21"/>
        <v>-</v>
      </c>
      <c r="Q18" s="20">
        <v>0</v>
      </c>
      <c r="R18" s="20">
        <v>0</v>
      </c>
      <c r="S18" s="21" t="str">
        <f t="shared" si="23"/>
        <v>-</v>
      </c>
      <c r="T18" s="20">
        <v>0</v>
      </c>
      <c r="U18" s="20">
        <v>0</v>
      </c>
      <c r="V18" s="21" t="str">
        <f t="shared" si="25"/>
        <v>-</v>
      </c>
      <c r="W18" s="20">
        <v>0</v>
      </c>
      <c r="X18" s="20">
        <v>0</v>
      </c>
      <c r="Y18" s="21" t="str">
        <f t="shared" si="27"/>
        <v>-</v>
      </c>
      <c r="Z18" s="14" t="str">
        <f t="shared" si="8"/>
        <v>-</v>
      </c>
      <c r="AA18" s="14" t="str">
        <f t="shared" si="8"/>
        <v>-</v>
      </c>
    </row>
    <row r="19" spans="1:27" x14ac:dyDescent="0.3">
      <c r="A19" t="s">
        <v>36</v>
      </c>
      <c r="B19" s="32">
        <v>327032683.56</v>
      </c>
      <c r="C19" s="32">
        <v>315347752.75999999</v>
      </c>
      <c r="D19" s="21">
        <f t="shared" si="0"/>
        <v>96.426983788653587</v>
      </c>
      <c r="E19" s="32">
        <v>323991858.5</v>
      </c>
      <c r="F19" s="32">
        <v>313908048.88</v>
      </c>
      <c r="G19" s="21">
        <f t="shared" si="1"/>
        <v>96.887634872467018</v>
      </c>
      <c r="H19" s="27">
        <v>328229834.32999998</v>
      </c>
      <c r="I19" s="20">
        <v>297331780.06999999</v>
      </c>
      <c r="J19" s="21">
        <f t="shared" si="2"/>
        <v>90.586457710929679</v>
      </c>
      <c r="K19" s="20">
        <v>355605621.48000002</v>
      </c>
      <c r="L19" s="20">
        <v>333766654.37</v>
      </c>
      <c r="M19" s="21">
        <f t="shared" si="19"/>
        <v>93.858655265597861</v>
      </c>
      <c r="N19" s="20">
        <v>319606143.70999998</v>
      </c>
      <c r="O19" s="20">
        <v>298930811.82999998</v>
      </c>
      <c r="P19" s="21">
        <f t="shared" si="21"/>
        <v>93.53099673241573</v>
      </c>
      <c r="Q19" s="20">
        <v>359295760.06999999</v>
      </c>
      <c r="R19" s="20">
        <v>345157179.51999998</v>
      </c>
      <c r="S19" s="21">
        <f t="shared" si="23"/>
        <v>96.064918621014215</v>
      </c>
      <c r="T19" s="20">
        <v>280590783.19999999</v>
      </c>
      <c r="U19" s="20">
        <v>277297779.52999997</v>
      </c>
      <c r="V19" s="21">
        <f t="shared" si="25"/>
        <v>98.826403478957886</v>
      </c>
      <c r="W19" s="1">
        <v>623674033.92999995</v>
      </c>
      <c r="X19" s="1">
        <v>620139299.84000003</v>
      </c>
      <c r="Y19" s="21">
        <f t="shared" si="27"/>
        <v>99.433240138646426</v>
      </c>
      <c r="Z19" s="14">
        <f t="shared" si="8"/>
        <v>122.27174635506702</v>
      </c>
      <c r="AA19" s="14">
        <f t="shared" si="8"/>
        <v>123.63659056018844</v>
      </c>
    </row>
    <row r="20" spans="1:27" x14ac:dyDescent="0.3">
      <c r="A20" t="s">
        <v>37</v>
      </c>
      <c r="B20" s="32">
        <f t="shared" ref="B20:C20" si="28">B14+B15+B16+B17+B18+B19</f>
        <v>3916769991.0699997</v>
      </c>
      <c r="C20" s="32">
        <f t="shared" si="28"/>
        <v>3142636785.2299995</v>
      </c>
      <c r="D20" s="21">
        <f t="shared" si="0"/>
        <v>80.235418275646069</v>
      </c>
      <c r="E20" s="32">
        <f t="shared" ref="E20:F20" si="29">E14+E15+E16+E17+E18+E19</f>
        <v>4083922811.73</v>
      </c>
      <c r="F20" s="32">
        <f t="shared" si="29"/>
        <v>3169339393.02</v>
      </c>
      <c r="G20" s="21">
        <f t="shared" si="1"/>
        <v>77.605271674501324</v>
      </c>
      <c r="H20" s="27">
        <f t="shared" ref="H20:I20" si="30">H14+H15+H16+H17+H18+H19</f>
        <v>4429502405.3899994</v>
      </c>
      <c r="I20" s="20">
        <f t="shared" si="30"/>
        <v>3512542026.8200002</v>
      </c>
      <c r="J20" s="21">
        <f t="shared" si="2"/>
        <v>79.298794883727695</v>
      </c>
      <c r="K20" s="20">
        <f t="shared" ref="K20:L20" si="31">K14+K15+K16+K17+K18+K19</f>
        <v>4472800763.7999992</v>
      </c>
      <c r="L20" s="20">
        <f t="shared" si="31"/>
        <v>3452650631.5099998</v>
      </c>
      <c r="M20" s="21">
        <f t="shared" si="19"/>
        <v>77.192140089349721</v>
      </c>
      <c r="N20" s="20">
        <f t="shared" ref="N20:O20" si="32">N14+N15+N16+N17+N18+N19</f>
        <v>4194182874.6400003</v>
      </c>
      <c r="O20" s="20">
        <f t="shared" si="32"/>
        <v>3318278759.3799996</v>
      </c>
      <c r="P20" s="21">
        <f t="shared" si="21"/>
        <v>79.116215447921263</v>
      </c>
      <c r="Q20" s="20">
        <f t="shared" ref="Q20:R20" si="33">Q14+Q15+Q16+Q17+Q18+Q19</f>
        <v>4344541365.0699997</v>
      </c>
      <c r="R20" s="20">
        <f t="shared" si="33"/>
        <v>3518748060.4499998</v>
      </c>
      <c r="S20" s="21">
        <f t="shared" si="23"/>
        <v>80.992394012878862</v>
      </c>
      <c r="T20" s="20">
        <f t="shared" ref="T20:U20" si="34">T14+T15+T16+T17+T18+T19</f>
        <v>4248541418.8099999</v>
      </c>
      <c r="U20" s="20">
        <f t="shared" si="34"/>
        <v>3360589995.5900002</v>
      </c>
      <c r="V20" s="21">
        <f t="shared" si="25"/>
        <v>79.099852497878871</v>
      </c>
      <c r="W20" s="20">
        <f t="shared" ref="W20:X20" si="35">W14+W15+W16+W17+W18+W19</f>
        <v>4851836431.3500004</v>
      </c>
      <c r="X20" s="20">
        <f t="shared" si="35"/>
        <v>3751890431.4900002</v>
      </c>
      <c r="Y20" s="21">
        <f t="shared" si="27"/>
        <v>77.329285201110025</v>
      </c>
      <c r="Z20" s="14">
        <f t="shared" si="8"/>
        <v>14.200050160014243</v>
      </c>
      <c r="AA20" s="14">
        <f t="shared" si="8"/>
        <v>11.643801725693748</v>
      </c>
    </row>
    <row r="21" spans="1:27" x14ac:dyDescent="0.3">
      <c r="A21" t="s">
        <v>38</v>
      </c>
      <c r="B21" s="32">
        <f t="shared" ref="B21:C21" si="36">B20-B19</f>
        <v>3589737307.5099998</v>
      </c>
      <c r="C21" s="32">
        <f t="shared" si="36"/>
        <v>2827289032.4699993</v>
      </c>
      <c r="D21" s="21">
        <f t="shared" si="0"/>
        <v>78.760332310531439</v>
      </c>
      <c r="E21" s="32">
        <f t="shared" ref="E21:F21" si="37">E20-E19</f>
        <v>3759930953.23</v>
      </c>
      <c r="F21" s="32">
        <f t="shared" si="37"/>
        <v>2855431344.1399999</v>
      </c>
      <c r="G21" s="21">
        <f t="shared" si="1"/>
        <v>75.943717575106476</v>
      </c>
      <c r="H21" s="27">
        <f t="shared" ref="H21:I21" si="38">H20-H19</f>
        <v>4101272571.0599995</v>
      </c>
      <c r="I21" s="20">
        <f t="shared" si="38"/>
        <v>3215210246.75</v>
      </c>
      <c r="J21" s="21">
        <f t="shared" si="2"/>
        <v>78.39542949272959</v>
      </c>
      <c r="K21" s="20">
        <f t="shared" ref="K21:L21" si="39">K20-K19</f>
        <v>4117195142.3199992</v>
      </c>
      <c r="L21" s="20">
        <f t="shared" si="39"/>
        <v>3118883977.1399999</v>
      </c>
      <c r="M21" s="21">
        <f t="shared" si="19"/>
        <v>75.752639098435822</v>
      </c>
      <c r="N21" s="20">
        <f t="shared" ref="N21:O21" si="40">N20-N19</f>
        <v>3874576730.9300003</v>
      </c>
      <c r="O21" s="20">
        <f t="shared" si="40"/>
        <v>3019347947.5499997</v>
      </c>
      <c r="P21" s="21">
        <f t="shared" si="21"/>
        <v>77.927168752321421</v>
      </c>
      <c r="Q21" s="20">
        <f t="shared" ref="Q21:R21" si="41">Q20-Q19</f>
        <v>3985245604.9999995</v>
      </c>
      <c r="R21" s="20">
        <f t="shared" si="41"/>
        <v>3173590880.9299998</v>
      </c>
      <c r="S21" s="21">
        <f t="shared" si="23"/>
        <v>79.633508081617975</v>
      </c>
      <c r="T21" s="20">
        <f t="shared" ref="T21:U21" si="42">T20-T19</f>
        <v>3967950635.6100001</v>
      </c>
      <c r="U21" s="20">
        <f t="shared" si="42"/>
        <v>3083292216.0600004</v>
      </c>
      <c r="V21" s="21">
        <f t="shared" si="25"/>
        <v>77.704903594043842</v>
      </c>
      <c r="W21" s="20">
        <f t="shared" ref="W21:X21" si="43">W20-W19</f>
        <v>4228162397.4200006</v>
      </c>
      <c r="X21" s="20">
        <f t="shared" si="43"/>
        <v>3131751131.6500001</v>
      </c>
      <c r="Y21" s="21">
        <f t="shared" si="27"/>
        <v>74.068846872129981</v>
      </c>
      <c r="Z21" s="14">
        <f t="shared" si="8"/>
        <v>6.557837677584871</v>
      </c>
      <c r="AA21" s="14">
        <f t="shared" si="8"/>
        <v>1.571661464248848</v>
      </c>
    </row>
    <row r="22" spans="1:27" x14ac:dyDescent="0.3">
      <c r="B22" s="13" t="s">
        <v>75</v>
      </c>
      <c r="C22" s="13" t="s">
        <v>76</v>
      </c>
      <c r="D22" s="19"/>
      <c r="E22" s="13" t="s">
        <v>75</v>
      </c>
      <c r="F22" s="13" t="s">
        <v>76</v>
      </c>
      <c r="G22" s="19"/>
      <c r="H22" s="26" t="s">
        <v>75</v>
      </c>
      <c r="I22" s="96" t="s">
        <v>76</v>
      </c>
      <c r="J22" s="19"/>
      <c r="K22" s="104" t="s">
        <v>75</v>
      </c>
      <c r="L22" s="104" t="s">
        <v>76</v>
      </c>
      <c r="M22" s="105"/>
      <c r="N22" s="120" t="s">
        <v>75</v>
      </c>
      <c r="O22" s="120" t="s">
        <v>76</v>
      </c>
      <c r="P22" s="121"/>
      <c r="Q22" s="127" t="s">
        <v>75</v>
      </c>
      <c r="R22" s="127" t="s">
        <v>76</v>
      </c>
      <c r="S22" s="128"/>
      <c r="T22" s="144" t="s">
        <v>75</v>
      </c>
      <c r="U22" s="144" t="s">
        <v>76</v>
      </c>
      <c r="V22" s="145"/>
      <c r="W22" s="144" t="s">
        <v>75</v>
      </c>
      <c r="X22" s="144" t="s">
        <v>76</v>
      </c>
      <c r="Y22" s="101"/>
    </row>
    <row r="23" spans="1:27" x14ac:dyDescent="0.3">
      <c r="A23" s="5" t="s">
        <v>39</v>
      </c>
      <c r="B23" s="31">
        <v>618928844.37</v>
      </c>
      <c r="C23" s="31">
        <v>566287673.82000005</v>
      </c>
      <c r="D23" s="21">
        <f>IF(B23&gt;0,C23/B23*100,"-")</f>
        <v>91.494794429304278</v>
      </c>
      <c r="E23" s="41">
        <v>589850807.96000004</v>
      </c>
      <c r="F23" s="41">
        <v>560829012.83000004</v>
      </c>
      <c r="G23" s="21">
        <f>IF(E23&gt;0,F23/E23*100,"-")</f>
        <v>95.079807514315036</v>
      </c>
      <c r="H23" s="28">
        <v>609194056.00999999</v>
      </c>
      <c r="I23" s="22">
        <v>585060938.38999999</v>
      </c>
      <c r="J23" s="21">
        <f>IF(H23&gt;0,I23/H23*100,"-")</f>
        <v>96.038517220922486</v>
      </c>
      <c r="K23" s="22">
        <v>595552191.73000002</v>
      </c>
      <c r="L23" s="22">
        <v>573965409.17999995</v>
      </c>
      <c r="M23" s="21">
        <f>IF(K23&gt;0,L23/K23*100,"-")</f>
        <v>96.375333203410207</v>
      </c>
      <c r="N23" s="22">
        <v>582310096.12</v>
      </c>
      <c r="O23" s="22">
        <v>558987014.88999999</v>
      </c>
      <c r="P23" s="21">
        <f>IF(N23&gt;0,O23/N23*100,"-")</f>
        <v>95.994731778582505</v>
      </c>
      <c r="Q23" s="22">
        <v>580139636.25</v>
      </c>
      <c r="R23" s="22">
        <v>559519787.25</v>
      </c>
      <c r="S23" s="21">
        <f>IF(Q23&gt;0,R23/Q23*100,"-")</f>
        <v>96.445709323830059</v>
      </c>
      <c r="T23" s="22">
        <v>612297567.13999999</v>
      </c>
      <c r="U23" s="22">
        <v>553364349.39999998</v>
      </c>
      <c r="V23" s="21">
        <f>IF(T23&gt;0,U23/T23*100,"-")</f>
        <v>90.375069099935672</v>
      </c>
      <c r="W23" s="1">
        <v>604048901.82000005</v>
      </c>
      <c r="X23" s="1">
        <v>577978407.73000002</v>
      </c>
      <c r="Y23" s="21">
        <f>IF(W23&gt;0,X23/W23*100,"-")</f>
        <v>95.68404246552727</v>
      </c>
      <c r="Z23" s="14">
        <f t="shared" si="8"/>
        <v>-1.3471661105120631</v>
      </c>
      <c r="AA23" s="14">
        <f t="shared" si="8"/>
        <v>4.4480744660707643</v>
      </c>
    </row>
    <row r="24" spans="1:27" x14ac:dyDescent="0.3">
      <c r="A24" s="5" t="s">
        <v>40</v>
      </c>
      <c r="B24" s="31">
        <v>36824823.539999999</v>
      </c>
      <c r="C24" s="31">
        <v>30291667.34</v>
      </c>
      <c r="D24" s="21">
        <f t="shared" ref="D24:D55" si="44">IF(B24&gt;0,C24/B24*100,"-")</f>
        <v>82.258825509636097</v>
      </c>
      <c r="E24" s="31">
        <v>35810590.310000002</v>
      </c>
      <c r="F24" s="31">
        <v>29562570.34</v>
      </c>
      <c r="G24" s="21">
        <f t="shared" ref="G24:G55" si="45">IF(E24&gt;0,F24/E24*100,"-")</f>
        <v>82.55259152135433</v>
      </c>
      <c r="H24" s="28">
        <v>42497848.049999997</v>
      </c>
      <c r="I24" s="22">
        <v>31131355.510000002</v>
      </c>
      <c r="J24" s="21">
        <f t="shared" ref="J24:J55" si="46">IF(H24&gt;0,I24/H24*100,"-")</f>
        <v>73.253957408321071</v>
      </c>
      <c r="K24" s="22">
        <v>43168556.149999999</v>
      </c>
      <c r="L24" s="22">
        <v>37407240.789999999</v>
      </c>
      <c r="M24" s="21">
        <f t="shared" ref="M24:M55" si="47">IF(K24&gt;0,L24/K24*100,"-")</f>
        <v>86.653907673027419</v>
      </c>
      <c r="N24" s="22">
        <v>40937407.350000001</v>
      </c>
      <c r="O24" s="22">
        <v>29415456.010000002</v>
      </c>
      <c r="P24" s="21">
        <f t="shared" ref="P24:P55" si="48">IF(N24&gt;0,O24/N24*100,"-")</f>
        <v>71.854711654083289</v>
      </c>
      <c r="Q24" s="22">
        <v>39459137.390000001</v>
      </c>
      <c r="R24" s="22">
        <v>34202001.670000002</v>
      </c>
      <c r="S24" s="21">
        <f t="shared" ref="S24:S55" si="49">IF(Q24&gt;0,R24/Q24*100,"-")</f>
        <v>86.677013062803809</v>
      </c>
      <c r="T24" s="22">
        <v>41043941.719999999</v>
      </c>
      <c r="U24" s="22">
        <v>29429533.370000001</v>
      </c>
      <c r="V24" s="21">
        <f t="shared" ref="V24:V55" si="50">IF(T24&gt;0,U24/T24*100,"-")</f>
        <v>71.702502578253842</v>
      </c>
      <c r="W24" s="1">
        <v>40364968.619999997</v>
      </c>
      <c r="X24" s="1">
        <v>30557972.370000001</v>
      </c>
      <c r="Y24" s="21">
        <f t="shared" ref="Y24:Y55" si="51">IF(W24&gt;0,X24/W24*100,"-")</f>
        <v>75.704189584973847</v>
      </c>
      <c r="Z24" s="14">
        <f t="shared" si="8"/>
        <v>-1.6542590003463289</v>
      </c>
      <c r="AA24" s="14">
        <f t="shared" si="8"/>
        <v>3.8343761207926974</v>
      </c>
    </row>
    <row r="25" spans="1:27" x14ac:dyDescent="0.3">
      <c r="A25" s="5" t="s">
        <v>41</v>
      </c>
      <c r="B25" s="31">
        <v>1790280542.6900001</v>
      </c>
      <c r="C25" s="31">
        <v>1317977598.4400001</v>
      </c>
      <c r="D25" s="21">
        <f t="shared" si="44"/>
        <v>73.618495370544693</v>
      </c>
      <c r="E25" s="31">
        <v>1758184144.8</v>
      </c>
      <c r="F25" s="31">
        <v>1316884754.5</v>
      </c>
      <c r="G25" s="21">
        <f t="shared" si="45"/>
        <v>74.900274717799846</v>
      </c>
      <c r="H25" s="28">
        <v>1797181180.9000001</v>
      </c>
      <c r="I25" s="22">
        <v>1338109827.8800001</v>
      </c>
      <c r="J25" s="21">
        <f t="shared" si="46"/>
        <v>74.456033821247544</v>
      </c>
      <c r="K25" s="22">
        <v>1805230346.0899999</v>
      </c>
      <c r="L25" s="22">
        <v>1376603566.72</v>
      </c>
      <c r="M25" s="21">
        <f t="shared" si="47"/>
        <v>76.256394077444185</v>
      </c>
      <c r="N25" s="22">
        <v>1734040341.6400001</v>
      </c>
      <c r="O25" s="22">
        <v>1316743130.1199999</v>
      </c>
      <c r="P25" s="21">
        <f t="shared" si="48"/>
        <v>75.934976741928978</v>
      </c>
      <c r="Q25" s="22">
        <v>1857246522.4000001</v>
      </c>
      <c r="R25" s="22">
        <v>1425751956.4000001</v>
      </c>
      <c r="S25" s="21">
        <f t="shared" si="49"/>
        <v>76.766974077172733</v>
      </c>
      <c r="T25" s="22">
        <v>1969559600.52</v>
      </c>
      <c r="U25" s="22">
        <v>1496195195.4300001</v>
      </c>
      <c r="V25" s="21">
        <f t="shared" si="50"/>
        <v>75.965977116659829</v>
      </c>
      <c r="W25" s="1">
        <v>1963371333.1400001</v>
      </c>
      <c r="X25" s="1">
        <v>1501920160.5</v>
      </c>
      <c r="Y25" s="21">
        <f t="shared" si="51"/>
        <v>76.496999581734443</v>
      </c>
      <c r="Z25" s="14">
        <f t="shared" si="8"/>
        <v>-0.31419548707060585</v>
      </c>
      <c r="AA25" s="14">
        <f t="shared" si="8"/>
        <v>0.38263490535770472</v>
      </c>
    </row>
    <row r="26" spans="1:27" x14ac:dyDescent="0.3">
      <c r="A26" s="5" t="s">
        <v>42</v>
      </c>
      <c r="B26" s="31">
        <v>135803143.08000001</v>
      </c>
      <c r="C26" s="31">
        <v>55056378.020000003</v>
      </c>
      <c r="D26" s="21">
        <f t="shared" si="44"/>
        <v>40.541313530252346</v>
      </c>
      <c r="E26" s="31">
        <v>128058241.16</v>
      </c>
      <c r="F26" s="31">
        <v>72326060.290000007</v>
      </c>
      <c r="G26" s="21">
        <f t="shared" si="45"/>
        <v>56.479036128282878</v>
      </c>
      <c r="H26" s="28">
        <v>121858038.44</v>
      </c>
      <c r="I26" s="22">
        <v>64780781.710000001</v>
      </c>
      <c r="J26" s="21">
        <f t="shared" si="46"/>
        <v>53.160860407166751</v>
      </c>
      <c r="K26" s="22">
        <v>125047974.87</v>
      </c>
      <c r="L26" s="22">
        <v>76463064.989999995</v>
      </c>
      <c r="M26" s="21">
        <f t="shared" si="47"/>
        <v>61.146983843193837</v>
      </c>
      <c r="N26" s="22">
        <v>150486257.41</v>
      </c>
      <c r="O26" s="22">
        <v>59379364.859999999</v>
      </c>
      <c r="P26" s="21">
        <f t="shared" si="48"/>
        <v>39.458330535937804</v>
      </c>
      <c r="Q26" s="22">
        <v>190622237.09999999</v>
      </c>
      <c r="R26" s="22">
        <v>130182150.68000001</v>
      </c>
      <c r="S26" s="21">
        <f t="shared" si="49"/>
        <v>68.293265602431646</v>
      </c>
      <c r="T26" s="22">
        <v>167603574.97999999</v>
      </c>
      <c r="U26" s="22">
        <v>82166811.510000005</v>
      </c>
      <c r="V26" s="21">
        <f t="shared" si="50"/>
        <v>49.024498146775755</v>
      </c>
      <c r="W26" s="1">
        <v>146977684.41</v>
      </c>
      <c r="X26" s="1">
        <v>79800046.269999996</v>
      </c>
      <c r="Y26" s="21">
        <f t="shared" si="51"/>
        <v>54.293987954929712</v>
      </c>
      <c r="Z26" s="14">
        <f t="shared" si="8"/>
        <v>-12.306354785368541</v>
      </c>
      <c r="AA26" s="14">
        <f t="shared" si="8"/>
        <v>-2.8804394335198964</v>
      </c>
    </row>
    <row r="27" spans="1:27" x14ac:dyDescent="0.3">
      <c r="A27" s="5" t="s">
        <v>43</v>
      </c>
      <c r="B27" s="31">
        <v>120899663.13</v>
      </c>
      <c r="C27" s="31">
        <v>119984454.51000001</v>
      </c>
      <c r="D27" s="21">
        <f t="shared" si="44"/>
        <v>99.24300151356428</v>
      </c>
      <c r="E27" s="31">
        <v>119921169.42</v>
      </c>
      <c r="F27" s="31">
        <v>119627372.09</v>
      </c>
      <c r="G27" s="21">
        <f t="shared" si="45"/>
        <v>99.755007951122437</v>
      </c>
      <c r="H27" s="28">
        <v>122483747.98999999</v>
      </c>
      <c r="I27" s="22">
        <v>122299807.26000001</v>
      </c>
      <c r="J27" s="21">
        <f t="shared" si="46"/>
        <v>99.84982437832079</v>
      </c>
      <c r="K27" s="22">
        <v>121668222.06</v>
      </c>
      <c r="L27" s="22">
        <v>121260033.02</v>
      </c>
      <c r="M27" s="21">
        <f t="shared" si="47"/>
        <v>99.664506447872057</v>
      </c>
      <c r="N27" s="22">
        <v>119316181.5</v>
      </c>
      <c r="O27" s="22">
        <v>119111329.93000001</v>
      </c>
      <c r="P27" s="21">
        <f t="shared" si="48"/>
        <v>99.828311996390866</v>
      </c>
      <c r="Q27" s="22">
        <v>118264732.64</v>
      </c>
      <c r="R27" s="22">
        <v>118201346.31999999</v>
      </c>
      <c r="S27" s="21">
        <f t="shared" si="49"/>
        <v>99.946403024312445</v>
      </c>
      <c r="T27" s="22">
        <v>118895197.59999999</v>
      </c>
      <c r="U27" s="22">
        <v>118483917.72</v>
      </c>
      <c r="V27" s="21">
        <f t="shared" si="50"/>
        <v>99.654082008102904</v>
      </c>
      <c r="W27" s="1">
        <v>135840074.94</v>
      </c>
      <c r="X27" s="1">
        <v>135114976.55000001</v>
      </c>
      <c r="Y27" s="21">
        <f t="shared" si="51"/>
        <v>99.466211727047224</v>
      </c>
      <c r="Z27" s="14">
        <f t="shared" si="8"/>
        <v>14.251944302248248</v>
      </c>
      <c r="AA27" s="14">
        <f t="shared" si="8"/>
        <v>14.036553778802599</v>
      </c>
    </row>
    <row r="28" spans="1:27" x14ac:dyDescent="0.3">
      <c r="A28" s="5" t="s">
        <v>44</v>
      </c>
      <c r="B28" s="31">
        <v>0</v>
      </c>
      <c r="C28" s="31">
        <v>0</v>
      </c>
      <c r="D28" s="21" t="str">
        <f t="shared" si="44"/>
        <v>-</v>
      </c>
      <c r="E28" s="31">
        <v>0</v>
      </c>
      <c r="F28" s="31">
        <v>0</v>
      </c>
      <c r="G28" s="21" t="str">
        <f t="shared" si="45"/>
        <v>-</v>
      </c>
      <c r="H28" s="28">
        <v>0</v>
      </c>
      <c r="I28" s="22">
        <v>0</v>
      </c>
      <c r="J28" s="21" t="str">
        <f t="shared" si="46"/>
        <v>-</v>
      </c>
      <c r="K28" s="22">
        <v>0</v>
      </c>
      <c r="L28" s="22">
        <v>0</v>
      </c>
      <c r="M28" s="21" t="str">
        <f t="shared" si="47"/>
        <v>-</v>
      </c>
      <c r="N28" s="22">
        <v>0</v>
      </c>
      <c r="O28" s="22">
        <v>0</v>
      </c>
      <c r="P28" s="21" t="str">
        <f t="shared" si="48"/>
        <v>-</v>
      </c>
      <c r="Q28" s="22">
        <v>0</v>
      </c>
      <c r="R28" s="22">
        <v>0</v>
      </c>
      <c r="S28" s="21" t="str">
        <f t="shared" si="49"/>
        <v>-</v>
      </c>
      <c r="T28" s="22">
        <v>0</v>
      </c>
      <c r="U28" s="22">
        <v>0</v>
      </c>
      <c r="V28" s="21" t="str">
        <f t="shared" si="50"/>
        <v>-</v>
      </c>
      <c r="W28" s="1">
        <v>0</v>
      </c>
      <c r="X28" s="1">
        <v>0</v>
      </c>
      <c r="Y28" s="21" t="str">
        <f t="shared" si="51"/>
        <v>-</v>
      </c>
      <c r="Z28" s="14" t="str">
        <f t="shared" si="8"/>
        <v>-</v>
      </c>
      <c r="AA28" s="14" t="str">
        <f t="shared" si="8"/>
        <v>-</v>
      </c>
    </row>
    <row r="29" spans="1:27" x14ac:dyDescent="0.3">
      <c r="A29" s="5" t="s">
        <v>45</v>
      </c>
      <c r="B29" s="31">
        <v>8660453.7200000007</v>
      </c>
      <c r="C29" s="31">
        <v>1733098.17</v>
      </c>
      <c r="D29" s="21">
        <f t="shared" si="44"/>
        <v>20.01163248523196</v>
      </c>
      <c r="E29" s="31">
        <v>2190307.63</v>
      </c>
      <c r="F29" s="31">
        <v>1147463.33</v>
      </c>
      <c r="G29" s="21">
        <f t="shared" si="45"/>
        <v>52.388226853777617</v>
      </c>
      <c r="H29" s="28">
        <v>4002917.98</v>
      </c>
      <c r="I29" s="22">
        <v>2269970.58</v>
      </c>
      <c r="J29" s="21">
        <f t="shared" si="46"/>
        <v>56.707896373135277</v>
      </c>
      <c r="K29" s="22">
        <v>13202294.039999999</v>
      </c>
      <c r="L29" s="22">
        <v>7484132.1100000003</v>
      </c>
      <c r="M29" s="21">
        <f t="shared" si="47"/>
        <v>56.688118650628091</v>
      </c>
      <c r="N29" s="22">
        <v>14016428.35</v>
      </c>
      <c r="O29" s="22">
        <v>7912338.0599999996</v>
      </c>
      <c r="P29" s="21">
        <f t="shared" si="48"/>
        <v>56.450458436510317</v>
      </c>
      <c r="Q29" s="22">
        <v>17759262.559999999</v>
      </c>
      <c r="R29" s="22">
        <v>13232042.529999999</v>
      </c>
      <c r="S29" s="21">
        <f t="shared" si="49"/>
        <v>74.507837728595419</v>
      </c>
      <c r="T29" s="22">
        <v>17982378.739999998</v>
      </c>
      <c r="U29" s="22">
        <v>5344075.4800000004</v>
      </c>
      <c r="V29" s="21">
        <f t="shared" si="50"/>
        <v>29.718401315353461</v>
      </c>
      <c r="W29" s="1">
        <v>17560168.649999999</v>
      </c>
      <c r="X29" s="1">
        <v>3330488</v>
      </c>
      <c r="Y29" s="21">
        <f t="shared" si="51"/>
        <v>18.966150419062178</v>
      </c>
      <c r="Z29" s="14">
        <f t="shared" si="8"/>
        <v>-2.3479101185920257</v>
      </c>
      <c r="AA29" s="14">
        <f t="shared" si="8"/>
        <v>-37.678874251229708</v>
      </c>
    </row>
    <row r="30" spans="1:27" x14ac:dyDescent="0.3">
      <c r="A30" s="5" t="s">
        <v>46</v>
      </c>
      <c r="B30" s="31">
        <v>65869382.170000002</v>
      </c>
      <c r="C30" s="31">
        <v>53370584.229999997</v>
      </c>
      <c r="D30" s="21">
        <f t="shared" si="44"/>
        <v>81.024874489118034</v>
      </c>
      <c r="E30" s="31">
        <v>45240399.710000001</v>
      </c>
      <c r="F30" s="31">
        <v>40797071.100000001</v>
      </c>
      <c r="G30" s="21">
        <f t="shared" si="45"/>
        <v>90.178405499326658</v>
      </c>
      <c r="H30" s="28">
        <v>37147991.990000002</v>
      </c>
      <c r="I30" s="22">
        <v>35081536.009999998</v>
      </c>
      <c r="J30" s="21">
        <f t="shared" si="46"/>
        <v>94.437233698778982</v>
      </c>
      <c r="K30" s="22">
        <v>15656696.710000001</v>
      </c>
      <c r="L30" s="22">
        <v>11997581.859999999</v>
      </c>
      <c r="M30" s="21">
        <f t="shared" si="47"/>
        <v>76.629074971715411</v>
      </c>
      <c r="N30" s="22">
        <v>14212028.560000001</v>
      </c>
      <c r="O30" s="22">
        <v>6333349.8499999996</v>
      </c>
      <c r="P30" s="21">
        <f t="shared" si="48"/>
        <v>44.563306520684328</v>
      </c>
      <c r="Q30" s="22">
        <v>18123041.399999999</v>
      </c>
      <c r="R30" s="22">
        <v>15892555.15</v>
      </c>
      <c r="S30" s="21">
        <f t="shared" si="49"/>
        <v>87.692539012795066</v>
      </c>
      <c r="T30" s="22">
        <v>19934247.219999999</v>
      </c>
      <c r="U30" s="22">
        <v>18894924.510000002</v>
      </c>
      <c r="V30" s="21">
        <f t="shared" si="50"/>
        <v>94.786245507393701</v>
      </c>
      <c r="W30" s="1">
        <v>33064229.420000002</v>
      </c>
      <c r="X30" s="1">
        <v>29974741.59</v>
      </c>
      <c r="Y30" s="21">
        <f t="shared" si="51"/>
        <v>90.656102125485432</v>
      </c>
      <c r="Z30" s="14">
        <f t="shared" si="8"/>
        <v>65.866456129964689</v>
      </c>
      <c r="AA30" s="14">
        <f t="shared" si="8"/>
        <v>58.639118003017614</v>
      </c>
    </row>
    <row r="31" spans="1:27" x14ac:dyDescent="0.3">
      <c r="A31" s="5" t="s">
        <v>47</v>
      </c>
      <c r="B31" s="32">
        <v>0</v>
      </c>
      <c r="C31" s="32">
        <v>0</v>
      </c>
      <c r="D31" s="21" t="str">
        <f t="shared" si="44"/>
        <v>-</v>
      </c>
      <c r="E31" s="32">
        <v>0</v>
      </c>
      <c r="F31" s="32">
        <v>0</v>
      </c>
      <c r="G31" s="21" t="str">
        <f t="shared" si="45"/>
        <v>-</v>
      </c>
      <c r="H31" s="27">
        <v>0</v>
      </c>
      <c r="I31" s="20">
        <v>0</v>
      </c>
      <c r="J31" s="21" t="str">
        <f t="shared" si="46"/>
        <v>-</v>
      </c>
      <c r="K31" s="20">
        <v>0</v>
      </c>
      <c r="L31" s="20">
        <v>0</v>
      </c>
      <c r="M31" s="21" t="str">
        <f t="shared" si="47"/>
        <v>-</v>
      </c>
      <c r="N31" s="20">
        <v>0</v>
      </c>
      <c r="O31" s="20">
        <v>0</v>
      </c>
      <c r="P31" s="21" t="str">
        <f t="shared" si="48"/>
        <v>-</v>
      </c>
      <c r="Q31" s="20">
        <v>0</v>
      </c>
      <c r="R31" s="20">
        <v>0</v>
      </c>
      <c r="S31" s="21" t="str">
        <f t="shared" si="49"/>
        <v>-</v>
      </c>
      <c r="T31" s="20">
        <v>0</v>
      </c>
      <c r="U31" s="20">
        <v>0</v>
      </c>
      <c r="V31" s="21" t="str">
        <f t="shared" si="50"/>
        <v>-</v>
      </c>
      <c r="W31" s="1">
        <v>0</v>
      </c>
      <c r="X31" s="1">
        <v>0</v>
      </c>
      <c r="Y31" s="21" t="str">
        <f t="shared" si="51"/>
        <v>-</v>
      </c>
      <c r="Z31" s="14" t="str">
        <f t="shared" si="8"/>
        <v>-</v>
      </c>
      <c r="AA31" s="14" t="str">
        <f t="shared" si="8"/>
        <v>-</v>
      </c>
    </row>
    <row r="32" spans="1:27" x14ac:dyDescent="0.3">
      <c r="A32" s="5" t="s">
        <v>48</v>
      </c>
      <c r="B32" s="31">
        <v>280290570.16000003</v>
      </c>
      <c r="C32" s="31">
        <v>181260717.99000001</v>
      </c>
      <c r="D32" s="21">
        <f t="shared" si="44"/>
        <v>64.668860563710666</v>
      </c>
      <c r="E32" s="31">
        <v>335251219.00999999</v>
      </c>
      <c r="F32" s="31">
        <v>281518540.68000001</v>
      </c>
      <c r="G32" s="21">
        <f t="shared" si="45"/>
        <v>83.972413735385331</v>
      </c>
      <c r="H32" s="28">
        <v>361459090.07999998</v>
      </c>
      <c r="I32" s="22">
        <v>324807850.58999997</v>
      </c>
      <c r="J32" s="21">
        <f t="shared" si="46"/>
        <v>89.860197046949864</v>
      </c>
      <c r="K32" s="22">
        <v>495647562.67000002</v>
      </c>
      <c r="L32" s="22">
        <v>410519935.39999998</v>
      </c>
      <c r="M32" s="21">
        <f t="shared" si="47"/>
        <v>82.824968045555053</v>
      </c>
      <c r="N32" s="22">
        <v>584709206.85000002</v>
      </c>
      <c r="O32" s="22">
        <v>526235665.47000003</v>
      </c>
      <c r="P32" s="21">
        <f t="shared" si="48"/>
        <v>89.999551795154019</v>
      </c>
      <c r="Q32" s="22">
        <v>548703337.16999996</v>
      </c>
      <c r="R32" s="22">
        <v>499873936.52999997</v>
      </c>
      <c r="S32" s="21">
        <f t="shared" si="49"/>
        <v>91.100947026886487</v>
      </c>
      <c r="T32" s="22">
        <v>457436965.02999997</v>
      </c>
      <c r="U32" s="22">
        <v>394639689.68000001</v>
      </c>
      <c r="V32" s="21">
        <f t="shared" si="50"/>
        <v>86.271928123281086</v>
      </c>
      <c r="W32" s="1">
        <v>470693415.93000001</v>
      </c>
      <c r="X32" s="1">
        <v>431798924.76999998</v>
      </c>
      <c r="Y32" s="21">
        <f t="shared" si="51"/>
        <v>91.73676753409606</v>
      </c>
      <c r="Z32" s="14">
        <f t="shared" si="8"/>
        <v>2.8979841843631107</v>
      </c>
      <c r="AA32" s="14">
        <f t="shared" si="8"/>
        <v>9.4159903480897071</v>
      </c>
    </row>
    <row r="33" spans="1:27" x14ac:dyDescent="0.3">
      <c r="A33" s="5" t="s">
        <v>49</v>
      </c>
      <c r="B33" s="31">
        <v>9098343.7300000004</v>
      </c>
      <c r="C33" s="31">
        <v>9098343.7300000004</v>
      </c>
      <c r="D33" s="21">
        <f t="shared" si="44"/>
        <v>100</v>
      </c>
      <c r="E33" s="31">
        <v>20495931.77</v>
      </c>
      <c r="F33" s="31">
        <v>17487241.309999999</v>
      </c>
      <c r="G33" s="21">
        <f t="shared" si="45"/>
        <v>85.320548029907883</v>
      </c>
      <c r="H33" s="28">
        <v>22182811.620000001</v>
      </c>
      <c r="I33" s="22">
        <v>9885109.8599999994</v>
      </c>
      <c r="J33" s="21">
        <f t="shared" si="46"/>
        <v>44.562024099269699</v>
      </c>
      <c r="K33" s="22">
        <v>15015880.560000001</v>
      </c>
      <c r="L33" s="22">
        <v>13257671.99</v>
      </c>
      <c r="M33" s="21">
        <f t="shared" si="47"/>
        <v>88.291005892231198</v>
      </c>
      <c r="N33" s="22">
        <v>19735567.989999998</v>
      </c>
      <c r="O33" s="22">
        <v>14426551.08</v>
      </c>
      <c r="P33" s="21">
        <f t="shared" si="48"/>
        <v>73.099244406393197</v>
      </c>
      <c r="Q33" s="22">
        <v>29920165.66</v>
      </c>
      <c r="R33" s="22">
        <v>22958904.66</v>
      </c>
      <c r="S33" s="21">
        <f t="shared" si="49"/>
        <v>76.733882161266081</v>
      </c>
      <c r="T33" s="22">
        <v>70318871.030000001</v>
      </c>
      <c r="U33" s="22">
        <v>16557280.58</v>
      </c>
      <c r="V33" s="21">
        <f t="shared" si="50"/>
        <v>23.545998872672744</v>
      </c>
      <c r="W33" s="1">
        <v>132551912.66</v>
      </c>
      <c r="X33" s="1">
        <v>129062288.69</v>
      </c>
      <c r="Y33" s="21">
        <f t="shared" si="51"/>
        <v>97.367352986485372</v>
      </c>
      <c r="Z33" s="14">
        <f t="shared" si="8"/>
        <v>88.501195651235122</v>
      </c>
      <c r="AA33" s="14">
        <f t="shared" si="8"/>
        <v>679.48965149444848</v>
      </c>
    </row>
    <row r="34" spans="1:27" x14ac:dyDescent="0.3">
      <c r="A34" s="5" t="s">
        <v>50</v>
      </c>
      <c r="B34" s="31">
        <v>0</v>
      </c>
      <c r="C34" s="31">
        <v>0</v>
      </c>
      <c r="D34" s="21" t="str">
        <f t="shared" si="44"/>
        <v>-</v>
      </c>
      <c r="E34" s="31">
        <v>0</v>
      </c>
      <c r="F34" s="31">
        <v>0</v>
      </c>
      <c r="G34" s="21" t="str">
        <f t="shared" si="45"/>
        <v>-</v>
      </c>
      <c r="H34" s="28">
        <v>0</v>
      </c>
      <c r="I34" s="22">
        <v>0</v>
      </c>
      <c r="J34" s="21" t="str">
        <f t="shared" si="46"/>
        <v>-</v>
      </c>
      <c r="K34" s="22">
        <v>0</v>
      </c>
      <c r="L34" s="22">
        <v>0</v>
      </c>
      <c r="M34" s="21" t="str">
        <f t="shared" si="47"/>
        <v>-</v>
      </c>
      <c r="N34" s="22">
        <v>0</v>
      </c>
      <c r="O34" s="22">
        <v>0</v>
      </c>
      <c r="P34" s="21" t="str">
        <f t="shared" si="48"/>
        <v>-</v>
      </c>
      <c r="Q34" s="22">
        <v>0</v>
      </c>
      <c r="R34" s="22">
        <v>0</v>
      </c>
      <c r="S34" s="21" t="str">
        <f t="shared" si="49"/>
        <v>-</v>
      </c>
      <c r="T34" s="22">
        <v>0</v>
      </c>
      <c r="U34" s="22">
        <v>0</v>
      </c>
      <c r="V34" s="21" t="str">
        <f t="shared" si="50"/>
        <v>-</v>
      </c>
      <c r="W34" s="1">
        <v>0</v>
      </c>
      <c r="X34" s="1">
        <v>0</v>
      </c>
      <c r="Y34" s="21" t="str">
        <f t="shared" si="51"/>
        <v>-</v>
      </c>
      <c r="Z34" s="14" t="str">
        <f t="shared" si="8"/>
        <v>-</v>
      </c>
      <c r="AA34" s="14" t="str">
        <f t="shared" si="8"/>
        <v>-</v>
      </c>
    </row>
    <row r="35" spans="1:27" x14ac:dyDescent="0.3">
      <c r="A35" s="5" t="s">
        <v>51</v>
      </c>
      <c r="B35" s="31">
        <v>5237417.05</v>
      </c>
      <c r="C35" s="31">
        <v>4842020.1100000003</v>
      </c>
      <c r="D35" s="21">
        <f t="shared" si="44"/>
        <v>92.45053551731192</v>
      </c>
      <c r="E35" s="31">
        <v>15178556.99</v>
      </c>
      <c r="F35" s="31">
        <v>14780475.869999999</v>
      </c>
      <c r="G35" s="21">
        <f t="shared" si="45"/>
        <v>97.377345420501655</v>
      </c>
      <c r="H35" s="28">
        <v>1652883.46</v>
      </c>
      <c r="I35" s="22">
        <v>1494773</v>
      </c>
      <c r="J35" s="21">
        <f t="shared" si="46"/>
        <v>90.434264494364285</v>
      </c>
      <c r="K35" s="22">
        <v>2157169.56</v>
      </c>
      <c r="L35" s="22">
        <v>2064701.6</v>
      </c>
      <c r="M35" s="21">
        <f t="shared" si="47"/>
        <v>95.713458890083729</v>
      </c>
      <c r="N35" s="22">
        <v>2424020.83</v>
      </c>
      <c r="O35" s="22">
        <v>2202676.13</v>
      </c>
      <c r="P35" s="21">
        <f t="shared" si="48"/>
        <v>90.86869645422972</v>
      </c>
      <c r="Q35" s="22">
        <v>1442876.92</v>
      </c>
      <c r="R35" s="22">
        <v>1296473.8600000001</v>
      </c>
      <c r="S35" s="21">
        <f t="shared" si="49"/>
        <v>89.853392346174616</v>
      </c>
      <c r="T35" s="22">
        <v>1827708.95</v>
      </c>
      <c r="U35" s="22">
        <v>1733546.21</v>
      </c>
      <c r="V35" s="21">
        <f t="shared" si="50"/>
        <v>94.848045144168054</v>
      </c>
      <c r="W35" s="1">
        <v>3523015.46</v>
      </c>
      <c r="X35" s="1">
        <v>3394318.28</v>
      </c>
      <c r="Y35" s="21">
        <f t="shared" si="51"/>
        <v>96.346959544707758</v>
      </c>
      <c r="Z35" s="14">
        <f t="shared" si="8"/>
        <v>92.755824717059028</v>
      </c>
      <c r="AA35" s="14">
        <f t="shared" si="8"/>
        <v>95.802007493068203</v>
      </c>
    </row>
    <row r="36" spans="1:27" x14ac:dyDescent="0.3">
      <c r="A36" s="5" t="s">
        <v>52</v>
      </c>
      <c r="B36" s="31">
        <v>0</v>
      </c>
      <c r="C36" s="31">
        <v>0</v>
      </c>
      <c r="D36" s="21" t="str">
        <f t="shared" si="44"/>
        <v>-</v>
      </c>
      <c r="E36" s="31">
        <v>7550576</v>
      </c>
      <c r="F36" s="31">
        <v>7550576</v>
      </c>
      <c r="G36" s="21">
        <f t="shared" si="45"/>
        <v>100</v>
      </c>
      <c r="H36" s="28">
        <v>29345656.420000002</v>
      </c>
      <c r="I36" s="22">
        <v>26845656.420000002</v>
      </c>
      <c r="J36" s="21">
        <f t="shared" si="46"/>
        <v>91.480851666019745</v>
      </c>
      <c r="K36" s="22">
        <v>49019350.329999998</v>
      </c>
      <c r="L36" s="22">
        <v>19350.330000000002</v>
      </c>
      <c r="M36" s="21">
        <f t="shared" si="47"/>
        <v>3.9474880572126919E-2</v>
      </c>
      <c r="N36" s="22">
        <v>224863379.55000001</v>
      </c>
      <c r="O36" s="22">
        <v>224863379.55000001</v>
      </c>
      <c r="P36" s="21">
        <f t="shared" si="48"/>
        <v>100</v>
      </c>
      <c r="Q36" s="22">
        <v>0</v>
      </c>
      <c r="R36" s="22">
        <v>0</v>
      </c>
      <c r="S36" s="21" t="str">
        <f t="shared" si="49"/>
        <v>-</v>
      </c>
      <c r="T36" s="22">
        <v>10002000</v>
      </c>
      <c r="U36" s="22">
        <v>2000</v>
      </c>
      <c r="V36" s="21">
        <f t="shared" si="50"/>
        <v>1.9996000799840031E-2</v>
      </c>
      <c r="W36" s="1">
        <v>0</v>
      </c>
      <c r="X36" s="1">
        <v>0</v>
      </c>
      <c r="Y36" s="21" t="str">
        <f t="shared" si="51"/>
        <v>-</v>
      </c>
      <c r="Z36" s="14">
        <f t="shared" si="8"/>
        <v>-100</v>
      </c>
      <c r="AA36" s="14">
        <f t="shared" si="8"/>
        <v>-100</v>
      </c>
    </row>
    <row r="37" spans="1:27" x14ac:dyDescent="0.3">
      <c r="A37" s="5" t="s">
        <v>263</v>
      </c>
      <c r="B37" s="31">
        <v>0</v>
      </c>
      <c r="C37" s="31">
        <v>0</v>
      </c>
      <c r="D37" s="21" t="str">
        <f t="shared" si="44"/>
        <v>-</v>
      </c>
      <c r="E37" s="31">
        <v>0</v>
      </c>
      <c r="F37" s="31">
        <v>0</v>
      </c>
      <c r="G37" s="21" t="str">
        <f t="shared" si="45"/>
        <v>-</v>
      </c>
      <c r="H37" s="28">
        <v>0</v>
      </c>
      <c r="I37" s="22">
        <v>0</v>
      </c>
      <c r="J37" s="21" t="str">
        <f t="shared" si="46"/>
        <v>-</v>
      </c>
      <c r="K37" s="22">
        <v>0</v>
      </c>
      <c r="L37" s="22">
        <v>0</v>
      </c>
      <c r="M37" s="21" t="str">
        <f t="shared" si="47"/>
        <v>-</v>
      </c>
      <c r="N37" s="22">
        <v>0</v>
      </c>
      <c r="O37" s="22">
        <v>0</v>
      </c>
      <c r="P37" s="21" t="str">
        <f t="shared" si="48"/>
        <v>-</v>
      </c>
      <c r="Q37" s="22">
        <v>0</v>
      </c>
      <c r="R37" s="22">
        <v>0</v>
      </c>
      <c r="S37" s="21" t="str">
        <f t="shared" si="49"/>
        <v>-</v>
      </c>
      <c r="T37" s="22">
        <v>0</v>
      </c>
      <c r="U37" s="22">
        <v>0</v>
      </c>
      <c r="V37" s="21" t="str">
        <f t="shared" si="50"/>
        <v>-</v>
      </c>
      <c r="W37" s="1">
        <v>0</v>
      </c>
      <c r="X37" s="1">
        <v>0</v>
      </c>
      <c r="Y37" s="21" t="str">
        <f t="shared" si="51"/>
        <v>-</v>
      </c>
      <c r="Z37" s="14" t="str">
        <f t="shared" si="8"/>
        <v>-</v>
      </c>
      <c r="AA37" s="14" t="str">
        <f t="shared" si="8"/>
        <v>-</v>
      </c>
    </row>
    <row r="38" spans="1:27" x14ac:dyDescent="0.3">
      <c r="A38" s="5" t="s">
        <v>53</v>
      </c>
      <c r="B38" s="31">
        <v>0</v>
      </c>
      <c r="C38" s="31">
        <v>0</v>
      </c>
      <c r="D38" s="21" t="str">
        <f t="shared" si="44"/>
        <v>-</v>
      </c>
      <c r="E38" s="31">
        <v>0</v>
      </c>
      <c r="F38" s="31">
        <v>0</v>
      </c>
      <c r="G38" s="21" t="str">
        <f t="shared" si="45"/>
        <v>-</v>
      </c>
      <c r="H38" s="28">
        <v>1003010.23</v>
      </c>
      <c r="I38" s="22">
        <v>1003010.23</v>
      </c>
      <c r="J38" s="21">
        <f t="shared" si="46"/>
        <v>100</v>
      </c>
      <c r="K38" s="22">
        <v>7272720.5999999996</v>
      </c>
      <c r="L38" s="22">
        <v>7272720.5999999996</v>
      </c>
      <c r="M38" s="21">
        <f t="shared" si="47"/>
        <v>100</v>
      </c>
      <c r="N38" s="22">
        <v>0</v>
      </c>
      <c r="O38" s="22">
        <v>0</v>
      </c>
      <c r="P38" s="21" t="str">
        <f t="shared" si="48"/>
        <v>-</v>
      </c>
      <c r="Q38" s="22">
        <v>30000</v>
      </c>
      <c r="R38" s="22">
        <v>30000</v>
      </c>
      <c r="S38" s="21">
        <f t="shared" si="49"/>
        <v>100</v>
      </c>
      <c r="T38" s="22">
        <v>0</v>
      </c>
      <c r="U38" s="22">
        <v>0</v>
      </c>
      <c r="V38" s="21" t="str">
        <f t="shared" si="50"/>
        <v>-</v>
      </c>
      <c r="W38" s="1">
        <v>0</v>
      </c>
      <c r="X38" s="1">
        <v>0</v>
      </c>
      <c r="Y38" s="21" t="str">
        <f t="shared" si="51"/>
        <v>-</v>
      </c>
      <c r="Z38" s="14" t="str">
        <f t="shared" si="8"/>
        <v>-</v>
      </c>
      <c r="AA38" s="14" t="str">
        <f t="shared" si="8"/>
        <v>-</v>
      </c>
    </row>
    <row r="39" spans="1:27" x14ac:dyDescent="0.3">
      <c r="A39" s="5" t="s">
        <v>54</v>
      </c>
      <c r="B39" s="31">
        <v>115127158.14</v>
      </c>
      <c r="C39" s="31">
        <v>115127158.14</v>
      </c>
      <c r="D39" s="21">
        <f t="shared" si="44"/>
        <v>100</v>
      </c>
      <c r="E39" s="31">
        <v>180107001.30000001</v>
      </c>
      <c r="F39" s="31">
        <v>180107001.30000001</v>
      </c>
      <c r="G39" s="21">
        <f t="shared" si="45"/>
        <v>100</v>
      </c>
      <c r="H39" s="28">
        <v>199395016.28999999</v>
      </c>
      <c r="I39" s="22">
        <v>199395016.28999999</v>
      </c>
      <c r="J39" s="21">
        <f t="shared" si="46"/>
        <v>100</v>
      </c>
      <c r="K39" s="22">
        <v>35117079.329999998</v>
      </c>
      <c r="L39" s="22">
        <v>35117079.329999998</v>
      </c>
      <c r="M39" s="21">
        <f t="shared" si="47"/>
        <v>100</v>
      </c>
      <c r="N39" s="22">
        <v>0</v>
      </c>
      <c r="O39" s="22">
        <v>0</v>
      </c>
      <c r="P39" s="21" t="str">
        <f t="shared" si="48"/>
        <v>-</v>
      </c>
      <c r="Q39" s="22">
        <v>100000000</v>
      </c>
      <c r="R39" s="22">
        <v>100000000</v>
      </c>
      <c r="S39" s="21">
        <f t="shared" si="49"/>
        <v>100</v>
      </c>
      <c r="T39" s="22">
        <v>50000000</v>
      </c>
      <c r="U39" s="22">
        <v>50000000</v>
      </c>
      <c r="V39" s="21">
        <f t="shared" si="50"/>
        <v>100</v>
      </c>
      <c r="W39" s="1">
        <v>50000000</v>
      </c>
      <c r="X39" s="1">
        <v>50000000</v>
      </c>
      <c r="Y39" s="21">
        <f t="shared" si="51"/>
        <v>100</v>
      </c>
      <c r="Z39" s="14">
        <f t="shared" si="8"/>
        <v>0</v>
      </c>
      <c r="AA39" s="14">
        <f t="shared" si="8"/>
        <v>0</v>
      </c>
    </row>
    <row r="40" spans="1:27" x14ac:dyDescent="0.3">
      <c r="A40" s="5" t="s">
        <v>55</v>
      </c>
      <c r="B40" s="31">
        <v>44314546.659999996</v>
      </c>
      <c r="C40" s="31">
        <v>44314546.659999996</v>
      </c>
      <c r="D40" s="21">
        <f t="shared" si="44"/>
        <v>100</v>
      </c>
      <c r="E40" s="31">
        <v>46199619.439999998</v>
      </c>
      <c r="F40" s="31">
        <v>46199619.439999998</v>
      </c>
      <c r="G40" s="21">
        <f t="shared" si="45"/>
        <v>100</v>
      </c>
      <c r="H40" s="28">
        <v>48165125.899999999</v>
      </c>
      <c r="I40" s="22">
        <v>48165125.899999999</v>
      </c>
      <c r="J40" s="21">
        <f t="shared" si="46"/>
        <v>100</v>
      </c>
      <c r="K40" s="22">
        <v>50214508.68</v>
      </c>
      <c r="L40" s="22">
        <v>50214508.68</v>
      </c>
      <c r="M40" s="21">
        <f t="shared" si="47"/>
        <v>100</v>
      </c>
      <c r="N40" s="22">
        <v>52351357.240000002</v>
      </c>
      <c r="O40" s="22">
        <v>52351357.240000002</v>
      </c>
      <c r="P40" s="21">
        <f t="shared" si="48"/>
        <v>100</v>
      </c>
      <c r="Q40" s="22">
        <v>54579416.840000004</v>
      </c>
      <c r="R40" s="22">
        <v>54579416.840000004</v>
      </c>
      <c r="S40" s="21">
        <f t="shared" si="49"/>
        <v>100</v>
      </c>
      <c r="T40" s="22">
        <v>56902592.090000004</v>
      </c>
      <c r="U40" s="22">
        <v>56902592.090000004</v>
      </c>
      <c r="V40" s="21">
        <f t="shared" si="50"/>
        <v>100</v>
      </c>
      <c r="W40" s="1">
        <v>59324955.740000002</v>
      </c>
      <c r="X40" s="1">
        <v>59324955.740000002</v>
      </c>
      <c r="Y40" s="21">
        <f t="shared" si="51"/>
        <v>100</v>
      </c>
      <c r="Z40" s="14">
        <f t="shared" si="8"/>
        <v>4.2570356833106331</v>
      </c>
      <c r="AA40" s="14">
        <f t="shared" si="8"/>
        <v>4.2570356833106331</v>
      </c>
    </row>
    <row r="41" spans="1:27" x14ac:dyDescent="0.3">
      <c r="A41" s="5" t="s">
        <v>56</v>
      </c>
      <c r="B41" s="31">
        <v>0</v>
      </c>
      <c r="C41" s="31">
        <v>0</v>
      </c>
      <c r="D41" s="21" t="str">
        <f t="shared" si="44"/>
        <v>-</v>
      </c>
      <c r="E41" s="31">
        <v>0</v>
      </c>
      <c r="F41" s="31">
        <v>0</v>
      </c>
      <c r="G41" s="21" t="str">
        <f t="shared" si="45"/>
        <v>-</v>
      </c>
      <c r="H41" s="28">
        <v>0</v>
      </c>
      <c r="I41" s="22">
        <v>0</v>
      </c>
      <c r="J41" s="21" t="str">
        <f t="shared" si="46"/>
        <v>-</v>
      </c>
      <c r="K41" s="22">
        <v>0</v>
      </c>
      <c r="L41" s="22">
        <v>0</v>
      </c>
      <c r="M41" s="21" t="str">
        <f t="shared" si="47"/>
        <v>-</v>
      </c>
      <c r="N41" s="22">
        <v>0</v>
      </c>
      <c r="O41" s="22">
        <v>0</v>
      </c>
      <c r="P41" s="21" t="str">
        <f t="shared" si="48"/>
        <v>-</v>
      </c>
      <c r="Q41" s="22">
        <v>0</v>
      </c>
      <c r="R41" s="22">
        <v>0</v>
      </c>
      <c r="S41" s="21" t="str">
        <f t="shared" si="49"/>
        <v>-</v>
      </c>
      <c r="T41" s="22">
        <v>0</v>
      </c>
      <c r="U41" s="22">
        <v>0</v>
      </c>
      <c r="V41" s="21" t="str">
        <f t="shared" si="50"/>
        <v>-</v>
      </c>
      <c r="W41" s="1">
        <v>0</v>
      </c>
      <c r="X41" s="22">
        <v>0</v>
      </c>
      <c r="Y41" s="21" t="str">
        <f t="shared" si="51"/>
        <v>-</v>
      </c>
      <c r="Z41" s="14" t="str">
        <f t="shared" si="8"/>
        <v>-</v>
      </c>
      <c r="AA41" s="14" t="str">
        <f t="shared" si="8"/>
        <v>-</v>
      </c>
    </row>
    <row r="42" spans="1:27" x14ac:dyDescent="0.3">
      <c r="A42" s="5" t="s">
        <v>57</v>
      </c>
      <c r="B42" s="31">
        <v>127505396.56999999</v>
      </c>
      <c r="C42" s="31">
        <v>127505396.56999999</v>
      </c>
      <c r="D42" s="21">
        <f t="shared" si="44"/>
        <v>100</v>
      </c>
      <c r="E42" s="31">
        <v>137338719.71000001</v>
      </c>
      <c r="F42" s="31">
        <v>137338719.71000001</v>
      </c>
      <c r="G42" s="21">
        <f t="shared" si="45"/>
        <v>100</v>
      </c>
      <c r="H42" s="28">
        <v>144988534.09999999</v>
      </c>
      <c r="I42" s="22">
        <v>144988534.09999999</v>
      </c>
      <c r="J42" s="21">
        <f t="shared" si="46"/>
        <v>100</v>
      </c>
      <c r="K42" s="22">
        <v>147304476.11000001</v>
      </c>
      <c r="L42" s="22">
        <v>147304476.11000001</v>
      </c>
      <c r="M42" s="21">
        <f t="shared" si="47"/>
        <v>100</v>
      </c>
      <c r="N42" s="22">
        <v>68222950.599999994</v>
      </c>
      <c r="O42" s="22">
        <v>68222950.599999994</v>
      </c>
      <c r="P42" s="21">
        <f t="shared" si="48"/>
        <v>100</v>
      </c>
      <c r="Q42" s="22">
        <v>58202628.869999997</v>
      </c>
      <c r="R42" s="22">
        <v>58202628.869999997</v>
      </c>
      <c r="S42" s="21">
        <f t="shared" si="49"/>
        <v>100</v>
      </c>
      <c r="T42" s="22">
        <v>106341204.63</v>
      </c>
      <c r="U42" s="22">
        <v>106341204.63</v>
      </c>
      <c r="V42" s="21">
        <f t="shared" si="50"/>
        <v>100</v>
      </c>
      <c r="W42" s="1">
        <v>102321535.69</v>
      </c>
      <c r="X42" s="1">
        <v>102110519.59999999</v>
      </c>
      <c r="Y42" s="21">
        <f t="shared" si="51"/>
        <v>99.793771576455498</v>
      </c>
      <c r="Z42" s="14">
        <f t="shared" si="8"/>
        <v>-3.7799731101278269</v>
      </c>
      <c r="AA42" s="14">
        <f t="shared" si="8"/>
        <v>-3.978406154716879</v>
      </c>
    </row>
    <row r="43" spans="1:27" x14ac:dyDescent="0.3">
      <c r="A43" s="5" t="s">
        <v>58</v>
      </c>
      <c r="B43" s="31">
        <v>0</v>
      </c>
      <c r="C43" s="31">
        <v>0</v>
      </c>
      <c r="D43" s="21" t="str">
        <f t="shared" si="44"/>
        <v>-</v>
      </c>
      <c r="E43" s="31">
        <v>0</v>
      </c>
      <c r="F43" s="31">
        <v>0</v>
      </c>
      <c r="G43" s="21" t="str">
        <f t="shared" si="45"/>
        <v>-</v>
      </c>
      <c r="H43" s="28">
        <v>0</v>
      </c>
      <c r="I43" s="22">
        <v>0</v>
      </c>
      <c r="J43" s="21" t="str">
        <f t="shared" si="46"/>
        <v>-</v>
      </c>
      <c r="K43" s="22">
        <v>0</v>
      </c>
      <c r="L43" s="22">
        <v>0</v>
      </c>
      <c r="M43" s="21" t="str">
        <f t="shared" si="47"/>
        <v>-</v>
      </c>
      <c r="N43" s="22">
        <v>0</v>
      </c>
      <c r="O43" s="22">
        <v>0</v>
      </c>
      <c r="P43" s="21" t="str">
        <f t="shared" si="48"/>
        <v>-</v>
      </c>
      <c r="Q43" s="22">
        <v>0</v>
      </c>
      <c r="R43" s="22">
        <v>0</v>
      </c>
      <c r="S43" s="21" t="str">
        <f t="shared" si="49"/>
        <v>-</v>
      </c>
      <c r="T43" s="22">
        <v>0</v>
      </c>
      <c r="U43" s="22">
        <v>0</v>
      </c>
      <c r="V43" s="21" t="str">
        <f t="shared" si="50"/>
        <v>-</v>
      </c>
      <c r="W43" s="1">
        <v>0</v>
      </c>
      <c r="X43" s="22">
        <v>0</v>
      </c>
      <c r="Y43" s="21" t="str">
        <f t="shared" si="51"/>
        <v>-</v>
      </c>
      <c r="Z43" s="14" t="str">
        <f t="shared" si="8"/>
        <v>-</v>
      </c>
      <c r="AA43" s="14" t="str">
        <f t="shared" si="8"/>
        <v>-</v>
      </c>
    </row>
    <row r="44" spans="1:27" x14ac:dyDescent="0.3">
      <c r="A44" s="5" t="s">
        <v>59</v>
      </c>
      <c r="B44" s="31">
        <v>0</v>
      </c>
      <c r="C44" s="31">
        <v>0</v>
      </c>
      <c r="D44" s="21" t="str">
        <f t="shared" si="44"/>
        <v>-</v>
      </c>
      <c r="E44" s="31">
        <v>0</v>
      </c>
      <c r="F44" s="31">
        <v>0</v>
      </c>
      <c r="G44" s="21" t="str">
        <f t="shared" si="45"/>
        <v>-</v>
      </c>
      <c r="H44" s="28">
        <v>0</v>
      </c>
      <c r="I44" s="22">
        <v>0</v>
      </c>
      <c r="J44" s="21" t="str">
        <f t="shared" si="46"/>
        <v>-</v>
      </c>
      <c r="K44" s="22">
        <v>0</v>
      </c>
      <c r="L44" s="22">
        <v>0</v>
      </c>
      <c r="M44" s="21" t="str">
        <f t="shared" si="47"/>
        <v>-</v>
      </c>
      <c r="N44" s="22">
        <v>0</v>
      </c>
      <c r="O44" s="22">
        <v>0</v>
      </c>
      <c r="P44" s="21" t="str">
        <f t="shared" si="48"/>
        <v>-</v>
      </c>
      <c r="Q44" s="22">
        <v>0</v>
      </c>
      <c r="R44" s="22">
        <v>0</v>
      </c>
      <c r="S44" s="21" t="str">
        <f t="shared" si="49"/>
        <v>-</v>
      </c>
      <c r="T44" s="22">
        <v>0</v>
      </c>
      <c r="U44" s="22">
        <v>0</v>
      </c>
      <c r="V44" s="21" t="str">
        <f t="shared" si="50"/>
        <v>-</v>
      </c>
      <c r="W44" s="1">
        <v>0</v>
      </c>
      <c r="X44" s="22">
        <v>0</v>
      </c>
      <c r="Y44" s="21" t="str">
        <f t="shared" si="51"/>
        <v>-</v>
      </c>
      <c r="Z44" s="14" t="str">
        <f t="shared" si="8"/>
        <v>-</v>
      </c>
      <c r="AA44" s="14" t="str">
        <f t="shared" si="8"/>
        <v>-</v>
      </c>
    </row>
    <row r="45" spans="1:27" x14ac:dyDescent="0.3">
      <c r="A45" s="5" t="s">
        <v>60</v>
      </c>
      <c r="B45" s="31">
        <v>0</v>
      </c>
      <c r="C45" s="31">
        <v>0</v>
      </c>
      <c r="D45" s="21" t="str">
        <f t="shared" si="44"/>
        <v>-</v>
      </c>
      <c r="E45" s="31">
        <v>0</v>
      </c>
      <c r="F45" s="31">
        <v>0</v>
      </c>
      <c r="G45" s="21" t="str">
        <f t="shared" si="45"/>
        <v>-</v>
      </c>
      <c r="H45" s="28">
        <v>0</v>
      </c>
      <c r="I45" s="22">
        <v>0</v>
      </c>
      <c r="J45" s="21" t="str">
        <f t="shared" si="46"/>
        <v>-</v>
      </c>
      <c r="K45" s="22">
        <v>0</v>
      </c>
      <c r="L45" s="22">
        <v>0</v>
      </c>
      <c r="M45" s="21" t="str">
        <f t="shared" si="47"/>
        <v>-</v>
      </c>
      <c r="N45" s="22">
        <v>0</v>
      </c>
      <c r="O45" s="22">
        <v>0</v>
      </c>
      <c r="P45" s="21" t="str">
        <f t="shared" si="48"/>
        <v>-</v>
      </c>
      <c r="Q45" s="22">
        <v>0</v>
      </c>
      <c r="R45" s="22">
        <v>0</v>
      </c>
      <c r="S45" s="21" t="str">
        <f t="shared" si="49"/>
        <v>-</v>
      </c>
      <c r="T45" s="22">
        <v>0</v>
      </c>
      <c r="U45" s="22">
        <v>0</v>
      </c>
      <c r="V45" s="21" t="str">
        <f t="shared" si="50"/>
        <v>-</v>
      </c>
      <c r="W45" s="22">
        <v>0</v>
      </c>
      <c r="X45" s="22">
        <v>0</v>
      </c>
      <c r="Y45" s="21" t="str">
        <f t="shared" si="51"/>
        <v>-</v>
      </c>
      <c r="Z45" s="14" t="str">
        <f t="shared" si="8"/>
        <v>-</v>
      </c>
      <c r="AA45" s="14" t="str">
        <f t="shared" si="8"/>
        <v>-</v>
      </c>
    </row>
    <row r="46" spans="1:27" x14ac:dyDescent="0.3">
      <c r="A46" s="5" t="s">
        <v>61</v>
      </c>
      <c r="B46" s="31">
        <v>234761066.11000001</v>
      </c>
      <c r="C46" s="31">
        <v>0</v>
      </c>
      <c r="D46" s="21">
        <f t="shared" si="44"/>
        <v>0</v>
      </c>
      <c r="E46" s="31">
        <v>243891903.86000001</v>
      </c>
      <c r="F46" s="31">
        <v>0</v>
      </c>
      <c r="G46" s="21">
        <f t="shared" si="45"/>
        <v>0</v>
      </c>
      <c r="H46" s="28">
        <v>240455227.63</v>
      </c>
      <c r="I46" s="22">
        <v>0</v>
      </c>
      <c r="J46" s="21">
        <f t="shared" si="46"/>
        <v>0</v>
      </c>
      <c r="K46" s="22">
        <v>250515239.69999999</v>
      </c>
      <c r="L46" s="22">
        <v>0</v>
      </c>
      <c r="M46" s="21">
        <f t="shared" si="47"/>
        <v>0</v>
      </c>
      <c r="N46" s="22">
        <v>275818606.01999998</v>
      </c>
      <c r="O46" s="22">
        <v>0</v>
      </c>
      <c r="P46" s="21">
        <f t="shared" si="48"/>
        <v>0</v>
      </c>
      <c r="Q46" s="22">
        <v>322126429.19</v>
      </c>
      <c r="R46" s="22">
        <v>0</v>
      </c>
      <c r="S46" s="21">
        <f t="shared" si="49"/>
        <v>0</v>
      </c>
      <c r="T46" s="22">
        <v>250757370.25999999</v>
      </c>
      <c r="U46" s="22">
        <v>0</v>
      </c>
      <c r="V46" s="21">
        <f t="shared" si="50"/>
        <v>0</v>
      </c>
      <c r="W46" s="1">
        <v>576647197.5</v>
      </c>
      <c r="X46" s="22">
        <v>0</v>
      </c>
      <c r="Y46" s="21">
        <f t="shared" si="51"/>
        <v>0</v>
      </c>
      <c r="Z46" s="14">
        <f t="shared" si="8"/>
        <v>129.962212836296</v>
      </c>
      <c r="AA46" s="14" t="str">
        <f t="shared" si="8"/>
        <v>-</v>
      </c>
    </row>
    <row r="47" spans="1:27" x14ac:dyDescent="0.3">
      <c r="A47" s="5" t="s">
        <v>62</v>
      </c>
      <c r="B47" s="31">
        <v>92271617.450000003</v>
      </c>
      <c r="C47" s="31">
        <v>0</v>
      </c>
      <c r="D47" s="21">
        <f t="shared" si="44"/>
        <v>0</v>
      </c>
      <c r="E47" s="31">
        <v>80099954.640000001</v>
      </c>
      <c r="F47" s="31">
        <v>0</v>
      </c>
      <c r="G47" s="21">
        <f t="shared" si="45"/>
        <v>0</v>
      </c>
      <c r="H47" s="28">
        <v>87774606.700000003</v>
      </c>
      <c r="I47" s="22">
        <v>0</v>
      </c>
      <c r="J47" s="21">
        <f t="shared" si="46"/>
        <v>0</v>
      </c>
      <c r="K47" s="22">
        <v>105090381.78</v>
      </c>
      <c r="L47" s="22">
        <v>0</v>
      </c>
      <c r="M47" s="21">
        <f t="shared" si="47"/>
        <v>0</v>
      </c>
      <c r="N47" s="22">
        <v>43787537.689999998</v>
      </c>
      <c r="O47" s="22">
        <v>0</v>
      </c>
      <c r="P47" s="21">
        <f t="shared" si="48"/>
        <v>0</v>
      </c>
      <c r="Q47" s="22">
        <v>37169330.880000003</v>
      </c>
      <c r="R47" s="22">
        <v>0</v>
      </c>
      <c r="S47" s="21">
        <f t="shared" si="49"/>
        <v>0</v>
      </c>
      <c r="T47" s="22">
        <v>29833412.940000001</v>
      </c>
      <c r="U47" s="22">
        <v>0</v>
      </c>
      <c r="V47" s="21">
        <f t="shared" si="50"/>
        <v>0</v>
      </c>
      <c r="W47" s="1">
        <v>47026836.409999996</v>
      </c>
      <c r="X47" s="22">
        <v>0</v>
      </c>
      <c r="Y47" s="21">
        <f t="shared" si="51"/>
        <v>0</v>
      </c>
      <c r="Z47" s="14">
        <f t="shared" si="8"/>
        <v>57.631433267721832</v>
      </c>
      <c r="AA47" s="14" t="str">
        <f t="shared" si="8"/>
        <v>-</v>
      </c>
    </row>
    <row r="48" spans="1:27" x14ac:dyDescent="0.3">
      <c r="A48" s="5" t="s">
        <v>63</v>
      </c>
      <c r="B48" s="31">
        <f t="shared" ref="B48:C48" si="52">SUM(B23:B30)</f>
        <v>2777266852.6999998</v>
      </c>
      <c r="C48" s="31">
        <f t="shared" si="52"/>
        <v>2144701454.5300002</v>
      </c>
      <c r="D48" s="21">
        <f t="shared" si="44"/>
        <v>77.223456307231231</v>
      </c>
      <c r="E48" s="31">
        <f t="shared" ref="E48:F48" si="53">SUM(E23:E30)</f>
        <v>2679255660.9899998</v>
      </c>
      <c r="F48" s="31">
        <f t="shared" si="53"/>
        <v>2141174304.4799998</v>
      </c>
      <c r="G48" s="21">
        <f t="shared" si="45"/>
        <v>79.916759555854554</v>
      </c>
      <c r="H48" s="28">
        <f t="shared" ref="H48:I48" si="54">SUM(H23:H30)</f>
        <v>2734365781.3599997</v>
      </c>
      <c r="I48" s="22">
        <f t="shared" si="54"/>
        <v>2178734217.3400002</v>
      </c>
      <c r="J48" s="21">
        <f t="shared" si="46"/>
        <v>79.679691436760038</v>
      </c>
      <c r="K48" s="22">
        <f t="shared" ref="K48:L48" si="55">SUM(K23:K30)</f>
        <v>2719526281.6499996</v>
      </c>
      <c r="L48" s="22">
        <f t="shared" si="55"/>
        <v>2205181028.6700006</v>
      </c>
      <c r="M48" s="21">
        <f t="shared" si="47"/>
        <v>81.086954134234958</v>
      </c>
      <c r="N48" s="22">
        <f t="shared" ref="N48:O48" si="56">SUM(N23:N30)</f>
        <v>2655318740.9299998</v>
      </c>
      <c r="O48" s="22">
        <f t="shared" si="56"/>
        <v>2097881983.7199998</v>
      </c>
      <c r="P48" s="21">
        <f t="shared" si="48"/>
        <v>79.006785565232633</v>
      </c>
      <c r="Q48" s="22">
        <f t="shared" ref="Q48:R48" si="57">SUM(Q23:Q30)</f>
        <v>2821614569.7399998</v>
      </c>
      <c r="R48" s="22">
        <f t="shared" si="57"/>
        <v>2296981840.0000005</v>
      </c>
      <c r="S48" s="21">
        <f t="shared" si="49"/>
        <v>81.406647975015872</v>
      </c>
      <c r="T48" s="22">
        <f t="shared" ref="T48:U48" si="58">SUM(T23:T30)</f>
        <v>2947316507.9199996</v>
      </c>
      <c r="U48" s="22">
        <f t="shared" si="58"/>
        <v>2303878807.4200001</v>
      </c>
      <c r="V48" s="21">
        <f t="shared" si="50"/>
        <v>78.168693495559097</v>
      </c>
      <c r="W48" s="22">
        <f t="shared" ref="W48:X48" si="59">SUM(W23:W30)</f>
        <v>2941227361</v>
      </c>
      <c r="X48" s="22">
        <f t="shared" si="59"/>
        <v>2358676793.0100002</v>
      </c>
      <c r="Y48" s="21">
        <f t="shared" si="51"/>
        <v>80.193623392924778</v>
      </c>
      <c r="Z48" s="14">
        <f t="shared" si="8"/>
        <v>-0.20659969513408782</v>
      </c>
      <c r="AA48" s="14">
        <f t="shared" si="8"/>
        <v>2.378509903104046</v>
      </c>
    </row>
    <row r="49" spans="1:27" x14ac:dyDescent="0.3">
      <c r="A49" s="5" t="s">
        <v>64</v>
      </c>
      <c r="B49" s="31">
        <f t="shared" ref="B49:C49" si="60">SUM(B31:B35)</f>
        <v>294626330.94000006</v>
      </c>
      <c r="C49" s="31">
        <f t="shared" si="60"/>
        <v>195201081.83000001</v>
      </c>
      <c r="D49" s="21">
        <f t="shared" si="44"/>
        <v>66.25378023994476</v>
      </c>
      <c r="E49" s="31">
        <f t="shared" ref="E49:F49" si="61">SUM(E31:E35)</f>
        <v>370925707.76999998</v>
      </c>
      <c r="F49" s="31">
        <f t="shared" si="61"/>
        <v>313786257.86000001</v>
      </c>
      <c r="G49" s="21">
        <f t="shared" si="45"/>
        <v>84.595446281272473</v>
      </c>
      <c r="H49" s="28">
        <f t="shared" ref="H49:I49" si="62">SUM(H31:H35)</f>
        <v>385294785.15999997</v>
      </c>
      <c r="I49" s="22">
        <f t="shared" si="62"/>
        <v>336187733.44999999</v>
      </c>
      <c r="J49" s="21">
        <f t="shared" si="46"/>
        <v>87.254680415773734</v>
      </c>
      <c r="K49" s="22">
        <f>SUM(K31:K35)</f>
        <v>512820612.79000002</v>
      </c>
      <c r="L49" s="22">
        <f>SUM(L31:L35)</f>
        <v>425842308.99000001</v>
      </c>
      <c r="M49" s="21">
        <f t="shared" si="47"/>
        <v>83.039234065340196</v>
      </c>
      <c r="N49" s="22">
        <f>SUM(N31:N35)</f>
        <v>606868795.67000008</v>
      </c>
      <c r="O49" s="22">
        <f>SUM(O31:O35)</f>
        <v>542864892.68000007</v>
      </c>
      <c r="P49" s="21">
        <f t="shared" si="48"/>
        <v>89.453420006652678</v>
      </c>
      <c r="Q49" s="22">
        <f>SUM(Q31:Q35)</f>
        <v>580066379.74999988</v>
      </c>
      <c r="R49" s="22">
        <f>SUM(R31:R35)</f>
        <v>524129315.05000001</v>
      </c>
      <c r="S49" s="21">
        <f t="shared" si="49"/>
        <v>90.356782145500674</v>
      </c>
      <c r="T49" s="22">
        <f>SUM(T31:T35)</f>
        <v>529583545.00999993</v>
      </c>
      <c r="U49" s="22">
        <f>SUM(U31:U35)</f>
        <v>412930516.46999997</v>
      </c>
      <c r="V49" s="21">
        <f t="shared" si="50"/>
        <v>77.972686342095983</v>
      </c>
      <c r="W49" s="22">
        <f>SUM(W31:W35)</f>
        <v>606768344.05000007</v>
      </c>
      <c r="X49" s="22">
        <f>SUM(X31:X35)</f>
        <v>564255531.74000001</v>
      </c>
      <c r="Y49" s="21">
        <f t="shared" si="51"/>
        <v>92.993567853879853</v>
      </c>
      <c r="Z49" s="14">
        <f t="shared" si="8"/>
        <v>14.574621845273299</v>
      </c>
      <c r="AA49" s="14">
        <f t="shared" si="8"/>
        <v>36.646604993892254</v>
      </c>
    </row>
    <row r="50" spans="1:27" x14ac:dyDescent="0.3">
      <c r="A50" s="5" t="s">
        <v>65</v>
      </c>
      <c r="B50" s="31">
        <f t="shared" ref="B50:C50" si="63">SUM(B36:B39)</f>
        <v>115127158.14</v>
      </c>
      <c r="C50" s="31">
        <f t="shared" si="63"/>
        <v>115127158.14</v>
      </c>
      <c r="D50" s="21">
        <f t="shared" si="44"/>
        <v>100</v>
      </c>
      <c r="E50" s="31">
        <f t="shared" ref="E50:F50" si="64">SUM(E36:E39)</f>
        <v>187657577.30000001</v>
      </c>
      <c r="F50" s="31">
        <f t="shared" si="64"/>
        <v>187657577.30000001</v>
      </c>
      <c r="G50" s="21">
        <f t="shared" si="45"/>
        <v>100</v>
      </c>
      <c r="H50" s="28">
        <f t="shared" ref="H50:I50" si="65">SUM(H36:H39)</f>
        <v>229743682.94</v>
      </c>
      <c r="I50" s="22">
        <f t="shared" si="65"/>
        <v>227243682.94</v>
      </c>
      <c r="J50" s="21">
        <f t="shared" si="46"/>
        <v>98.911830798563059</v>
      </c>
      <c r="K50" s="22">
        <f>SUM(K36:K39)</f>
        <v>91409150.25999999</v>
      </c>
      <c r="L50" s="22">
        <f>SUM(L36:L39)</f>
        <v>42409150.259999998</v>
      </c>
      <c r="M50" s="21">
        <f t="shared" si="47"/>
        <v>46.394863248781284</v>
      </c>
      <c r="N50" s="22">
        <f>SUM(N36:N39)</f>
        <v>224863379.55000001</v>
      </c>
      <c r="O50" s="22">
        <f>SUM(O36:O39)</f>
        <v>224863379.55000001</v>
      </c>
      <c r="P50" s="21">
        <f t="shared" si="48"/>
        <v>100</v>
      </c>
      <c r="Q50" s="22">
        <f>SUM(Q36:Q39)</f>
        <v>100030000</v>
      </c>
      <c r="R50" s="22">
        <f>SUM(R36:R39)</f>
        <v>100030000</v>
      </c>
      <c r="S50" s="21">
        <f t="shared" si="49"/>
        <v>100</v>
      </c>
      <c r="T50" s="22">
        <f>SUM(T36:T39)</f>
        <v>60002000</v>
      </c>
      <c r="U50" s="22">
        <f>SUM(U36:U39)</f>
        <v>50002000</v>
      </c>
      <c r="V50" s="21">
        <f t="shared" si="50"/>
        <v>83.333888870370984</v>
      </c>
      <c r="W50" s="22">
        <f>SUM(W36:W39)</f>
        <v>50000000</v>
      </c>
      <c r="X50" s="22">
        <f>SUM(X36:X39)</f>
        <v>50000000</v>
      </c>
      <c r="Y50" s="21">
        <f t="shared" si="51"/>
        <v>100</v>
      </c>
      <c r="Z50" s="14">
        <f t="shared" si="8"/>
        <v>-16.669444351854935</v>
      </c>
      <c r="AA50" s="14">
        <f t="shared" si="8"/>
        <v>-3.9998400064007456E-3</v>
      </c>
    </row>
    <row r="51" spans="1:27" x14ac:dyDescent="0.3">
      <c r="A51" s="5" t="s">
        <v>66</v>
      </c>
      <c r="B51" s="31">
        <f t="shared" ref="B51:C51" si="66">SUM(B40:B44)</f>
        <v>171819943.22999999</v>
      </c>
      <c r="C51" s="31">
        <f t="shared" si="66"/>
        <v>171819943.22999999</v>
      </c>
      <c r="D51" s="21">
        <f t="shared" si="44"/>
        <v>100</v>
      </c>
      <c r="E51" s="31">
        <f t="shared" ref="E51:F51" si="67">SUM(E40:E44)</f>
        <v>183538339.15000001</v>
      </c>
      <c r="F51" s="31">
        <f t="shared" si="67"/>
        <v>183538339.15000001</v>
      </c>
      <c r="G51" s="21">
        <f t="shared" si="45"/>
        <v>100</v>
      </c>
      <c r="H51" s="28">
        <f t="shared" ref="H51:I51" si="68">SUM(H40:H44)</f>
        <v>193153660</v>
      </c>
      <c r="I51" s="22">
        <f t="shared" si="68"/>
        <v>193153660</v>
      </c>
      <c r="J51" s="21">
        <f t="shared" si="46"/>
        <v>100</v>
      </c>
      <c r="K51" s="22">
        <f>SUM(K40:K44)</f>
        <v>197518984.79000002</v>
      </c>
      <c r="L51" s="22">
        <f>SUM(L40:L44)</f>
        <v>197518984.79000002</v>
      </c>
      <c r="M51" s="21">
        <f t="shared" si="47"/>
        <v>100</v>
      </c>
      <c r="N51" s="22">
        <f>SUM(N40:N44)</f>
        <v>120574307.84</v>
      </c>
      <c r="O51" s="22">
        <f>SUM(O40:O44)</f>
        <v>120574307.84</v>
      </c>
      <c r="P51" s="21">
        <f t="shared" si="48"/>
        <v>100</v>
      </c>
      <c r="Q51" s="22">
        <f>SUM(Q40:Q44)</f>
        <v>112782045.71000001</v>
      </c>
      <c r="R51" s="22">
        <f>SUM(R40:R44)</f>
        <v>112782045.71000001</v>
      </c>
      <c r="S51" s="21">
        <f t="shared" si="49"/>
        <v>100</v>
      </c>
      <c r="T51" s="22">
        <f>SUM(T40:T44)</f>
        <v>163243796.72</v>
      </c>
      <c r="U51" s="22">
        <f>SUM(U40:U44)</f>
        <v>163243796.72</v>
      </c>
      <c r="V51" s="21">
        <f t="shared" si="50"/>
        <v>100</v>
      </c>
      <c r="W51" s="22">
        <f>SUM(W40:W44)</f>
        <v>161646491.43000001</v>
      </c>
      <c r="X51" s="22">
        <f>SUM(X40:X44)</f>
        <v>161435475.34</v>
      </c>
      <c r="Y51" s="21">
        <f t="shared" si="51"/>
        <v>99.869458292516427</v>
      </c>
      <c r="Z51" s="14">
        <f t="shared" si="8"/>
        <v>-0.9784783998498483</v>
      </c>
      <c r="AA51" s="14">
        <f t="shared" si="8"/>
        <v>-1.1077427849228911</v>
      </c>
    </row>
    <row r="52" spans="1:27" x14ac:dyDescent="0.3">
      <c r="A52" s="5" t="s">
        <v>67</v>
      </c>
      <c r="B52" s="31">
        <f t="shared" ref="B52:C52" si="69">B45</f>
        <v>0</v>
      </c>
      <c r="C52" s="31">
        <f t="shared" si="69"/>
        <v>0</v>
      </c>
      <c r="D52" s="21" t="str">
        <f t="shared" si="44"/>
        <v>-</v>
      </c>
      <c r="E52" s="31">
        <f t="shared" ref="E52:F52" si="70">E45</f>
        <v>0</v>
      </c>
      <c r="F52" s="31">
        <f t="shared" si="70"/>
        <v>0</v>
      </c>
      <c r="G52" s="21" t="str">
        <f t="shared" si="45"/>
        <v>-</v>
      </c>
      <c r="H52" s="28">
        <f t="shared" ref="H52:I52" si="71">H45</f>
        <v>0</v>
      </c>
      <c r="I52" s="22">
        <f t="shared" si="71"/>
        <v>0</v>
      </c>
      <c r="J52" s="21" t="str">
        <f t="shared" si="46"/>
        <v>-</v>
      </c>
      <c r="K52" s="22">
        <f t="shared" ref="K52:L52" si="72">K45</f>
        <v>0</v>
      </c>
      <c r="L52" s="22">
        <f t="shared" si="72"/>
        <v>0</v>
      </c>
      <c r="M52" s="21" t="str">
        <f t="shared" si="47"/>
        <v>-</v>
      </c>
      <c r="N52" s="22">
        <f t="shared" ref="N52:O52" si="73">N45</f>
        <v>0</v>
      </c>
      <c r="O52" s="22">
        <f t="shared" si="73"/>
        <v>0</v>
      </c>
      <c r="P52" s="21" t="str">
        <f t="shared" si="48"/>
        <v>-</v>
      </c>
      <c r="Q52" s="22">
        <f t="shared" ref="Q52:R52" si="74">Q45</f>
        <v>0</v>
      </c>
      <c r="R52" s="22">
        <f t="shared" si="74"/>
        <v>0</v>
      </c>
      <c r="S52" s="21" t="str">
        <f t="shared" si="49"/>
        <v>-</v>
      </c>
      <c r="T52" s="22">
        <f t="shared" ref="T52:U52" si="75">T45</f>
        <v>0</v>
      </c>
      <c r="U52" s="22">
        <f t="shared" si="75"/>
        <v>0</v>
      </c>
      <c r="V52" s="21" t="str">
        <f t="shared" si="50"/>
        <v>-</v>
      </c>
      <c r="W52" s="22">
        <f t="shared" ref="W52:X52" si="76">W45</f>
        <v>0</v>
      </c>
      <c r="X52" s="22">
        <f t="shared" si="76"/>
        <v>0</v>
      </c>
      <c r="Y52" s="21" t="str">
        <f t="shared" si="51"/>
        <v>-</v>
      </c>
      <c r="Z52" s="14" t="str">
        <f t="shared" si="8"/>
        <v>-</v>
      </c>
      <c r="AA52" s="14" t="str">
        <f t="shared" si="8"/>
        <v>-</v>
      </c>
    </row>
    <row r="53" spans="1:27" x14ac:dyDescent="0.3">
      <c r="A53" s="5" t="s">
        <v>68</v>
      </c>
      <c r="B53" s="31">
        <f>SUM(B46:B47)</f>
        <v>327032683.56</v>
      </c>
      <c r="C53" s="33">
        <v>264792189.41999999</v>
      </c>
      <c r="D53" s="21">
        <f t="shared" si="44"/>
        <v>80.968111975089215</v>
      </c>
      <c r="E53" s="31">
        <f>SUM(E46:E47)</f>
        <v>323991858.5</v>
      </c>
      <c r="F53" s="33">
        <v>264051506</v>
      </c>
      <c r="G53" s="21">
        <f t="shared" si="45"/>
        <v>81.499426319689448</v>
      </c>
      <c r="H53" s="28">
        <f>SUM(H46:H47)</f>
        <v>328229834.32999998</v>
      </c>
      <c r="I53" s="23">
        <v>251103339.80000001</v>
      </c>
      <c r="J53" s="21">
        <f t="shared" si="46"/>
        <v>76.502290022649944</v>
      </c>
      <c r="K53" s="22">
        <f>SUM(K46:K47)</f>
        <v>355605621.48000002</v>
      </c>
      <c r="L53" s="23">
        <v>285891750.05000001</v>
      </c>
      <c r="M53" s="21">
        <f t="shared" si="47"/>
        <v>80.3957341450743</v>
      </c>
      <c r="N53" s="22">
        <f>SUM(N46:N47)</f>
        <v>319606143.70999998</v>
      </c>
      <c r="O53" s="23">
        <v>246830430.11000001</v>
      </c>
      <c r="P53" s="21">
        <f t="shared" si="48"/>
        <v>77.229563626275521</v>
      </c>
      <c r="Q53" s="22">
        <f>SUM(Q46:Q47)</f>
        <v>359295760.06999999</v>
      </c>
      <c r="R53" s="23">
        <v>295422336.80000001</v>
      </c>
      <c r="S53" s="21">
        <f t="shared" si="49"/>
        <v>82.222605895055423</v>
      </c>
      <c r="T53" s="22">
        <f>SUM(T46:T47)</f>
        <v>280590783.19999999</v>
      </c>
      <c r="U53" s="23">
        <v>230458694.03999999</v>
      </c>
      <c r="V53" s="21">
        <f t="shared" si="50"/>
        <v>82.133379939188259</v>
      </c>
      <c r="W53" s="22">
        <f>SUM(W46:W47)</f>
        <v>623674033.90999997</v>
      </c>
      <c r="X53" s="23">
        <v>552817615.86000001</v>
      </c>
      <c r="Y53" s="21">
        <f t="shared" si="51"/>
        <v>88.638869954905815</v>
      </c>
      <c r="Z53" s="14">
        <f t="shared" si="8"/>
        <v>122.2717463479392</v>
      </c>
      <c r="AA53" s="14">
        <f t="shared" si="8"/>
        <v>139.87709301348778</v>
      </c>
    </row>
    <row r="54" spans="1:27" x14ac:dyDescent="0.3">
      <c r="A54" s="5" t="s">
        <v>69</v>
      </c>
      <c r="B54" s="20">
        <f t="shared" ref="B54:C54" si="77">SUM(B48:B53)</f>
        <v>3685872968.5699997</v>
      </c>
      <c r="C54" s="20">
        <f t="shared" si="77"/>
        <v>2891641827.1500001</v>
      </c>
      <c r="D54" s="21">
        <f t="shared" si="44"/>
        <v>78.452020777912594</v>
      </c>
      <c r="E54" s="27">
        <f t="shared" ref="E54:F54" si="78">SUM(E48:E53)</f>
        <v>3745369143.71</v>
      </c>
      <c r="F54" s="20">
        <f t="shared" si="78"/>
        <v>3090207984.79</v>
      </c>
      <c r="G54" s="21">
        <f t="shared" si="45"/>
        <v>82.507434280001945</v>
      </c>
      <c r="H54" s="27">
        <f t="shared" ref="H54:I54" si="79">SUM(H48:H53)</f>
        <v>3870787743.7899995</v>
      </c>
      <c r="I54" s="20">
        <f t="shared" si="79"/>
        <v>3186422633.5300002</v>
      </c>
      <c r="J54" s="21">
        <f t="shared" si="46"/>
        <v>82.319745861602897</v>
      </c>
      <c r="K54" s="27">
        <f t="shared" ref="K54:L54" si="80">SUM(K48:K53)</f>
        <v>3876880650.9699998</v>
      </c>
      <c r="L54" s="20">
        <f t="shared" si="80"/>
        <v>3156843222.7600012</v>
      </c>
      <c r="M54" s="21">
        <f t="shared" si="47"/>
        <v>81.427402774706408</v>
      </c>
      <c r="N54" s="27">
        <f t="shared" ref="N54:O54" si="81">SUM(N48:N53)</f>
        <v>3927231367.7000003</v>
      </c>
      <c r="O54" s="20">
        <f t="shared" si="81"/>
        <v>3233014993.9000001</v>
      </c>
      <c r="P54" s="21">
        <f t="shared" si="48"/>
        <v>82.323008022657675</v>
      </c>
      <c r="Q54" s="27">
        <f t="shared" ref="Q54:R54" si="82">SUM(Q48:Q53)</f>
        <v>3973788755.27</v>
      </c>
      <c r="R54" s="20">
        <f t="shared" si="82"/>
        <v>3329345537.5600009</v>
      </c>
      <c r="S54" s="21">
        <f t="shared" si="49"/>
        <v>83.782650326962028</v>
      </c>
      <c r="T54" s="27">
        <f t="shared" ref="T54:U54" si="83">SUM(T48:T53)</f>
        <v>3980736632.849999</v>
      </c>
      <c r="U54" s="20">
        <f t="shared" si="83"/>
        <v>3160513814.6499996</v>
      </c>
      <c r="V54" s="21">
        <f t="shared" si="50"/>
        <v>79.395200088563428</v>
      </c>
      <c r="W54" s="32">
        <f t="shared" ref="W54:X54" si="84">SUM(W48:W53)</f>
        <v>4383316230.3900003</v>
      </c>
      <c r="X54" s="32">
        <f t="shared" si="84"/>
        <v>3687185415.9500003</v>
      </c>
      <c r="Y54" s="21">
        <f t="shared" si="51"/>
        <v>84.11862667781871</v>
      </c>
      <c r="Z54" s="14">
        <f t="shared" si="8"/>
        <v>10.113193478257699</v>
      </c>
      <c r="AA54" s="14">
        <f t="shared" si="8"/>
        <v>16.664113248254381</v>
      </c>
    </row>
    <row r="55" spans="1:27" x14ac:dyDescent="0.3">
      <c r="A55" s="15" t="s">
        <v>70</v>
      </c>
      <c r="B55" s="16">
        <f t="shared" ref="B55:F55" si="85">B54-B53</f>
        <v>3358840285.0099998</v>
      </c>
      <c r="C55" s="16">
        <f t="shared" si="85"/>
        <v>2626849637.73</v>
      </c>
      <c r="D55" s="24">
        <f t="shared" si="44"/>
        <v>78.207042158367457</v>
      </c>
      <c r="E55" s="29">
        <f t="shared" si="85"/>
        <v>3421377285.21</v>
      </c>
      <c r="F55" s="16">
        <f t="shared" si="85"/>
        <v>2826156478.79</v>
      </c>
      <c r="G55" s="24">
        <f t="shared" si="45"/>
        <v>82.602888930342971</v>
      </c>
      <c r="H55" s="29">
        <f t="shared" ref="H55:I55" si="86">H54-H53</f>
        <v>3542557909.4599996</v>
      </c>
      <c r="I55" s="16">
        <f t="shared" si="86"/>
        <v>2935319293.73</v>
      </c>
      <c r="J55" s="24">
        <f t="shared" si="46"/>
        <v>82.85875259488526</v>
      </c>
      <c r="K55" s="29">
        <f t="shared" ref="K55:L55" si="87">K54-K53</f>
        <v>3521275029.4899998</v>
      </c>
      <c r="L55" s="16">
        <f t="shared" si="87"/>
        <v>2870951472.710001</v>
      </c>
      <c r="M55" s="24">
        <f t="shared" si="47"/>
        <v>81.531588662241248</v>
      </c>
      <c r="N55" s="29">
        <f t="shared" ref="N55:O55" si="88">N54-N53</f>
        <v>3607625223.9900002</v>
      </c>
      <c r="O55" s="16">
        <f t="shared" si="88"/>
        <v>2986184563.79</v>
      </c>
      <c r="P55" s="24">
        <f t="shared" si="48"/>
        <v>82.774245615438602</v>
      </c>
      <c r="Q55" s="29">
        <f t="shared" ref="Q55:R55" si="89">Q54-Q53</f>
        <v>3614492995.1999998</v>
      </c>
      <c r="R55" s="16">
        <f t="shared" si="89"/>
        <v>3033923200.7600007</v>
      </c>
      <c r="S55" s="24">
        <f t="shared" si="49"/>
        <v>83.937725285095638</v>
      </c>
      <c r="T55" s="29">
        <f t="shared" ref="T55:U55" si="90">T54-T53</f>
        <v>3700145849.6499991</v>
      </c>
      <c r="U55" s="16">
        <f t="shared" si="90"/>
        <v>2930055120.6099997</v>
      </c>
      <c r="V55" s="24">
        <f t="shared" si="50"/>
        <v>79.187557454989417</v>
      </c>
      <c r="W55" s="32">
        <f t="shared" ref="W55:X55" si="91">W54-W53</f>
        <v>3759642196.4800005</v>
      </c>
      <c r="X55" s="32">
        <f t="shared" si="91"/>
        <v>3134367800.0900002</v>
      </c>
      <c r="Y55" s="24">
        <f t="shared" si="51"/>
        <v>83.368779162670876</v>
      </c>
      <c r="Z55" s="17">
        <f t="shared" si="8"/>
        <v>1.607945990443298</v>
      </c>
      <c r="AA55" s="17">
        <f t="shared" si="8"/>
        <v>6.9729978130058186</v>
      </c>
    </row>
    <row r="56" spans="1:27" x14ac:dyDescent="0.3">
      <c r="A56" s="5" t="s">
        <v>71</v>
      </c>
      <c r="B56" s="32">
        <f t="shared" ref="B56:C57" si="92">B14-B48</f>
        <v>381514419.99000025</v>
      </c>
      <c r="C56" s="32">
        <f t="shared" si="92"/>
        <v>323002489.0999999</v>
      </c>
      <c r="D56" s="25"/>
      <c r="E56" s="32">
        <f t="shared" ref="E56:F57" si="93">E14-E48</f>
        <v>498616284.81000042</v>
      </c>
      <c r="F56" s="32">
        <f t="shared" si="93"/>
        <v>163366956.4400003</v>
      </c>
      <c r="G56" s="25"/>
      <c r="H56" s="32">
        <f t="shared" ref="H56:I57" si="94">H14-H48</f>
        <v>546481283.92000008</v>
      </c>
      <c r="I56" s="32">
        <f t="shared" si="94"/>
        <v>259298290.79999971</v>
      </c>
      <c r="J56" s="25"/>
      <c r="K56" s="32">
        <f t="shared" ref="K56:L57" si="95">K14-K48</f>
        <v>581360012.8300004</v>
      </c>
      <c r="L56" s="32">
        <f t="shared" si="95"/>
        <v>272317220.28999949</v>
      </c>
      <c r="M56" s="25"/>
      <c r="N56" s="32">
        <f t="shared" ref="N56:O56" si="96">N14-N48</f>
        <v>552267797.01000023</v>
      </c>
      <c r="O56" s="32">
        <f t="shared" si="96"/>
        <v>314985597.01999998</v>
      </c>
      <c r="P56" s="25"/>
      <c r="Q56" s="32">
        <f t="shared" ref="Q56:R56" si="97">Q14-Q48</f>
        <v>523140199.28999996</v>
      </c>
      <c r="R56" s="32">
        <f t="shared" si="97"/>
        <v>437636104.4199996</v>
      </c>
      <c r="S56" s="25"/>
      <c r="T56" s="32">
        <f t="shared" ref="T56:U56" si="98">T14-T48</f>
        <v>372787635.45000029</v>
      </c>
      <c r="U56" s="32">
        <f t="shared" si="98"/>
        <v>338153083.86999989</v>
      </c>
      <c r="V56" s="25"/>
      <c r="W56" s="32">
        <f t="shared" ref="W56:X57" si="99">W14-W48</f>
        <v>502278092.6500001</v>
      </c>
      <c r="X56" s="32">
        <f t="shared" si="99"/>
        <v>218291237.48999977</v>
      </c>
      <c r="Y56" s="25"/>
      <c r="Z56" s="14">
        <f t="shared" ref="Z56:AA59" si="100">IF(T56&gt;0,W56/T56*100-100,"-")</f>
        <v>34.735716769063174</v>
      </c>
      <c r="AA56" s="14">
        <f t="shared" si="100"/>
        <v>-35.446030835572685</v>
      </c>
    </row>
    <row r="57" spans="1:27" x14ac:dyDescent="0.3">
      <c r="A57" s="5" t="s">
        <v>72</v>
      </c>
      <c r="B57" s="32">
        <f t="shared" si="92"/>
        <v>-84116101.990000069</v>
      </c>
      <c r="C57" s="32">
        <f t="shared" si="92"/>
        <v>-42087956.810000002</v>
      </c>
      <c r="D57" s="25"/>
      <c r="E57" s="32">
        <f t="shared" si="93"/>
        <v>-84001730.959999979</v>
      </c>
      <c r="F57" s="32">
        <f t="shared" si="93"/>
        <v>-50397775.880000025</v>
      </c>
      <c r="G57" s="25"/>
      <c r="H57" s="32">
        <f t="shared" si="94"/>
        <v>107350427.40000004</v>
      </c>
      <c r="I57" s="32">
        <f t="shared" si="94"/>
        <v>116671041.58000004</v>
      </c>
      <c r="J57" s="25"/>
      <c r="K57" s="32">
        <f t="shared" si="95"/>
        <v>78157096.599999964</v>
      </c>
      <c r="L57" s="32">
        <f t="shared" si="95"/>
        <v>8938252.6499999762</v>
      </c>
      <c r="M57" s="25"/>
      <c r="N57" s="32">
        <f t="shared" ref="N57:O57" si="101">N15-N49</f>
        <v>-92370877.220000029</v>
      </c>
      <c r="O57" s="32">
        <f t="shared" si="101"/>
        <v>-82574150.870000064</v>
      </c>
      <c r="P57" s="25"/>
      <c r="Q57" s="32">
        <f t="shared" ref="Q57:R57" si="102">Q15-Q49</f>
        <v>-135768905.73999989</v>
      </c>
      <c r="R57" s="32">
        <f t="shared" si="102"/>
        <v>-192995598.37000006</v>
      </c>
      <c r="S57" s="25"/>
      <c r="T57" s="32">
        <f t="shared" ref="T57:U57" si="103">T15-T49</f>
        <v>-30647217.279999971</v>
      </c>
      <c r="U57" s="32">
        <f t="shared" si="103"/>
        <v>-32290239.74000001</v>
      </c>
      <c r="V57" s="25"/>
      <c r="W57" s="32">
        <f t="shared" si="99"/>
        <v>-32493848.220000029</v>
      </c>
      <c r="X57" s="32">
        <f t="shared" si="99"/>
        <v>-161083450.09000003</v>
      </c>
      <c r="Y57" s="25"/>
      <c r="Z57" s="14" t="str">
        <f t="shared" si="100"/>
        <v>-</v>
      </c>
      <c r="AA57" s="14" t="str">
        <f t="shared" si="100"/>
        <v>-</v>
      </c>
    </row>
    <row r="58" spans="1:27" x14ac:dyDescent="0.3">
      <c r="A58" s="5" t="s">
        <v>358</v>
      </c>
      <c r="B58" s="32">
        <f t="shared" ref="B58:C58" si="104">SUM(B14:B16)-SUM(B48:B50)</f>
        <v>297398318</v>
      </c>
      <c r="C58" s="32">
        <f t="shared" si="104"/>
        <v>280914532.28999996</v>
      </c>
      <c r="D58" s="25"/>
      <c r="E58" s="32">
        <f t="shared" ref="E58:F58" si="105">SUM(E14:E16)-SUM(E48:E50)</f>
        <v>411249278.57000017</v>
      </c>
      <c r="F58" s="32">
        <f t="shared" si="105"/>
        <v>109603905.28000021</v>
      </c>
      <c r="G58" s="25"/>
      <c r="H58" s="32">
        <f t="shared" ref="H58:I58" si="106">SUM(H14:H16)-SUM(H48:H50)</f>
        <v>624486054.9000001</v>
      </c>
      <c r="I58" s="32">
        <f t="shared" si="106"/>
        <v>348120665.73000002</v>
      </c>
      <c r="J58" s="25"/>
      <c r="K58" s="32">
        <f t="shared" ref="K58:L58" si="107">SUM(K14:K16)-SUM(K48:K50)</f>
        <v>676703759.0999999</v>
      </c>
      <c r="L58" s="32">
        <f t="shared" si="107"/>
        <v>340169402.0099988</v>
      </c>
      <c r="M58" s="25"/>
      <c r="N58" s="32">
        <f t="shared" ref="N58:O58" si="108">SUM(N14:N16)-SUM(N48:N50)</f>
        <v>260971319.87000036</v>
      </c>
      <c r="O58" s="32">
        <f t="shared" si="108"/>
        <v>33485846.230000019</v>
      </c>
      <c r="P58" s="25"/>
      <c r="Q58" s="32">
        <f t="shared" ref="Q58:R58" si="109">SUM(Q14:Q16)-SUM(Q48:Q50)</f>
        <v>387371293.55000019</v>
      </c>
      <c r="R58" s="32">
        <f t="shared" si="109"/>
        <v>164610506.04999924</v>
      </c>
      <c r="S58" s="25"/>
      <c r="T58" s="32">
        <f t="shared" ref="T58:U58" si="110">SUM(T14:T16)-SUM(T48:T50)</f>
        <v>332138418.17000055</v>
      </c>
      <c r="U58" s="32">
        <f t="shared" si="110"/>
        <v>255860844.13000011</v>
      </c>
      <c r="V58" s="25"/>
      <c r="W58" s="32">
        <f t="shared" ref="W58:X58" si="111">SUM(W14:W16)-SUM(W48:W50)</f>
        <v>469784244.42999983</v>
      </c>
      <c r="X58" s="32">
        <f t="shared" si="111"/>
        <v>7207787.4000000954</v>
      </c>
      <c r="Y58" s="25"/>
      <c r="Z58" s="14">
        <f t="shared" si="100"/>
        <v>41.442308004714789</v>
      </c>
      <c r="AA58" s="14">
        <f t="shared" si="100"/>
        <v>-97.182926748909694</v>
      </c>
    </row>
    <row r="59" spans="1:27" x14ac:dyDescent="0.3">
      <c r="A59" s="5" t="s">
        <v>359</v>
      </c>
      <c r="B59" s="32">
        <f t="shared" ref="B59:C59" si="112">B21-B55</f>
        <v>230897022.5</v>
      </c>
      <c r="C59" s="32">
        <f t="shared" si="112"/>
        <v>200439394.73999929</v>
      </c>
      <c r="D59" s="111"/>
      <c r="E59" s="32">
        <f t="shared" ref="E59:F59" si="113">E21-E55</f>
        <v>338553668.01999998</v>
      </c>
      <c r="F59" s="32">
        <f t="shared" si="113"/>
        <v>29274865.349999905</v>
      </c>
      <c r="G59" s="111"/>
      <c r="H59" s="32">
        <f t="shared" ref="H59:I59" si="114">H21-H55</f>
        <v>558714661.5999999</v>
      </c>
      <c r="I59" s="32">
        <f t="shared" si="114"/>
        <v>279890953.01999998</v>
      </c>
      <c r="J59" s="111"/>
      <c r="K59" s="32">
        <f t="shared" ref="K59:L59" si="115">K21-K55</f>
        <v>595920112.82999945</v>
      </c>
      <c r="L59" s="32">
        <f t="shared" si="115"/>
        <v>247932504.42999887</v>
      </c>
      <c r="M59" s="111"/>
      <c r="N59" s="32">
        <f t="shared" ref="N59:O59" si="116">N21-N55</f>
        <v>266951506.94000006</v>
      </c>
      <c r="O59" s="32">
        <f t="shared" si="116"/>
        <v>33163383.759999752</v>
      </c>
      <c r="P59" s="111"/>
      <c r="Q59" s="32">
        <f t="shared" ref="Q59:R59" si="117">Q21-Q55</f>
        <v>370752609.79999971</v>
      </c>
      <c r="R59" s="32">
        <f t="shared" si="117"/>
        <v>139667680.16999912</v>
      </c>
      <c r="S59" s="111"/>
      <c r="T59" s="32">
        <f t="shared" ref="T59:U59" si="118">T21-T55</f>
        <v>267804785.96000099</v>
      </c>
      <c r="U59" s="32">
        <f t="shared" si="118"/>
        <v>153237095.45000076</v>
      </c>
      <c r="V59" s="111"/>
      <c r="W59" s="32">
        <f t="shared" ref="W59:X59" si="119">W21-W55</f>
        <v>468520200.94000006</v>
      </c>
      <c r="X59" s="32">
        <f t="shared" si="119"/>
        <v>-2616668.4400000572</v>
      </c>
      <c r="Y59" s="111"/>
      <c r="Z59" s="14">
        <f t="shared" si="100"/>
        <v>74.948404771966125</v>
      </c>
      <c r="AA59" s="14">
        <f t="shared" si="100"/>
        <v>-101.70759464757268</v>
      </c>
    </row>
    <row r="60" spans="1:27" x14ac:dyDescent="0.3">
      <c r="A60" s="5" t="s">
        <v>360</v>
      </c>
      <c r="C60" s="6">
        <f>SUM(C14:C16)/SUM(B14:B16)*100</f>
        <v>78.519388567467459</v>
      </c>
      <c r="D60" s="111"/>
      <c r="F60" s="6">
        <f>SUM(F14:F16)/SUM(E14:E16)*100</f>
        <v>75.422184269032357</v>
      </c>
      <c r="G60" s="111"/>
      <c r="I60" s="6">
        <f>SUM(I14:I16)/SUM(H14:H16)*100</f>
        <v>77.764761047114376</v>
      </c>
      <c r="J60" s="111"/>
      <c r="L60" s="6">
        <f>SUM(L14:L16)/SUM(K14:K16)*100</f>
        <v>75.331387833653707</v>
      </c>
      <c r="M60" s="111"/>
      <c r="O60" s="6">
        <f>SUM(O14:O16)/SUM(N14:N16)*100</f>
        <v>77.350024082528662</v>
      </c>
      <c r="P60" s="111"/>
      <c r="R60" s="119">
        <f>SUM(R14:R16)/SUM(Q14:Q16)*100</f>
        <v>79.343954904073811</v>
      </c>
      <c r="S60" s="111"/>
      <c r="U60" s="119">
        <f>SUM(U14:U16)/SUM(T14:T16)*100</f>
        <v>78.124594213940327</v>
      </c>
      <c r="V60" s="111"/>
      <c r="X60" s="119">
        <f>SUM(X14:X16)/SUM(W14:W16)*100</f>
        <v>73.262077820383638</v>
      </c>
      <c r="Y60" s="111"/>
    </row>
    <row r="61" spans="1:27" x14ac:dyDescent="0.3">
      <c r="A61" s="5" t="s">
        <v>361</v>
      </c>
      <c r="C61" s="6">
        <f>SUM(C48:C50)/SUM(B48:B50)*100</f>
        <v>77.032131308230944</v>
      </c>
      <c r="D61" s="111"/>
      <c r="F61" s="6">
        <f>SUM(F48:F50)/SUM(E48:E50)*100</f>
        <v>81.616725960248857</v>
      </c>
      <c r="G61" s="111"/>
      <c r="I61" s="6">
        <f>SUM(I48:I50)/SUM(H48:H50)*100</f>
        <v>81.870250035423453</v>
      </c>
      <c r="J61" s="111"/>
      <c r="L61" s="6">
        <f>SUM(L48:L50)/SUM(K48:K50)*100</f>
        <v>80.434076748292256</v>
      </c>
      <c r="M61" s="111"/>
      <c r="O61" s="6">
        <f>SUM(O48:O50)/SUM(N48:N50)*100</f>
        <v>82.178618117623486</v>
      </c>
      <c r="P61" s="111"/>
      <c r="R61" s="123">
        <f>SUM(R48:R50)/SUM(Q48:Q50)*100</f>
        <v>83.420396405803999</v>
      </c>
      <c r="S61" s="111"/>
      <c r="U61" s="123">
        <f>SUM(U48:U50)/SUM(T48:T50)*100</f>
        <v>78.226970452799222</v>
      </c>
      <c r="V61" s="111"/>
      <c r="X61" s="123">
        <f>SUM(X48:X50)/SUM(W48:W50)*100</f>
        <v>82.627456185601147</v>
      </c>
      <c r="Y61" s="111"/>
    </row>
    <row r="62" spans="1:27" x14ac:dyDescent="0.3">
      <c r="A62" s="5" t="s">
        <v>362</v>
      </c>
      <c r="B62" s="119">
        <f>(B3+B5+B6+B9+B10+B16)/(B14+B15+B16)*100</f>
        <v>85.252342064359027</v>
      </c>
      <c r="C62" s="119">
        <f>(C3+C5+C6+C9+C10+C16)/(C14+C15+C16)*100</f>
        <v>83.292688401170196</v>
      </c>
      <c r="E62" s="119">
        <f>(E3+E5+E6+E9+E10+E16)/(E14+E15+E16)*100</f>
        <v>83.127454151305741</v>
      </c>
      <c r="F62" s="119">
        <f>(F3+F5+F6+F9+F10+F16)/(F14+F15+F16)*100</f>
        <v>79.761357232127295</v>
      </c>
      <c r="H62" s="119">
        <f>(H3+H5+H6+H9+H10+H16)/(H14+H15+H16)*100</f>
        <v>83.081859864063958</v>
      </c>
      <c r="I62" s="119">
        <f>(I3+I5+I6+I9+I10+I16)/(I14+I15+I16)*100</f>
        <v>85.209905796758505</v>
      </c>
      <c r="K62" s="119">
        <f>(K3+K5+K6+K9+K10+K16)/(K14+K15+K16)*100</f>
        <v>83.665390487131376</v>
      </c>
      <c r="L62" s="119">
        <f>(L3+L5+L6+L9+L10+L16)/(L14+L15+L16)*100</f>
        <v>89.661038646440545</v>
      </c>
      <c r="N62" s="119">
        <f>(N3+N5+N6+N9+N10+N16)/(N14+N15+N16)*100</f>
        <v>69.295241002303925</v>
      </c>
      <c r="O62" s="119">
        <f>(O3+O5+O6+O9+O10+O16)/(O14+O15+O16)*100</f>
        <v>70.99089865363203</v>
      </c>
      <c r="Q62" s="119">
        <f>(Q3+Q5+Q6+Q9+Q10+Q16)/(Q14+Q15+Q16)*100</f>
        <v>67.158084974011615</v>
      </c>
      <c r="R62" s="119">
        <f>(R3+R5+R6+R9+R10+R16)/(R14+R15+R16)*100</f>
        <v>65.445861911975641</v>
      </c>
      <c r="T62" s="119">
        <f>(T3+T5+T6+T9+T10+T16)/(T14+T15+T16)*100</f>
        <v>73.302340435422593</v>
      </c>
      <c r="U62" s="119">
        <f>(U3+U5+U6+U9+U10+U16)/(U14+U15+U16)*100</f>
        <v>72.769350767232993</v>
      </c>
      <c r="W62" s="119">
        <f>(W3+W5+W6+W9+W10+W16)/(W14+W15+W16)*100</f>
        <v>77.865049841127671</v>
      </c>
      <c r="X62" s="119">
        <f>(X3+X5+X6+X9+X10+X16)/(X14+X15+X16)*100</f>
        <v>78.279214665749279</v>
      </c>
    </row>
    <row r="63" spans="1:27" x14ac:dyDescent="0.3">
      <c r="A63" s="5" t="s">
        <v>363</v>
      </c>
      <c r="B63" s="119">
        <f>(B4+B7+B8)/(B14+B15+B16)*100</f>
        <v>14.747657935640973</v>
      </c>
      <c r="C63" s="119">
        <f>(C4+C7+C8)/(C14+C15+C16)*100</f>
        <v>16.707311598829801</v>
      </c>
      <c r="E63" s="119">
        <f>(E4+E7+E8)/(E14+E15+E16)*100</f>
        <v>16.872545848694255</v>
      </c>
      <c r="F63" s="119">
        <f>(F4+F7+F8)/(F14+F15+F16)*100</f>
        <v>20.238642767872712</v>
      </c>
      <c r="H63" s="119">
        <f>(H4+H7+H8)/(H14+H15+H16)*100</f>
        <v>16.918140135936042</v>
      </c>
      <c r="I63" s="119">
        <f>(I4+I7+I8)/(I14+I15+I16)*100</f>
        <v>14.790094203241507</v>
      </c>
      <c r="K63" s="119">
        <f>(K4+K7+K8)/(K14+K15+K16)*100</f>
        <v>16.334609512868621</v>
      </c>
      <c r="L63" s="119">
        <f>(L4+L7+L8)/(L14+L15+L16)*100</f>
        <v>10.338961353559455</v>
      </c>
      <c r="N63" s="119">
        <f>(N4+N7+N8)/(N14+N15+N16)*100</f>
        <v>30.704758997696057</v>
      </c>
      <c r="O63" s="119">
        <f>(O4+O7+O8)/(O14+O15+O16)*100</f>
        <v>29.009101346367984</v>
      </c>
      <c r="Q63" s="119">
        <f>(Q4+Q7+Q8)/(Q14+Q15+Q16)*100</f>
        <v>32.841915025988385</v>
      </c>
      <c r="R63" s="123">
        <f>(R4+R7+R8)/(R14+R15+R16)*100</f>
        <v>34.554138088024381</v>
      </c>
      <c r="T63" s="119">
        <f>(T4+T7+T8)/(T14+T15+T16)*100</f>
        <v>26.697659564577407</v>
      </c>
      <c r="U63" s="123">
        <f>(U4+U7+U8)/(U14+U15+U16)*100</f>
        <v>27.230649232767007</v>
      </c>
      <c r="W63" s="119">
        <f>(W4+W7+W8)/(W14+W15+W16)*100</f>
        <v>22.134950158872329</v>
      </c>
      <c r="X63" s="123">
        <f>(X4+X7+X8)/(X14+X15+X16)*100</f>
        <v>21.720785334250717</v>
      </c>
    </row>
  </sheetData>
  <mergeCells count="9">
    <mergeCell ref="Z1:AA1"/>
    <mergeCell ref="B1:D1"/>
    <mergeCell ref="E1:G1"/>
    <mergeCell ref="H1:J1"/>
    <mergeCell ref="W1:Y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topLeftCell="B1" workbookViewId="0">
      <selection activeCell="K2" sqref="K2:K28"/>
    </sheetView>
  </sheetViews>
  <sheetFormatPr defaultRowHeight="14.4" x14ac:dyDescent="0.3"/>
  <cols>
    <col min="1" max="1" width="51.6640625" style="36" bestFit="1" customWidth="1"/>
    <col min="2" max="11" width="13.88671875" bestFit="1" customWidth="1"/>
    <col min="12" max="13" width="12.6640625" bestFit="1" customWidth="1"/>
  </cols>
  <sheetData>
    <row r="1" spans="1:12" x14ac:dyDescent="0.3">
      <c r="A1" s="77"/>
      <c r="B1" s="73">
        <v>2014</v>
      </c>
      <c r="C1" s="73">
        <v>2015</v>
      </c>
      <c r="D1" s="73">
        <v>2016</v>
      </c>
      <c r="E1" s="73">
        <v>2017</v>
      </c>
      <c r="F1" s="73">
        <v>2018</v>
      </c>
      <c r="G1" s="73">
        <v>2019</v>
      </c>
      <c r="H1" s="73">
        <v>2020</v>
      </c>
      <c r="I1" s="73">
        <v>2021</v>
      </c>
      <c r="J1" s="73">
        <v>2022</v>
      </c>
      <c r="K1" s="73">
        <v>2023</v>
      </c>
    </row>
    <row r="2" spans="1:12" x14ac:dyDescent="0.3">
      <c r="A2" s="36" t="s">
        <v>212</v>
      </c>
      <c r="B2">
        <v>0</v>
      </c>
      <c r="C2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</row>
    <row r="3" spans="1:12" x14ac:dyDescent="0.3">
      <c r="A3" s="36" t="s">
        <v>213</v>
      </c>
      <c r="B3" s="1">
        <v>3780940.71</v>
      </c>
      <c r="C3" s="1">
        <v>9354895.5600000005</v>
      </c>
      <c r="D3" s="1">
        <v>12767011.43</v>
      </c>
      <c r="E3" s="1">
        <v>13544978.42</v>
      </c>
      <c r="F3" s="1">
        <v>16370163.08</v>
      </c>
      <c r="G3" s="1">
        <v>21607569.239999998</v>
      </c>
      <c r="H3" s="1">
        <v>34465547.560000002</v>
      </c>
      <c r="I3" s="1">
        <v>41818054.600000001</v>
      </c>
      <c r="J3" s="1">
        <v>48866032.030000001</v>
      </c>
      <c r="K3" s="1">
        <v>53967085.299999997</v>
      </c>
    </row>
    <row r="4" spans="1:12" x14ac:dyDescent="0.3">
      <c r="A4" s="36" t="s">
        <v>214</v>
      </c>
      <c r="B4" s="1">
        <v>8828143471.6200008</v>
      </c>
      <c r="C4" s="1">
        <v>8955433427.9200001</v>
      </c>
      <c r="D4" s="1">
        <v>8900239539.8600006</v>
      </c>
      <c r="E4" s="1">
        <v>8877765217.8600006</v>
      </c>
      <c r="F4" s="1">
        <v>8797309553.5799999</v>
      </c>
      <c r="G4" s="1">
        <v>8930765310.4699993</v>
      </c>
      <c r="H4" s="1">
        <v>9128841469.8700008</v>
      </c>
      <c r="I4" s="1">
        <v>9317052117.8400002</v>
      </c>
      <c r="J4" s="1">
        <v>9240524884.2600002</v>
      </c>
      <c r="K4" s="1">
        <v>9248852662.0900002</v>
      </c>
    </row>
    <row r="5" spans="1:12" x14ac:dyDescent="0.3">
      <c r="A5" s="36" t="s">
        <v>228</v>
      </c>
      <c r="B5" s="1">
        <f>1342257973.7+55312822.87+354979446.2</f>
        <v>1752550242.77</v>
      </c>
      <c r="C5" s="1">
        <f>1269961433.38+55077824.95+355283494.82</f>
        <v>1680322753.1500001</v>
      </c>
      <c r="D5" s="1">
        <v>1679962762.8</v>
      </c>
      <c r="E5" s="1">
        <v>1762766938.8</v>
      </c>
      <c r="F5" s="1">
        <v>1808337395.22</v>
      </c>
      <c r="G5" s="1">
        <v>2055098876.9100001</v>
      </c>
      <c r="H5" s="1">
        <v>2022313060.53</v>
      </c>
      <c r="I5" s="1">
        <v>2014199625.99</v>
      </c>
      <c r="J5" s="1">
        <v>2005043729.8199999</v>
      </c>
      <c r="K5" s="1">
        <v>2030226685.0999999</v>
      </c>
    </row>
    <row r="6" spans="1:12" x14ac:dyDescent="0.3">
      <c r="A6" s="36" t="s">
        <v>229</v>
      </c>
      <c r="B6" s="1">
        <f>9000000+313190956.38</f>
        <v>322190956.38</v>
      </c>
      <c r="C6" s="1">
        <f>9000000+313190956.38</f>
        <v>322190956.38</v>
      </c>
      <c r="D6" s="1">
        <v>412012109.80000001</v>
      </c>
      <c r="E6" s="1">
        <v>458941729.24000001</v>
      </c>
      <c r="F6" s="1">
        <v>508306855.13999999</v>
      </c>
      <c r="G6" s="1">
        <v>581824571</v>
      </c>
      <c r="H6" s="1">
        <v>635157436.66999996</v>
      </c>
      <c r="I6" s="1">
        <v>697739951.86000001</v>
      </c>
      <c r="J6" s="1">
        <v>754596427.95000005</v>
      </c>
      <c r="K6" s="1">
        <v>813861009.65999997</v>
      </c>
    </row>
    <row r="7" spans="1:12" x14ac:dyDescent="0.3">
      <c r="A7" s="36" t="s">
        <v>230</v>
      </c>
      <c r="B7" s="1">
        <v>161244215</v>
      </c>
      <c r="C7" s="1">
        <v>161244215</v>
      </c>
      <c r="D7" s="1">
        <v>161244215</v>
      </c>
      <c r="E7" s="1">
        <v>161244215</v>
      </c>
      <c r="F7" s="1">
        <v>161244215</v>
      </c>
      <c r="G7" s="1">
        <v>161244215</v>
      </c>
      <c r="H7" s="1">
        <v>161244215</v>
      </c>
      <c r="I7" s="1">
        <v>161244215</v>
      </c>
      <c r="J7" s="1">
        <v>161244215</v>
      </c>
      <c r="K7" s="1">
        <v>161244215</v>
      </c>
    </row>
    <row r="8" spans="1:12" x14ac:dyDescent="0.3">
      <c r="A8" s="36" t="s">
        <v>231</v>
      </c>
      <c r="B8" s="1">
        <v>1031081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</row>
    <row r="9" spans="1:12" x14ac:dyDescent="0.3">
      <c r="A9" s="36" t="s">
        <v>215</v>
      </c>
      <c r="B9" s="1">
        <v>2984467765.3299999</v>
      </c>
      <c r="C9" s="1">
        <v>2940782320.4299998</v>
      </c>
      <c r="D9" s="1">
        <v>2564507950.6300001</v>
      </c>
      <c r="E9" s="1">
        <v>2418217529.0599999</v>
      </c>
      <c r="F9" s="1">
        <v>2452260031.8600001</v>
      </c>
      <c r="G9" s="1">
        <v>2401437700.1599998</v>
      </c>
      <c r="H9" s="1">
        <v>2298177996.6500001</v>
      </c>
      <c r="I9" s="1">
        <v>2188447991.0799999</v>
      </c>
      <c r="J9" s="1">
        <v>2200908974.1900001</v>
      </c>
      <c r="K9" s="1">
        <v>2147819945.29</v>
      </c>
    </row>
    <row r="10" spans="1:12" x14ac:dyDescent="0.3">
      <c r="A10" s="36" t="s">
        <v>232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19624.46</v>
      </c>
      <c r="H10" s="1">
        <v>27422.95</v>
      </c>
      <c r="I10" s="1">
        <v>23240.87</v>
      </c>
      <c r="J10" s="1">
        <v>23250.43</v>
      </c>
      <c r="K10" s="1">
        <v>23236.19</v>
      </c>
    </row>
    <row r="11" spans="1:12" x14ac:dyDescent="0.3">
      <c r="A11" s="36" t="s">
        <v>216</v>
      </c>
      <c r="B11" s="1">
        <v>755165246.26999998</v>
      </c>
      <c r="C11" s="1">
        <v>1031662651.45</v>
      </c>
      <c r="D11" s="1">
        <v>1219905386.22</v>
      </c>
      <c r="E11" s="1">
        <v>1151161235.97</v>
      </c>
      <c r="F11" s="1">
        <v>1541257919.29</v>
      </c>
      <c r="G11" s="1">
        <v>1869291766.8299999</v>
      </c>
      <c r="H11" s="1">
        <v>2041599161.47</v>
      </c>
      <c r="I11" s="1">
        <v>2492003102.8499999</v>
      </c>
      <c r="J11" s="1">
        <v>2824757147.0500002</v>
      </c>
      <c r="K11" s="1">
        <v>2753674550.4000001</v>
      </c>
    </row>
    <row r="12" spans="1:12" x14ac:dyDescent="0.3">
      <c r="A12" s="36" t="s">
        <v>217</v>
      </c>
      <c r="B12" s="1">
        <v>1532453.9</v>
      </c>
      <c r="C12" s="1">
        <v>1445406.12</v>
      </c>
      <c r="D12" s="1">
        <v>496158.37</v>
      </c>
      <c r="E12" s="1">
        <v>611345.54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2" x14ac:dyDescent="0.3">
      <c r="A13" s="11" t="s">
        <v>218</v>
      </c>
      <c r="B13" s="12">
        <f>SUM(B2:B12)</f>
        <v>14810106372.98</v>
      </c>
      <c r="C13" s="12">
        <f>SUM(C2:C12)</f>
        <v>15102436626.01</v>
      </c>
      <c r="D13" s="12">
        <f>SUM(D2:D12)</f>
        <v>14951135134.110001</v>
      </c>
      <c r="E13" s="12">
        <f>SUM(E2:E12)</f>
        <v>14844253189.889999</v>
      </c>
      <c r="F13" s="12">
        <f>SUM(F2:F12)</f>
        <v>15285086133.169998</v>
      </c>
      <c r="G13" s="12">
        <f t="shared" ref="G13" si="0">SUM(G2:G12)</f>
        <v>16021289634.069998</v>
      </c>
      <c r="H13" s="12">
        <f t="shared" ref="H13:K13" si="1">SUM(H2:H12)</f>
        <v>16321826310.700001</v>
      </c>
      <c r="I13" s="12">
        <f t="shared" ref="I13:J13" si="2">SUM(I2:I12)</f>
        <v>16912528300.090002</v>
      </c>
      <c r="J13" s="12">
        <f t="shared" si="2"/>
        <v>17235964660.730003</v>
      </c>
      <c r="K13" s="12">
        <f t="shared" si="1"/>
        <v>17209669389.029999</v>
      </c>
    </row>
    <row r="14" spans="1:12" x14ac:dyDescent="0.3">
      <c r="A14" s="36" t="s">
        <v>219</v>
      </c>
      <c r="B14" s="1">
        <v>6038281967.8800001</v>
      </c>
      <c r="C14" s="1">
        <v>6038281967.8800001</v>
      </c>
      <c r="D14" s="1">
        <v>6038281967.8800001</v>
      </c>
      <c r="E14" s="1">
        <v>6038281967.8800001</v>
      </c>
      <c r="F14" s="1">
        <v>6115700967.8800001</v>
      </c>
      <c r="G14" s="1">
        <v>6115700967.8800001</v>
      </c>
      <c r="H14" s="1">
        <v>6115700967.8800001</v>
      </c>
      <c r="I14" s="1">
        <v>6115700967.8800001</v>
      </c>
      <c r="J14" s="1">
        <v>6115700967.8800001</v>
      </c>
      <c r="K14" s="1">
        <v>6115700967.8000002</v>
      </c>
      <c r="L14" s="98"/>
    </row>
    <row r="15" spans="1:12" x14ac:dyDescent="0.3">
      <c r="A15" s="36" t="s">
        <v>220</v>
      </c>
      <c r="B15" s="1">
        <f>482069390.07+301050240.53</f>
        <v>783119630.5999999</v>
      </c>
      <c r="C15" s="1">
        <f>482069390.07+354817629.89</f>
        <v>836887019.96000004</v>
      </c>
      <c r="D15" s="1">
        <v>992351564.36000001</v>
      </c>
      <c r="E15" s="1">
        <v>926111053.88</v>
      </c>
      <c r="F15" s="1">
        <v>1012606484.86</v>
      </c>
      <c r="G15" s="1">
        <v>1601932330.8399999</v>
      </c>
      <c r="H15" s="1">
        <v>1602143209.8499999</v>
      </c>
      <c r="I15" s="1">
        <v>1729461092.5899999</v>
      </c>
      <c r="J15" s="1">
        <v>1965296210.01</v>
      </c>
      <c r="K15" s="1">
        <v>2039230790.8299999</v>
      </c>
    </row>
    <row r="16" spans="1:12" x14ac:dyDescent="0.3">
      <c r="A16" s="36" t="s">
        <v>235</v>
      </c>
      <c r="B16" s="1">
        <v>301050240.52999997</v>
      </c>
      <c r="C16" s="1">
        <v>354817629.88999999</v>
      </c>
      <c r="D16" s="1">
        <v>434328674.75</v>
      </c>
      <c r="E16" s="1">
        <v>482952168.76999998</v>
      </c>
      <c r="F16" s="1">
        <v>582137632.87</v>
      </c>
      <c r="G16" s="1">
        <v>698975581.27999997</v>
      </c>
      <c r="H16" s="1">
        <v>772058311.79999995</v>
      </c>
      <c r="I16" s="1">
        <v>845864048.61000001</v>
      </c>
      <c r="J16" s="1">
        <v>911516259.98000002</v>
      </c>
      <c r="K16" s="1">
        <v>985450840.79999995</v>
      </c>
    </row>
    <row r="17" spans="1:13" x14ac:dyDescent="0.3">
      <c r="A17" s="36" t="s">
        <v>221</v>
      </c>
      <c r="B17" s="1">
        <v>0</v>
      </c>
      <c r="C17" s="1">
        <v>75953499.540000007</v>
      </c>
      <c r="D17" s="1">
        <v>-114864004.5</v>
      </c>
      <c r="E17" s="1">
        <v>-12690033.119999999</v>
      </c>
      <c r="F17" s="1">
        <v>88761068.209999993</v>
      </c>
      <c r="G17" s="1">
        <v>281465557.75999999</v>
      </c>
      <c r="H17" s="1">
        <v>15402647.49</v>
      </c>
      <c r="I17" s="1">
        <v>167398107.90000001</v>
      </c>
      <c r="J17" s="1">
        <v>-66284721.68</v>
      </c>
      <c r="K17" s="1">
        <v>-9929477.8000000007</v>
      </c>
    </row>
    <row r="18" spans="1:13" x14ac:dyDescent="0.3">
      <c r="A18" s="36" t="s">
        <v>364</v>
      </c>
      <c r="B18" s="1"/>
      <c r="C18" s="1"/>
      <c r="D18" s="1"/>
      <c r="E18" s="1"/>
      <c r="F18" s="1"/>
      <c r="G18" s="1"/>
      <c r="H18" s="1">
        <v>354337409.26999998</v>
      </c>
      <c r="I18" s="1">
        <v>354337409.26999998</v>
      </c>
      <c r="J18" s="1">
        <v>247748474.40000001</v>
      </c>
      <c r="K18" s="1">
        <v>179439752.72</v>
      </c>
    </row>
    <row r="19" spans="1:13" x14ac:dyDescent="0.3">
      <c r="A19" s="36" t="s">
        <v>365</v>
      </c>
      <c r="B19" s="1"/>
      <c r="C19" s="1"/>
      <c r="D19" s="1"/>
      <c r="E19" s="1"/>
      <c r="F19" s="1"/>
      <c r="G19" s="1"/>
      <c r="H19" s="1">
        <v>0</v>
      </c>
      <c r="I19" s="1">
        <v>0</v>
      </c>
      <c r="J19" s="1">
        <v>0</v>
      </c>
      <c r="K19" s="1">
        <v>0</v>
      </c>
    </row>
    <row r="20" spans="1:13" x14ac:dyDescent="0.3">
      <c r="A20" s="36" t="s">
        <v>222</v>
      </c>
      <c r="B20" s="1">
        <v>0</v>
      </c>
      <c r="C20" s="1">
        <v>0</v>
      </c>
      <c r="D20" s="1">
        <v>0</v>
      </c>
      <c r="E20" s="1">
        <v>0</v>
      </c>
      <c r="F20" s="1">
        <v>28458940</v>
      </c>
      <c r="G20" s="1">
        <v>67361852</v>
      </c>
      <c r="H20" s="1">
        <v>117379462</v>
      </c>
      <c r="I20" s="1">
        <v>171720752</v>
      </c>
      <c r="J20" s="1">
        <v>212167721</v>
      </c>
      <c r="K20" s="1">
        <v>247771024</v>
      </c>
    </row>
    <row r="21" spans="1:13" x14ac:dyDescent="0.3">
      <c r="A21" s="36" t="s">
        <v>209</v>
      </c>
      <c r="B21" s="1">
        <v>4466330491.6700001</v>
      </c>
      <c r="C21" s="1">
        <v>4432551827.670001</v>
      </c>
      <c r="D21" s="1">
        <v>4322832185.5900002</v>
      </c>
      <c r="E21" s="1">
        <v>4180130670.8699999</v>
      </c>
      <c r="F21" s="1">
        <v>4182368525.8200002</v>
      </c>
      <c r="G21" s="1">
        <v>4110054531.1300001</v>
      </c>
      <c r="H21" s="1">
        <v>4190621919.1300001</v>
      </c>
      <c r="I21" s="1">
        <v>4334271787.9499998</v>
      </c>
      <c r="J21" s="1">
        <v>4308970904.3199997</v>
      </c>
      <c r="K21" s="1">
        <v>4206649368.54</v>
      </c>
    </row>
    <row r="22" spans="1:13" x14ac:dyDescent="0.3">
      <c r="A22" s="36" t="s">
        <v>223</v>
      </c>
      <c r="B22" s="1">
        <v>835386888.11000001</v>
      </c>
      <c r="C22" s="1">
        <v>803765896.80999994</v>
      </c>
      <c r="D22" s="1">
        <v>802308016.38999999</v>
      </c>
      <c r="E22" s="1">
        <v>761630527.52999997</v>
      </c>
      <c r="F22" s="1">
        <v>773661662.66999996</v>
      </c>
      <c r="G22" s="1">
        <v>536091978.17000002</v>
      </c>
      <c r="H22" s="1">
        <v>534018725.68000001</v>
      </c>
      <c r="I22" s="1">
        <v>536433588.20999998</v>
      </c>
      <c r="J22" s="1">
        <v>586344846.39999998</v>
      </c>
      <c r="K22" s="1">
        <v>470394227.50999999</v>
      </c>
    </row>
    <row r="23" spans="1:13" x14ac:dyDescent="0.3">
      <c r="A23" s="36" t="s">
        <v>224</v>
      </c>
      <c r="B23" s="1">
        <v>17849979.59</v>
      </c>
      <c r="C23" s="1">
        <v>51535848.490000002</v>
      </c>
      <c r="D23" s="1">
        <v>29382136.93</v>
      </c>
      <c r="E23" s="1">
        <v>18835861.890000001</v>
      </c>
      <c r="F23" s="1">
        <v>36583522.119999997</v>
      </c>
      <c r="G23" s="1">
        <v>108572240.44</v>
      </c>
      <c r="H23" s="1">
        <v>145140373.00999999</v>
      </c>
      <c r="I23" s="1">
        <v>115421866.94</v>
      </c>
      <c r="J23" s="1">
        <v>187048815.84</v>
      </c>
      <c r="K23" s="1">
        <v>106939014.14</v>
      </c>
    </row>
    <row r="24" spans="1:13" x14ac:dyDescent="0.3">
      <c r="A24" s="36" t="s">
        <v>225</v>
      </c>
      <c r="B24" s="1">
        <f>3668.2+15622.5+102988939.11</f>
        <v>103008229.81</v>
      </c>
      <c r="C24" s="1">
        <f>92897506.99+3364885.56+83974816.73</f>
        <v>180237209.28</v>
      </c>
      <c r="D24" s="1">
        <v>187115274.28999999</v>
      </c>
      <c r="E24" s="1">
        <v>153916524.33000001</v>
      </c>
      <c r="F24" s="1">
        <v>173881567.93000001</v>
      </c>
      <c r="G24" s="1">
        <v>210445161.53</v>
      </c>
      <c r="H24" s="1">
        <v>219146527.74000001</v>
      </c>
      <c r="I24" s="1">
        <v>199682687.53</v>
      </c>
      <c r="J24" s="1">
        <v>241493183.40000001</v>
      </c>
      <c r="K24" s="1">
        <v>234149688.13999999</v>
      </c>
      <c r="L24" s="1"/>
      <c r="M24" s="1"/>
    </row>
    <row r="25" spans="1:13" x14ac:dyDescent="0.3">
      <c r="A25" s="36" t="s">
        <v>226</v>
      </c>
      <c r="B25" s="1">
        <v>2566129185.3200002</v>
      </c>
      <c r="C25" s="1">
        <v>2683223356.3800001</v>
      </c>
      <c r="D25" s="1">
        <v>2693727993.1700001</v>
      </c>
      <c r="E25" s="1">
        <v>2778036616.6300001</v>
      </c>
      <c r="F25" s="1">
        <v>2873063393.6799998</v>
      </c>
      <c r="G25" s="1">
        <v>2989665014.3200002</v>
      </c>
      <c r="H25" s="1">
        <v>3027935068.6500001</v>
      </c>
      <c r="I25" s="1">
        <v>3188100039.8200002</v>
      </c>
      <c r="J25" s="1">
        <v>3437478259.1599998</v>
      </c>
      <c r="K25" s="1">
        <v>3619324033.21</v>
      </c>
    </row>
    <row r="26" spans="1:13" x14ac:dyDescent="0.3">
      <c r="A26" s="76" t="s">
        <v>227</v>
      </c>
      <c r="B26" s="3">
        <f>SUM(B14:B25)-B16</f>
        <v>14810106372.98</v>
      </c>
      <c r="C26" s="3">
        <f>SUM(C14:C25)-C16</f>
        <v>15102436626.010002</v>
      </c>
      <c r="D26" s="3">
        <f>SUM(D14:D25)-D16</f>
        <v>14951135134.110001</v>
      </c>
      <c r="E26" s="3">
        <f t="shared" ref="E26:F26" si="3">SUM(E14:E25)-E16</f>
        <v>14844253189.889999</v>
      </c>
      <c r="F26" s="3">
        <f t="shared" si="3"/>
        <v>15285086133.17</v>
      </c>
      <c r="G26" s="3">
        <f t="shared" ref="G26:K26" si="4">SUM(G14:G25)-G16</f>
        <v>16021289634.07</v>
      </c>
      <c r="H26" s="3">
        <f t="shared" ref="H26" si="5">SUM(H14:H25)-H16</f>
        <v>16321826310.699999</v>
      </c>
      <c r="I26" s="3">
        <f t="shared" ref="I26" si="6">SUM(I14:I25)-I16</f>
        <v>16912528300.09</v>
      </c>
      <c r="J26" s="3">
        <f t="shared" ref="J26" si="7">SUM(J14:J25)-J16</f>
        <v>17235964660.73</v>
      </c>
      <c r="K26" s="3">
        <f t="shared" si="4"/>
        <v>17209669389.09</v>
      </c>
    </row>
    <row r="27" spans="1:13" x14ac:dyDescent="0.3">
      <c r="A27" s="11" t="s">
        <v>267</v>
      </c>
      <c r="B27" s="12">
        <f>B14+B15+B17+B18+B19</f>
        <v>6821401598.4799995</v>
      </c>
      <c r="C27" s="12">
        <f>C14+C15+C17+C18+C19</f>
        <v>6951122487.3800001</v>
      </c>
      <c r="D27" s="12">
        <f>D14+D15+D17+D18+D19</f>
        <v>6915769527.7399998</v>
      </c>
      <c r="E27" s="12">
        <f>E14+E15+E17+E18+E19</f>
        <v>6951702988.6400003</v>
      </c>
      <c r="F27" s="12">
        <f>F14+F15+F17+F18+F19</f>
        <v>7217068520.9499998</v>
      </c>
      <c r="G27" s="12">
        <f t="shared" ref="G27:H27" si="8">G14+G15+G17+G18+G19</f>
        <v>7999098856.4800005</v>
      </c>
      <c r="H27" s="12">
        <f t="shared" si="8"/>
        <v>8087584234.4899998</v>
      </c>
      <c r="I27" s="12">
        <f>I14+I15+I17+I18+I19</f>
        <v>8366897577.6399994</v>
      </c>
      <c r="J27" s="12">
        <f>J14+J15+J17+J18+J19</f>
        <v>8262460930.6099997</v>
      </c>
      <c r="K27" s="12">
        <f>K14+K15+K17+K18+K19</f>
        <v>8324442033.5500002</v>
      </c>
      <c r="L27" s="99"/>
    </row>
    <row r="28" spans="1:13" x14ac:dyDescent="0.3">
      <c r="F28" s="6">
        <f>F27/F26*100</f>
        <v>47.216407274855435</v>
      </c>
      <c r="G28" s="6">
        <f t="shared" ref="G28" si="9">G27/G26*100</f>
        <v>49.927933638185742</v>
      </c>
      <c r="H28" s="6">
        <f>H27/H26*100</f>
        <v>49.550730908023887</v>
      </c>
      <c r="I28" s="6">
        <f>I27/I26*100</f>
        <v>49.471595430208239</v>
      </c>
      <c r="J28" s="6">
        <f>J27/J26*100</f>
        <v>47.93732809997568</v>
      </c>
      <c r="K28" s="6">
        <f>K27/K26*100</f>
        <v>48.370726045598801</v>
      </c>
    </row>
    <row r="29" spans="1:13" x14ac:dyDescent="0.3">
      <c r="B29" s="1"/>
      <c r="C29" s="1"/>
    </row>
    <row r="30" spans="1:13" x14ac:dyDescent="0.3">
      <c r="B30" s="10"/>
      <c r="C30" s="10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B65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11" x14ac:dyDescent="0.3">
      <c r="A1" s="155" t="s">
        <v>210</v>
      </c>
      <c r="B1" s="155"/>
      <c r="C1" s="2" t="s">
        <v>211</v>
      </c>
      <c r="D1" s="2">
        <v>2016</v>
      </c>
      <c r="E1" s="2">
        <v>2017</v>
      </c>
      <c r="F1" s="2">
        <v>2018</v>
      </c>
      <c r="G1" s="106">
        <v>2019</v>
      </c>
      <c r="H1" s="122">
        <v>2020</v>
      </c>
      <c r="I1" s="129">
        <v>2021</v>
      </c>
      <c r="J1" s="146">
        <v>2022</v>
      </c>
      <c r="K1" s="102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29.97</v>
      </c>
      <c r="E3" s="7">
        <v>29.2</v>
      </c>
      <c r="F3" s="7">
        <v>29.26</v>
      </c>
      <c r="G3" s="107">
        <v>28.75</v>
      </c>
      <c r="H3" s="107">
        <v>27.58</v>
      </c>
      <c r="I3" s="107">
        <v>25.25</v>
      </c>
      <c r="J3" s="107">
        <v>28.03</v>
      </c>
      <c r="K3" s="7">
        <v>27.3</v>
      </c>
    </row>
    <row r="4" spans="1:11" x14ac:dyDescent="0.3">
      <c r="A4" t="s">
        <v>80</v>
      </c>
      <c r="D4" s="7"/>
      <c r="E4" s="7"/>
      <c r="F4" s="7"/>
      <c r="G4" s="107"/>
      <c r="H4" s="107"/>
      <c r="I4" s="107"/>
      <c r="J4" s="107"/>
      <c r="K4" s="7"/>
    </row>
    <row r="5" spans="1:11" x14ac:dyDescent="0.3">
      <c r="A5" t="s">
        <v>81</v>
      </c>
      <c r="B5" t="s">
        <v>82</v>
      </c>
      <c r="D5" s="7">
        <v>95.2</v>
      </c>
      <c r="E5" s="7">
        <v>96.2</v>
      </c>
      <c r="F5" s="7">
        <v>99.74</v>
      </c>
      <c r="G5" s="107">
        <v>97.57</v>
      </c>
      <c r="H5" s="107">
        <v>94.4</v>
      </c>
      <c r="I5" s="107">
        <v>101.82</v>
      </c>
      <c r="J5" s="107">
        <v>100.72</v>
      </c>
      <c r="K5" s="7">
        <v>101.77</v>
      </c>
    </row>
    <row r="6" spans="1:11" x14ac:dyDescent="0.3">
      <c r="A6" t="s">
        <v>83</v>
      </c>
      <c r="B6" t="s">
        <v>84</v>
      </c>
      <c r="D6" s="7">
        <v>96.79</v>
      </c>
      <c r="E6" s="7">
        <v>97.64</v>
      </c>
      <c r="F6" s="7">
        <v>98.74</v>
      </c>
      <c r="G6" s="107">
        <v>97.25</v>
      </c>
      <c r="H6" s="107">
        <v>101.4</v>
      </c>
      <c r="I6" s="107">
        <v>101.79</v>
      </c>
      <c r="J6" s="107">
        <v>97.83</v>
      </c>
      <c r="K6" s="7">
        <v>99.72</v>
      </c>
    </row>
    <row r="7" spans="1:11" x14ac:dyDescent="0.3">
      <c r="A7" t="s">
        <v>85</v>
      </c>
      <c r="B7" t="s">
        <v>86</v>
      </c>
      <c r="D7" s="7">
        <v>82.53</v>
      </c>
      <c r="E7" s="7">
        <v>82.92</v>
      </c>
      <c r="F7" s="7">
        <v>85.44</v>
      </c>
      <c r="G7" s="107">
        <v>84.55</v>
      </c>
      <c r="H7" s="107">
        <v>65.03</v>
      </c>
      <c r="I7" s="107">
        <v>70.97</v>
      </c>
      <c r="J7" s="107">
        <v>81.17</v>
      </c>
      <c r="K7" s="7">
        <v>85.89</v>
      </c>
    </row>
    <row r="8" spans="1:11" x14ac:dyDescent="0.3">
      <c r="A8" t="s">
        <v>87</v>
      </c>
      <c r="B8" t="s">
        <v>88</v>
      </c>
      <c r="D8" s="7">
        <v>83.91</v>
      </c>
      <c r="E8" s="7">
        <v>84.16</v>
      </c>
      <c r="F8" s="7">
        <v>84.59</v>
      </c>
      <c r="G8" s="107">
        <v>84.28</v>
      </c>
      <c r="H8" s="107">
        <v>69.849999999999994</v>
      </c>
      <c r="I8" s="107">
        <v>70.95</v>
      </c>
      <c r="J8" s="107">
        <v>78.84</v>
      </c>
      <c r="K8" s="7">
        <v>84.16</v>
      </c>
    </row>
    <row r="9" spans="1:11" x14ac:dyDescent="0.3">
      <c r="A9" t="s">
        <v>89</v>
      </c>
      <c r="B9" t="s">
        <v>90</v>
      </c>
      <c r="D9" s="7">
        <v>82.29</v>
      </c>
      <c r="E9" s="7">
        <v>79.31</v>
      </c>
      <c r="F9" s="7">
        <v>82.58</v>
      </c>
      <c r="G9" s="107">
        <v>80.400000000000006</v>
      </c>
      <c r="H9" s="107">
        <v>77.459999999999994</v>
      </c>
      <c r="I9" s="107">
        <v>88.94</v>
      </c>
      <c r="J9" s="107">
        <v>87.8</v>
      </c>
      <c r="K9" s="7">
        <v>82.11</v>
      </c>
    </row>
    <row r="10" spans="1:11" x14ac:dyDescent="0.3">
      <c r="A10" t="s">
        <v>91</v>
      </c>
      <c r="B10" t="s">
        <v>92</v>
      </c>
      <c r="D10" s="7">
        <v>82.29</v>
      </c>
      <c r="E10" s="7">
        <v>79.44</v>
      </c>
      <c r="F10" s="7">
        <v>83.58</v>
      </c>
      <c r="G10" s="107">
        <v>81.099999999999994</v>
      </c>
      <c r="H10" s="107">
        <v>80.84</v>
      </c>
      <c r="I10" s="107">
        <v>88.83</v>
      </c>
      <c r="J10" s="107">
        <v>84.91</v>
      </c>
      <c r="K10" s="7">
        <v>83.35</v>
      </c>
    </row>
    <row r="11" spans="1:11" x14ac:dyDescent="0.3">
      <c r="A11" t="s">
        <v>93</v>
      </c>
      <c r="B11" t="s">
        <v>94</v>
      </c>
      <c r="D11" s="7">
        <v>69.06</v>
      </c>
      <c r="E11" s="7">
        <v>66.98</v>
      </c>
      <c r="F11" s="7">
        <v>73.86</v>
      </c>
      <c r="G11" s="107">
        <v>70.430000000000007</v>
      </c>
      <c r="H11" s="107">
        <v>52.75</v>
      </c>
      <c r="I11" s="107">
        <v>57.61</v>
      </c>
      <c r="J11" s="107">
        <v>69.97</v>
      </c>
      <c r="K11" s="7">
        <v>68.16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69.06</v>
      </c>
      <c r="E12" s="7">
        <v>67.09</v>
      </c>
      <c r="F12" s="7">
        <v>74.760000000000005</v>
      </c>
      <c r="G12" s="107">
        <v>71.040000000000006</v>
      </c>
      <c r="H12" s="107">
        <v>55.06</v>
      </c>
      <c r="I12" s="107">
        <v>57.55</v>
      </c>
      <c r="J12" s="107">
        <v>67.67</v>
      </c>
      <c r="K12" s="7">
        <v>69.2</v>
      </c>
    </row>
    <row r="13" spans="1:11" x14ac:dyDescent="0.3">
      <c r="A13" t="s">
        <v>97</v>
      </c>
      <c r="D13" s="7"/>
      <c r="E13" s="7"/>
      <c r="F13" s="7"/>
      <c r="G13" s="107"/>
      <c r="H13" s="107"/>
      <c r="I13" s="107"/>
      <c r="J13" s="107"/>
      <c r="K13" s="7"/>
    </row>
    <row r="14" spans="1:11" x14ac:dyDescent="0.3">
      <c r="A14" t="s">
        <v>98</v>
      </c>
      <c r="B14" t="s">
        <v>99</v>
      </c>
      <c r="D14" s="7">
        <v>0</v>
      </c>
      <c r="E14" s="7">
        <v>0</v>
      </c>
      <c r="F14" s="7">
        <v>0</v>
      </c>
      <c r="G14" s="107">
        <v>0</v>
      </c>
      <c r="H14" s="107">
        <v>0</v>
      </c>
      <c r="I14" s="107">
        <v>0</v>
      </c>
      <c r="J14" s="107">
        <v>0</v>
      </c>
      <c r="K14" s="7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0</v>
      </c>
      <c r="G15" s="107">
        <v>0</v>
      </c>
      <c r="H15" s="107">
        <v>0</v>
      </c>
      <c r="I15" s="107">
        <v>0</v>
      </c>
      <c r="J15" s="107">
        <v>0</v>
      </c>
      <c r="K15" s="7">
        <v>0</v>
      </c>
    </row>
    <row r="16" spans="1:11" x14ac:dyDescent="0.3">
      <c r="A16" t="s">
        <v>102</v>
      </c>
      <c r="D16" s="7"/>
      <c r="E16" s="7"/>
      <c r="F16" s="7"/>
      <c r="G16" s="107"/>
      <c r="H16" s="107"/>
      <c r="I16" s="107"/>
      <c r="J16" s="107"/>
      <c r="K16" s="7"/>
    </row>
    <row r="17" spans="1:11" x14ac:dyDescent="0.3">
      <c r="A17" t="s">
        <v>103</v>
      </c>
      <c r="B17" t="s">
        <v>104</v>
      </c>
      <c r="D17" s="7">
        <v>23.55</v>
      </c>
      <c r="E17" s="7">
        <v>23.31</v>
      </c>
      <c r="F17" s="7">
        <v>23.57</v>
      </c>
      <c r="G17" s="107">
        <v>23.16</v>
      </c>
      <c r="H17" s="107">
        <v>24.01</v>
      </c>
      <c r="I17" s="107">
        <v>21.74</v>
      </c>
      <c r="J17" s="107">
        <v>22</v>
      </c>
      <c r="K17" s="7">
        <v>21.82</v>
      </c>
    </row>
    <row r="18" spans="1:11" x14ac:dyDescent="0.3">
      <c r="A18" t="s">
        <v>105</v>
      </c>
      <c r="B18" t="s">
        <v>106</v>
      </c>
      <c r="D18" s="7">
        <v>16.57</v>
      </c>
      <c r="E18" s="7">
        <v>16.940000000000001</v>
      </c>
      <c r="F18" s="7">
        <v>16.16</v>
      </c>
      <c r="G18" s="107">
        <v>16</v>
      </c>
      <c r="H18" s="107">
        <v>19.29</v>
      </c>
      <c r="I18" s="107">
        <v>16.8</v>
      </c>
      <c r="J18" s="107">
        <v>16.38</v>
      </c>
      <c r="K18" s="7">
        <v>18.059999999999999</v>
      </c>
    </row>
    <row r="19" spans="1:11" x14ac:dyDescent="0.3">
      <c r="A19" t="s">
        <v>107</v>
      </c>
      <c r="B19" t="s">
        <v>108</v>
      </c>
      <c r="D19" s="7">
        <v>0.57999999999999996</v>
      </c>
      <c r="E19" s="7">
        <v>1.01</v>
      </c>
      <c r="F19" s="7">
        <v>1.24</v>
      </c>
      <c r="G19" s="107">
        <v>1.27</v>
      </c>
      <c r="H19" s="107">
        <v>1.1499999999999999</v>
      </c>
      <c r="I19" s="107">
        <v>2.17</v>
      </c>
      <c r="J19" s="107">
        <v>1.53</v>
      </c>
      <c r="K19" s="7">
        <v>1.95</v>
      </c>
    </row>
    <row r="20" spans="1:11" x14ac:dyDescent="0.3">
      <c r="A20" t="s">
        <v>109</v>
      </c>
      <c r="B20" t="s">
        <v>110</v>
      </c>
      <c r="D20" s="7">
        <v>477.94</v>
      </c>
      <c r="E20" s="7">
        <v>456.27</v>
      </c>
      <c r="F20" s="7">
        <v>466.68</v>
      </c>
      <c r="G20" s="107">
        <v>451.43</v>
      </c>
      <c r="H20" s="107">
        <v>458.99</v>
      </c>
      <c r="I20" s="107">
        <v>440.64</v>
      </c>
      <c r="J20" s="107">
        <v>467.88</v>
      </c>
      <c r="K20" s="7">
        <v>460.08</v>
      </c>
    </row>
    <row r="21" spans="1:11" x14ac:dyDescent="0.3">
      <c r="A21" t="s">
        <v>111</v>
      </c>
      <c r="D21" s="7"/>
      <c r="E21" s="7"/>
      <c r="F21" s="7"/>
      <c r="G21" s="107"/>
      <c r="H21" s="107"/>
      <c r="I21" s="107"/>
      <c r="J21" s="107"/>
      <c r="K21" s="7"/>
    </row>
    <row r="22" spans="1:11" x14ac:dyDescent="0.3">
      <c r="A22" t="s">
        <v>112</v>
      </c>
      <c r="B22" t="s">
        <v>113</v>
      </c>
      <c r="D22" s="7">
        <v>56.63</v>
      </c>
      <c r="E22" s="7">
        <v>57.5</v>
      </c>
      <c r="F22" s="7">
        <v>57.14</v>
      </c>
      <c r="G22" s="107">
        <v>57.62</v>
      </c>
      <c r="H22" s="107">
        <v>57.35</v>
      </c>
      <c r="I22" s="107">
        <v>56.73</v>
      </c>
      <c r="J22" s="107">
        <v>56.52</v>
      </c>
      <c r="K22" s="7">
        <v>56.54</v>
      </c>
    </row>
    <row r="23" spans="1:11" x14ac:dyDescent="0.3">
      <c r="A23" t="s">
        <v>114</v>
      </c>
      <c r="D23" s="7"/>
      <c r="E23" s="7"/>
      <c r="F23" s="7"/>
      <c r="G23" s="107"/>
      <c r="H23" s="107"/>
      <c r="I23" s="107"/>
      <c r="J23" s="107"/>
      <c r="K23" s="7"/>
    </row>
    <row r="24" spans="1:11" x14ac:dyDescent="0.3">
      <c r="A24" t="s">
        <v>115</v>
      </c>
      <c r="B24" t="s">
        <v>116</v>
      </c>
      <c r="D24" s="7">
        <v>3.83</v>
      </c>
      <c r="E24" s="7">
        <v>3.77</v>
      </c>
      <c r="F24" s="7">
        <v>3.73</v>
      </c>
      <c r="G24" s="107">
        <v>3.69</v>
      </c>
      <c r="H24" s="107">
        <v>3.72</v>
      </c>
      <c r="I24" s="107">
        <v>3.54</v>
      </c>
      <c r="J24" s="107">
        <v>3.58</v>
      </c>
      <c r="K24" s="7">
        <v>3.94</v>
      </c>
    </row>
    <row r="25" spans="1:11" x14ac:dyDescent="0.3">
      <c r="A25" t="s">
        <v>117</v>
      </c>
      <c r="B25" t="s">
        <v>118</v>
      </c>
      <c r="D25" s="7">
        <v>0</v>
      </c>
      <c r="E25" s="7">
        <v>0</v>
      </c>
      <c r="F25" s="7">
        <v>0</v>
      </c>
      <c r="G25" s="107">
        <v>0</v>
      </c>
      <c r="H25" s="107">
        <v>0</v>
      </c>
      <c r="I25" s="107">
        <v>0</v>
      </c>
      <c r="J25" s="107">
        <v>0</v>
      </c>
      <c r="K25" s="7">
        <v>0</v>
      </c>
    </row>
    <row r="26" spans="1:11" x14ac:dyDescent="0.3">
      <c r="A26" t="s">
        <v>119</v>
      </c>
      <c r="B26" t="s">
        <v>120</v>
      </c>
      <c r="D26" s="7">
        <v>0</v>
      </c>
      <c r="E26" s="7">
        <v>0.02</v>
      </c>
      <c r="F26" s="7">
        <v>0.05</v>
      </c>
      <c r="G26" s="107">
        <v>0.25</v>
      </c>
      <c r="H26" s="107">
        <v>0.34</v>
      </c>
      <c r="I26" s="107">
        <v>0</v>
      </c>
      <c r="J26" s="107">
        <v>0.21</v>
      </c>
      <c r="K26" s="7">
        <v>0.15</v>
      </c>
    </row>
    <row r="27" spans="1:11" x14ac:dyDescent="0.3">
      <c r="A27" t="s">
        <v>121</v>
      </c>
      <c r="D27" s="7"/>
      <c r="E27" s="7"/>
      <c r="F27" s="7"/>
      <c r="G27" s="107"/>
      <c r="H27" s="107"/>
      <c r="I27" s="107"/>
      <c r="J27" s="107"/>
      <c r="K27" s="7"/>
    </row>
    <row r="28" spans="1:11" x14ac:dyDescent="0.3">
      <c r="A28" t="s">
        <v>122</v>
      </c>
      <c r="B28" t="s">
        <v>123</v>
      </c>
      <c r="D28" s="7">
        <v>9.42</v>
      </c>
      <c r="E28" s="7">
        <v>11.66</v>
      </c>
      <c r="F28" s="7">
        <v>12.3</v>
      </c>
      <c r="G28" s="107">
        <v>15.8</v>
      </c>
      <c r="H28" s="107">
        <v>18.53</v>
      </c>
      <c r="I28" s="107">
        <v>17.010000000000002</v>
      </c>
      <c r="J28" s="107">
        <v>15.18</v>
      </c>
      <c r="K28" s="7">
        <v>17</v>
      </c>
    </row>
    <row r="29" spans="1:11" x14ac:dyDescent="0.3">
      <c r="A29" t="s">
        <v>124</v>
      </c>
      <c r="B29" t="s">
        <v>125</v>
      </c>
      <c r="D29" s="7">
        <v>204.8</v>
      </c>
      <c r="E29" s="7">
        <v>244.96</v>
      </c>
      <c r="F29" s="7">
        <v>261.76</v>
      </c>
      <c r="G29" s="107">
        <v>355.23</v>
      </c>
      <c r="H29" s="107">
        <v>416.33</v>
      </c>
      <c r="I29" s="107">
        <v>394.04</v>
      </c>
      <c r="J29" s="107">
        <v>329.97</v>
      </c>
      <c r="K29" s="7">
        <v>337.01</v>
      </c>
    </row>
    <row r="30" spans="1:11" x14ac:dyDescent="0.3">
      <c r="A30" t="s">
        <v>126</v>
      </c>
      <c r="B30" t="s">
        <v>127</v>
      </c>
      <c r="D30" s="7">
        <v>6.65</v>
      </c>
      <c r="E30" s="7">
        <v>14.98</v>
      </c>
      <c r="F30" s="7">
        <v>16.059999999999999</v>
      </c>
      <c r="G30" s="107">
        <v>10.76</v>
      </c>
      <c r="H30" s="107">
        <v>14.05</v>
      </c>
      <c r="I30" s="107">
        <v>21.49</v>
      </c>
      <c r="J30" s="107">
        <v>50.72</v>
      </c>
      <c r="K30" s="7">
        <v>94.91</v>
      </c>
    </row>
    <row r="31" spans="1:11" x14ac:dyDescent="0.3">
      <c r="A31" t="s">
        <v>128</v>
      </c>
      <c r="B31" t="s">
        <v>129</v>
      </c>
      <c r="D31" s="7">
        <v>211.45</v>
      </c>
      <c r="E31" s="7">
        <v>259.94</v>
      </c>
      <c r="F31" s="7">
        <v>277.82</v>
      </c>
      <c r="G31" s="107">
        <v>366</v>
      </c>
      <c r="H31" s="107">
        <v>430.38</v>
      </c>
      <c r="I31" s="107">
        <v>415.53</v>
      </c>
      <c r="J31" s="107">
        <v>380.69000000000005</v>
      </c>
      <c r="K31" s="7">
        <v>431.92</v>
      </c>
    </row>
    <row r="32" spans="1:11" x14ac:dyDescent="0.3">
      <c r="A32" t="s">
        <v>130</v>
      </c>
      <c r="B32" t="s">
        <v>131</v>
      </c>
      <c r="D32" s="7">
        <v>0</v>
      </c>
      <c r="E32" s="7">
        <v>0</v>
      </c>
      <c r="F32" s="7">
        <v>0</v>
      </c>
      <c r="G32" s="107">
        <v>0</v>
      </c>
      <c r="H32" s="107">
        <v>0</v>
      </c>
      <c r="I32" s="107">
        <v>0</v>
      </c>
      <c r="J32" s="107">
        <v>0</v>
      </c>
      <c r="K32" s="7">
        <v>0</v>
      </c>
    </row>
    <row r="33" spans="1:11" x14ac:dyDescent="0.3">
      <c r="A33" t="s">
        <v>132</v>
      </c>
      <c r="B33" t="s">
        <v>133</v>
      </c>
      <c r="D33" s="7">
        <v>0</v>
      </c>
      <c r="E33" s="7">
        <v>0</v>
      </c>
      <c r="F33" s="7">
        <v>0</v>
      </c>
      <c r="G33" s="107">
        <v>2.39</v>
      </c>
      <c r="H33" s="107">
        <v>0</v>
      </c>
      <c r="I33" s="107">
        <v>0</v>
      </c>
      <c r="J33" s="107">
        <v>0</v>
      </c>
      <c r="K33" s="7">
        <v>0</v>
      </c>
    </row>
    <row r="34" spans="1:11" x14ac:dyDescent="0.3">
      <c r="A34" t="s">
        <v>134</v>
      </c>
      <c r="B34" t="s">
        <v>135</v>
      </c>
      <c r="D34" s="7">
        <v>42.99</v>
      </c>
      <c r="E34" s="7">
        <v>26.86</v>
      </c>
      <c r="F34" s="7">
        <v>20</v>
      </c>
      <c r="G34" s="107">
        <v>16.25</v>
      </c>
      <c r="H34" s="107">
        <v>23.5</v>
      </c>
      <c r="I34" s="107">
        <v>23.5</v>
      </c>
      <c r="J34" s="107">
        <v>14.68</v>
      </c>
      <c r="K34" s="7">
        <v>20.85</v>
      </c>
    </row>
    <row r="35" spans="1:11" x14ac:dyDescent="0.3">
      <c r="A35" t="s">
        <v>136</v>
      </c>
      <c r="D35" s="7"/>
      <c r="E35" s="7"/>
      <c r="F35" s="7"/>
      <c r="G35" s="107"/>
      <c r="H35" s="107"/>
      <c r="I35" s="107"/>
      <c r="J35" s="107"/>
      <c r="K35" s="7"/>
    </row>
    <row r="36" spans="1:11" x14ac:dyDescent="0.3">
      <c r="A36" t="s">
        <v>137</v>
      </c>
      <c r="B36" t="s">
        <v>138</v>
      </c>
      <c r="D36" s="7">
        <v>74.290000000000006</v>
      </c>
      <c r="E36" s="7">
        <v>70.66</v>
      </c>
      <c r="F36" s="7">
        <v>71.260000000000005</v>
      </c>
      <c r="G36" s="107">
        <v>70.510000000000005</v>
      </c>
      <c r="H36" s="107">
        <v>71.849999999999994</v>
      </c>
      <c r="I36" s="107">
        <v>71.12</v>
      </c>
      <c r="J36" s="107">
        <v>75.78</v>
      </c>
      <c r="K36" s="7">
        <v>74.94</v>
      </c>
    </row>
    <row r="37" spans="1:11" x14ac:dyDescent="0.3">
      <c r="A37" t="s">
        <v>139</v>
      </c>
      <c r="B37" t="s">
        <v>140</v>
      </c>
      <c r="D37" s="7">
        <v>51.96</v>
      </c>
      <c r="E37" s="7">
        <v>39.92</v>
      </c>
      <c r="F37" s="7">
        <v>35.74</v>
      </c>
      <c r="G37" s="107">
        <v>49.04</v>
      </c>
      <c r="H37" s="107">
        <v>41.68</v>
      </c>
      <c r="I37" s="107">
        <v>37.72</v>
      </c>
      <c r="J37" s="107">
        <v>57.57</v>
      </c>
      <c r="K37" s="7">
        <v>65.150000000000006</v>
      </c>
    </row>
    <row r="38" spans="1:11" x14ac:dyDescent="0.3">
      <c r="A38" t="s">
        <v>141</v>
      </c>
      <c r="B38" t="s">
        <v>142</v>
      </c>
      <c r="D38" s="7">
        <v>0</v>
      </c>
      <c r="E38" s="7">
        <v>0</v>
      </c>
      <c r="F38" s="7">
        <v>51.99</v>
      </c>
      <c r="G38" s="107">
        <v>95.43</v>
      </c>
      <c r="H38" s="107">
        <v>0</v>
      </c>
      <c r="I38" s="107">
        <v>0</v>
      </c>
      <c r="J38" s="107">
        <v>19.989999999999998</v>
      </c>
      <c r="K38" s="7">
        <v>0</v>
      </c>
    </row>
    <row r="39" spans="1:11" x14ac:dyDescent="0.3">
      <c r="A39" t="s">
        <v>143</v>
      </c>
      <c r="B39" t="s">
        <v>144</v>
      </c>
      <c r="D39" s="7">
        <v>29.81</v>
      </c>
      <c r="E39" s="7">
        <v>33.26</v>
      </c>
      <c r="F39" s="7">
        <v>30.41</v>
      </c>
      <c r="G39" s="107">
        <v>29.43</v>
      </c>
      <c r="H39" s="107">
        <v>29.47</v>
      </c>
      <c r="I39" s="107">
        <v>24.61</v>
      </c>
      <c r="J39" s="107">
        <v>28.7</v>
      </c>
      <c r="K39" s="7">
        <v>39.049999999999997</v>
      </c>
    </row>
    <row r="40" spans="1:11" x14ac:dyDescent="0.3">
      <c r="A40" t="s">
        <v>145</v>
      </c>
      <c r="B40" t="s">
        <v>146</v>
      </c>
      <c r="D40" s="7">
        <v>14.08</v>
      </c>
      <c r="E40" s="7">
        <v>6.49</v>
      </c>
      <c r="F40" s="7">
        <v>10.48</v>
      </c>
      <c r="G40" s="107">
        <v>30.28</v>
      </c>
      <c r="H40" s="107">
        <v>11.66</v>
      </c>
      <c r="I40" s="107">
        <v>26.62</v>
      </c>
      <c r="J40" s="107">
        <v>28.25</v>
      </c>
      <c r="K40" s="7">
        <v>32.19</v>
      </c>
    </row>
    <row r="41" spans="1:11" x14ac:dyDescent="0.3">
      <c r="A41" t="s">
        <v>147</v>
      </c>
      <c r="B41" t="s">
        <v>148</v>
      </c>
      <c r="D41" s="7">
        <v>0</v>
      </c>
      <c r="E41" s="7">
        <v>0</v>
      </c>
      <c r="F41" s="7">
        <v>9.1199999999999992</v>
      </c>
      <c r="G41" s="107">
        <v>39.79</v>
      </c>
      <c r="H41" s="107">
        <v>0</v>
      </c>
      <c r="I41" s="107">
        <v>90.94</v>
      </c>
      <c r="J41" s="107">
        <v>86.27</v>
      </c>
      <c r="K41" s="7">
        <v>86.36</v>
      </c>
    </row>
    <row r="42" spans="1:11" x14ac:dyDescent="0.3">
      <c r="A42" t="s">
        <v>149</v>
      </c>
      <c r="D42" s="7"/>
      <c r="E42" s="7"/>
      <c r="F42" s="7"/>
      <c r="G42" s="107"/>
      <c r="H42" s="107"/>
      <c r="I42" s="107"/>
      <c r="J42" s="107"/>
      <c r="K42" s="7"/>
    </row>
    <row r="43" spans="1:11" x14ac:dyDescent="0.3">
      <c r="A43" t="s">
        <v>150</v>
      </c>
      <c r="B43" t="s">
        <v>151</v>
      </c>
      <c r="D43" s="7">
        <v>72.41</v>
      </c>
      <c r="E43" s="7">
        <v>76.349999999999994</v>
      </c>
      <c r="F43" s="7">
        <v>77.040000000000006</v>
      </c>
      <c r="G43" s="107">
        <v>77.67</v>
      </c>
      <c r="H43" s="107">
        <v>79.48</v>
      </c>
      <c r="I43" s="107">
        <v>80.040000000000006</v>
      </c>
      <c r="J43" s="107">
        <v>77.91</v>
      </c>
      <c r="K43" s="7">
        <v>79.44</v>
      </c>
    </row>
    <row r="44" spans="1:11" x14ac:dyDescent="0.3">
      <c r="A44" t="s">
        <v>152</v>
      </c>
      <c r="B44" t="s">
        <v>153</v>
      </c>
      <c r="D44" s="7">
        <v>61.95</v>
      </c>
      <c r="E44" s="7">
        <v>63.29</v>
      </c>
      <c r="F44" s="7">
        <v>57.52</v>
      </c>
      <c r="G44" s="107">
        <v>59.43</v>
      </c>
      <c r="H44" s="107">
        <v>59.46</v>
      </c>
      <c r="I44" s="107">
        <v>56.93</v>
      </c>
      <c r="J44" s="107">
        <v>57.14</v>
      </c>
      <c r="K44" s="7">
        <v>66.39</v>
      </c>
    </row>
    <row r="45" spans="1:11" x14ac:dyDescent="0.3">
      <c r="A45" t="s">
        <v>154</v>
      </c>
      <c r="B45" t="s">
        <v>155</v>
      </c>
      <c r="D45" s="7">
        <v>48.62</v>
      </c>
      <c r="E45" s="7">
        <v>37.94</v>
      </c>
      <c r="F45" s="7">
        <v>47.93</v>
      </c>
      <c r="G45" s="107">
        <v>69.45</v>
      </c>
      <c r="H45" s="107">
        <v>44.62</v>
      </c>
      <c r="I45" s="107">
        <v>58.8</v>
      </c>
      <c r="J45" s="107">
        <v>69.319999999999993</v>
      </c>
      <c r="K45" s="7">
        <v>85.27</v>
      </c>
    </row>
    <row r="46" spans="1:11" x14ac:dyDescent="0.3">
      <c r="A46" t="s">
        <v>156</v>
      </c>
      <c r="B46" t="s">
        <v>157</v>
      </c>
      <c r="D46" s="7">
        <v>94.91</v>
      </c>
      <c r="E46" s="7">
        <v>96.86</v>
      </c>
      <c r="F46" s="7">
        <v>86.1</v>
      </c>
      <c r="G46" s="107">
        <v>89.91</v>
      </c>
      <c r="H46" s="107">
        <v>90.67</v>
      </c>
      <c r="I46" s="107">
        <v>92.25</v>
      </c>
      <c r="J46" s="107">
        <v>90.88</v>
      </c>
      <c r="K46" s="7">
        <v>86.02</v>
      </c>
    </row>
    <row r="47" spans="1:11" x14ac:dyDescent="0.3">
      <c r="A47" t="s">
        <v>158</v>
      </c>
      <c r="B47" t="s">
        <v>159</v>
      </c>
      <c r="D47" s="7">
        <v>17.5</v>
      </c>
      <c r="E47" s="7">
        <v>17.649999999999999</v>
      </c>
      <c r="F47" s="7">
        <v>14.99</v>
      </c>
      <c r="G47" s="107">
        <v>11.6</v>
      </c>
      <c r="H47" s="107">
        <v>-4.7300000000000004</v>
      </c>
      <c r="I47" s="107">
        <v>-2.1800000000000002</v>
      </c>
      <c r="J47" s="107">
        <v>-10.220000000000001</v>
      </c>
      <c r="K47" s="7">
        <v>-8.0500000000000007</v>
      </c>
    </row>
    <row r="48" spans="1:11" x14ac:dyDescent="0.3">
      <c r="A48" t="s">
        <v>160</v>
      </c>
      <c r="D48" s="7"/>
      <c r="E48" s="7"/>
      <c r="F48" s="7"/>
      <c r="G48" s="107"/>
      <c r="H48" s="107"/>
      <c r="I48" s="107"/>
      <c r="J48" s="107"/>
      <c r="K48" s="7"/>
    </row>
    <row r="49" spans="1:11" x14ac:dyDescent="0.3">
      <c r="A49" t="s">
        <v>161</v>
      </c>
      <c r="B49" t="s">
        <v>162</v>
      </c>
      <c r="D49" s="7">
        <v>0</v>
      </c>
      <c r="E49" s="7">
        <v>0</v>
      </c>
      <c r="F49" s="7">
        <v>0.98</v>
      </c>
      <c r="G49" s="107">
        <v>0</v>
      </c>
      <c r="H49" s="107">
        <v>0</v>
      </c>
      <c r="I49" s="107">
        <v>0</v>
      </c>
      <c r="J49" s="107">
        <v>0</v>
      </c>
      <c r="K49" s="7">
        <v>0.73</v>
      </c>
    </row>
    <row r="50" spans="1:11" x14ac:dyDescent="0.3">
      <c r="A50" t="s">
        <v>163</v>
      </c>
      <c r="B50" t="s">
        <v>164</v>
      </c>
      <c r="D50" s="7">
        <v>3.88</v>
      </c>
      <c r="E50" s="7">
        <v>4.25</v>
      </c>
      <c r="F50" s="7">
        <v>3.64</v>
      </c>
      <c r="G50" s="107">
        <v>4.72</v>
      </c>
      <c r="H50" s="107">
        <v>2.93</v>
      </c>
      <c r="I50" s="107">
        <v>2.69</v>
      </c>
      <c r="J50" s="107">
        <v>3.77</v>
      </c>
      <c r="K50" s="7">
        <v>3.02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9.27</v>
      </c>
      <c r="E51" s="7">
        <v>9.5500000000000007</v>
      </c>
      <c r="F51" s="7">
        <v>8.3699999999999992</v>
      </c>
      <c r="G51" s="107">
        <v>9.66</v>
      </c>
      <c r="H51" s="107">
        <v>7.47</v>
      </c>
      <c r="I51" s="107">
        <v>6.91</v>
      </c>
      <c r="J51" s="107">
        <v>8.49</v>
      </c>
      <c r="K51" s="7">
        <v>7.72</v>
      </c>
    </row>
    <row r="52" spans="1:11" x14ac:dyDescent="0.3">
      <c r="A52" t="s">
        <v>167</v>
      </c>
      <c r="B52" t="s">
        <v>168</v>
      </c>
      <c r="D52" s="7">
        <v>3157.93</v>
      </c>
      <c r="E52" s="7">
        <v>3054.33</v>
      </c>
      <c r="F52" s="7">
        <v>3028.67</v>
      </c>
      <c r="G52" s="107">
        <v>2945.7</v>
      </c>
      <c r="H52" s="107">
        <v>2983.86</v>
      </c>
      <c r="I52" s="107">
        <v>3112.58</v>
      </c>
      <c r="J52" s="107">
        <v>3108.29</v>
      </c>
      <c r="K52" s="7">
        <v>3011.91</v>
      </c>
    </row>
    <row r="53" spans="1:11" x14ac:dyDescent="0.3">
      <c r="A53" t="s">
        <v>169</v>
      </c>
      <c r="D53" s="7"/>
      <c r="E53" s="7"/>
      <c r="F53" s="7"/>
      <c r="G53" s="107">
        <v>9.0268163865777922</v>
      </c>
      <c r="H53" s="107">
        <v>8.7027751143997296</v>
      </c>
      <c r="I53" s="107">
        <v>13.52818563482036</v>
      </c>
      <c r="J53" s="107">
        <v>13.224649266927338</v>
      </c>
      <c r="K53" s="7">
        <v>14.225779242825269</v>
      </c>
    </row>
    <row r="54" spans="1:11" x14ac:dyDescent="0.3">
      <c r="A54" t="s">
        <v>170</v>
      </c>
      <c r="B54" t="s">
        <v>171</v>
      </c>
      <c r="D54" s="7">
        <v>0.3809923246596274</v>
      </c>
      <c r="E54" s="7">
        <v>2.2443645751540019E-14</v>
      </c>
      <c r="F54" s="7">
        <v>4.0599999999999996</v>
      </c>
      <c r="G54" s="107">
        <v>4.9065535737206281</v>
      </c>
      <c r="H54" s="107">
        <v>6.6913923108075553</v>
      </c>
      <c r="I54" s="107">
        <v>8.9564043306348715</v>
      </c>
      <c r="J54" s="107">
        <v>10.030730985324784</v>
      </c>
      <c r="K54" s="7">
        <v>8.6985056996587939</v>
      </c>
    </row>
    <row r="55" spans="1:11" x14ac:dyDescent="0.3">
      <c r="A55" t="s">
        <v>172</v>
      </c>
      <c r="B55" t="s">
        <v>173</v>
      </c>
      <c r="D55" s="7">
        <v>8.4510624720738132</v>
      </c>
      <c r="E55" s="7">
        <v>5.9067509059628591</v>
      </c>
      <c r="F55" s="7">
        <v>2.8</v>
      </c>
      <c r="G55" s="107">
        <v>4.1202628128571632</v>
      </c>
      <c r="H55" s="107">
        <v>2.0113828035921739</v>
      </c>
      <c r="I55" s="107">
        <v>4.571781304185488</v>
      </c>
      <c r="J55" s="107">
        <v>3.1939182816025542</v>
      </c>
      <c r="K55" s="7">
        <v>5.5272735431664746</v>
      </c>
    </row>
    <row r="56" spans="1:11" x14ac:dyDescent="0.3">
      <c r="A56" t="s">
        <v>174</v>
      </c>
      <c r="B56" t="s">
        <v>175</v>
      </c>
      <c r="D56" s="7">
        <v>65.727845339559806</v>
      </c>
      <c r="E56" s="7">
        <v>70.054715690789919</v>
      </c>
      <c r="F56" s="7">
        <v>70.06</v>
      </c>
      <c r="G56" s="107">
        <v>68.368937152880832</v>
      </c>
      <c r="H56" s="107">
        <v>67.820434171332749</v>
      </c>
      <c r="I56" s="107">
        <v>62.865023166748813</v>
      </c>
      <c r="J56" s="107">
        <v>63.069105502196287</v>
      </c>
      <c r="K56" s="7">
        <v>62.751404736768315</v>
      </c>
    </row>
    <row r="57" spans="1:11" x14ac:dyDescent="0.3">
      <c r="A57" t="s">
        <v>176</v>
      </c>
      <c r="B57" t="s">
        <v>177</v>
      </c>
      <c r="D57" s="7">
        <v>25.440099863706745</v>
      </c>
      <c r="E57" s="7">
        <v>24.038533403247207</v>
      </c>
      <c r="F57" s="7">
        <v>23.09</v>
      </c>
      <c r="G57" s="107">
        <v>22.604246460541383</v>
      </c>
      <c r="H57" s="107">
        <v>23.476790714267516</v>
      </c>
      <c r="I57" s="107">
        <v>23.60679119843082</v>
      </c>
      <c r="J57" s="107">
        <v>23.706245230876373</v>
      </c>
      <c r="K57" s="7">
        <v>23.02281602040642</v>
      </c>
    </row>
    <row r="58" spans="1:11" x14ac:dyDescent="0.3">
      <c r="A58" t="s">
        <v>178</v>
      </c>
      <c r="D58" s="7"/>
      <c r="E58" s="7"/>
      <c r="F58" s="7"/>
      <c r="G58" s="107"/>
      <c r="H58" s="107"/>
      <c r="I58" s="107"/>
      <c r="J58" s="107"/>
      <c r="K58" s="7"/>
    </row>
    <row r="59" spans="1:11" x14ac:dyDescent="0.3">
      <c r="A59" t="s">
        <v>179</v>
      </c>
      <c r="B59" t="s">
        <v>180</v>
      </c>
      <c r="D59" s="7" t="s">
        <v>341</v>
      </c>
      <c r="E59" s="7" t="s">
        <v>341</v>
      </c>
      <c r="F59" s="7"/>
      <c r="G59" s="107" t="s">
        <v>341</v>
      </c>
      <c r="H59" s="107" t="s">
        <v>341</v>
      </c>
      <c r="I59" s="107" t="s">
        <v>341</v>
      </c>
      <c r="J59" s="107" t="s">
        <v>341</v>
      </c>
      <c r="K59" s="7" t="s">
        <v>341</v>
      </c>
    </row>
    <row r="60" spans="1:11" x14ac:dyDescent="0.3">
      <c r="A60" t="s">
        <v>181</v>
      </c>
      <c r="B60" t="s">
        <v>182</v>
      </c>
      <c r="D60" s="7" t="s">
        <v>341</v>
      </c>
      <c r="E60" s="7" t="s">
        <v>341</v>
      </c>
      <c r="F60" s="7"/>
      <c r="G60" s="107" t="s">
        <v>341</v>
      </c>
      <c r="H60" s="107" t="s">
        <v>341</v>
      </c>
      <c r="I60" s="107" t="s">
        <v>341</v>
      </c>
      <c r="J60" s="107" t="s">
        <v>341</v>
      </c>
      <c r="K60" s="7" t="s">
        <v>341</v>
      </c>
    </row>
    <row r="61" spans="1:11" x14ac:dyDescent="0.3">
      <c r="A61" t="s">
        <v>183</v>
      </c>
      <c r="B61" t="s">
        <v>184</v>
      </c>
      <c r="D61" s="7">
        <v>0</v>
      </c>
      <c r="E61" s="7">
        <v>0</v>
      </c>
      <c r="F61" s="7">
        <v>0</v>
      </c>
      <c r="G61" s="107">
        <v>0</v>
      </c>
      <c r="H61" s="107">
        <v>0</v>
      </c>
      <c r="I61" s="107">
        <v>0</v>
      </c>
      <c r="J61" s="107">
        <v>0</v>
      </c>
      <c r="K61" s="7">
        <v>0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0</v>
      </c>
      <c r="E62" s="7">
        <v>0</v>
      </c>
      <c r="F62" s="7">
        <v>0</v>
      </c>
      <c r="G62" s="107">
        <v>0</v>
      </c>
      <c r="H62" s="107">
        <v>0</v>
      </c>
      <c r="I62" s="107">
        <v>0</v>
      </c>
      <c r="J62" s="107">
        <v>0</v>
      </c>
      <c r="K62" s="7">
        <v>0</v>
      </c>
    </row>
    <row r="63" spans="1:11" x14ac:dyDescent="0.3">
      <c r="A63" t="s">
        <v>187</v>
      </c>
      <c r="D63" s="7"/>
      <c r="E63" s="7"/>
      <c r="F63" s="7"/>
      <c r="G63" s="107"/>
      <c r="H63" s="107"/>
      <c r="I63" s="107"/>
      <c r="J63" s="107"/>
      <c r="K63" s="7"/>
    </row>
    <row r="64" spans="1:11" x14ac:dyDescent="0.3">
      <c r="A64" s="8" t="s">
        <v>188</v>
      </c>
      <c r="B64" s="8" t="s">
        <v>189</v>
      </c>
      <c r="C64" s="9">
        <v>1</v>
      </c>
      <c r="D64" s="7">
        <v>0</v>
      </c>
      <c r="E64" s="7">
        <v>0.36</v>
      </c>
      <c r="F64" s="7">
        <v>0.04</v>
      </c>
      <c r="G64" s="107">
        <v>0.19</v>
      </c>
      <c r="H64" s="107">
        <v>0.08</v>
      </c>
      <c r="I64" s="107">
        <v>7.0000000000000007E-2</v>
      </c>
      <c r="J64" s="107">
        <v>0.16</v>
      </c>
      <c r="K64" s="7">
        <v>0.11</v>
      </c>
    </row>
    <row r="65" spans="1:11" x14ac:dyDescent="0.3">
      <c r="A65" s="8" t="s">
        <v>190</v>
      </c>
      <c r="B65" s="8" t="s">
        <v>191</v>
      </c>
      <c r="C65" s="9"/>
      <c r="D65" s="7">
        <v>0.03</v>
      </c>
      <c r="E65" s="7">
        <v>0.04</v>
      </c>
      <c r="F65" s="7">
        <v>0.19</v>
      </c>
      <c r="G65" s="107">
        <v>0.03</v>
      </c>
      <c r="H65" s="107">
        <v>0.02</v>
      </c>
      <c r="I65" s="107">
        <v>0.02</v>
      </c>
      <c r="J65" s="107">
        <v>0.01</v>
      </c>
      <c r="K65" s="7">
        <v>0.02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0</v>
      </c>
      <c r="E66" s="7">
        <v>0</v>
      </c>
      <c r="F66" s="7">
        <v>0</v>
      </c>
      <c r="G66" s="107">
        <v>0</v>
      </c>
      <c r="H66" s="107">
        <v>0</v>
      </c>
      <c r="I66" s="107">
        <v>0</v>
      </c>
      <c r="J66" s="107">
        <v>0</v>
      </c>
      <c r="K66" s="7">
        <v>0</v>
      </c>
    </row>
    <row r="67" spans="1:11" x14ac:dyDescent="0.3">
      <c r="A67" t="s">
        <v>194</v>
      </c>
      <c r="D67" s="7"/>
      <c r="E67" s="7"/>
      <c r="F67" s="7"/>
      <c r="G67" s="107"/>
      <c r="H67" s="107"/>
      <c r="I67" s="107"/>
      <c r="J67" s="107"/>
      <c r="K67" s="7"/>
    </row>
    <row r="68" spans="1:11" x14ac:dyDescent="0.3">
      <c r="A68" t="s">
        <v>195</v>
      </c>
      <c r="B68" t="s">
        <v>196</v>
      </c>
      <c r="D68" s="7">
        <v>16.64</v>
      </c>
      <c r="E68" s="7">
        <v>18.989999999999998</v>
      </c>
      <c r="F68" s="34">
        <v>13.71</v>
      </c>
      <c r="G68" s="34">
        <v>15.36</v>
      </c>
      <c r="H68" s="34">
        <v>33.25</v>
      </c>
      <c r="I68" s="34">
        <v>30.7</v>
      </c>
      <c r="J68" s="34">
        <v>25.53</v>
      </c>
      <c r="K68" s="34">
        <v>22.14</v>
      </c>
    </row>
    <row r="69" spans="1:11" x14ac:dyDescent="0.3">
      <c r="A69" t="s">
        <v>197</v>
      </c>
      <c r="D69" s="7"/>
      <c r="E69" s="7"/>
      <c r="F69" s="7"/>
      <c r="G69" s="107"/>
      <c r="H69" s="107"/>
      <c r="I69" s="107"/>
      <c r="J69" s="107"/>
      <c r="K69" s="7"/>
    </row>
    <row r="70" spans="1:11" x14ac:dyDescent="0.3">
      <c r="A70" t="s">
        <v>198</v>
      </c>
      <c r="B70" t="s">
        <v>199</v>
      </c>
      <c r="D70" s="7">
        <v>10.35</v>
      </c>
      <c r="E70" s="34">
        <v>10.199999999999999</v>
      </c>
      <c r="F70" s="7">
        <v>10</v>
      </c>
      <c r="G70" s="107">
        <v>10.77</v>
      </c>
      <c r="H70" s="107">
        <v>9.51</v>
      </c>
      <c r="I70" s="107">
        <v>8.7899999999999991</v>
      </c>
      <c r="J70" s="107">
        <v>8.4499999999999993</v>
      </c>
      <c r="K70" s="7">
        <v>9.4</v>
      </c>
    </row>
    <row r="71" spans="1:11" x14ac:dyDescent="0.3">
      <c r="A71" t="s">
        <v>200</v>
      </c>
      <c r="B71" t="s">
        <v>201</v>
      </c>
      <c r="D71" s="7">
        <v>11.78</v>
      </c>
      <c r="E71" s="34">
        <v>12.09</v>
      </c>
      <c r="F71" s="7">
        <v>12</v>
      </c>
      <c r="G71" s="107">
        <v>13.08</v>
      </c>
      <c r="H71" s="107">
        <v>11.48</v>
      </c>
      <c r="I71" s="107">
        <v>10.42</v>
      </c>
      <c r="J71" s="107">
        <v>9.52</v>
      </c>
      <c r="K71" s="7">
        <v>11.01</v>
      </c>
    </row>
    <row r="72" spans="1:11" x14ac:dyDescent="0.3">
      <c r="A72" t="s">
        <v>305</v>
      </c>
      <c r="D72" s="7"/>
      <c r="E72" s="7"/>
      <c r="F72" s="7"/>
      <c r="G72" s="107"/>
      <c r="H72" s="107"/>
      <c r="I72" s="107"/>
      <c r="J72" s="107"/>
      <c r="K72" s="7"/>
    </row>
    <row r="73" spans="1:11" x14ac:dyDescent="0.3">
      <c r="B73" t="s">
        <v>202</v>
      </c>
      <c r="D73" s="7">
        <v>66.69</v>
      </c>
      <c r="E73" s="7">
        <v>57.42</v>
      </c>
      <c r="F73" s="7">
        <v>66.84</v>
      </c>
      <c r="G73" s="107">
        <v>67.03</v>
      </c>
      <c r="H73" s="107">
        <v>64.349999999999994</v>
      </c>
      <c r="I73" s="107">
        <v>61.97</v>
      </c>
      <c r="J73" s="107">
        <v>64.08</v>
      </c>
      <c r="K73" s="7">
        <v>58.214325707047301</v>
      </c>
    </row>
    <row r="74" spans="1:11" x14ac:dyDescent="0.3">
      <c r="B74" t="s">
        <v>203</v>
      </c>
      <c r="D74" s="7">
        <v>78.739999999999995</v>
      </c>
      <c r="E74" s="7">
        <v>65.08</v>
      </c>
      <c r="F74" s="7">
        <v>76.14</v>
      </c>
      <c r="G74" s="107">
        <v>79.64</v>
      </c>
      <c r="H74" s="107">
        <v>78.209999999999994</v>
      </c>
      <c r="I74" s="107">
        <v>77.930000000000007</v>
      </c>
      <c r="J74" s="107">
        <v>77.046812338502107</v>
      </c>
      <c r="K74" s="7">
        <v>67.317926773968338</v>
      </c>
    </row>
    <row r="75" spans="1:11" x14ac:dyDescent="0.3">
      <c r="B75" t="s">
        <v>204</v>
      </c>
      <c r="D75" s="7">
        <v>37.65</v>
      </c>
      <c r="E75" s="7">
        <v>39.19</v>
      </c>
      <c r="F75" s="7">
        <v>50.82</v>
      </c>
      <c r="G75" s="107">
        <v>42.57</v>
      </c>
      <c r="H75" s="107">
        <v>36.51</v>
      </c>
      <c r="I75" s="107">
        <v>31.51</v>
      </c>
      <c r="J75" s="107">
        <v>40.24</v>
      </c>
      <c r="K75" s="7">
        <v>40.51646202587353</v>
      </c>
    </row>
    <row r="76" spans="1:11" x14ac:dyDescent="0.3">
      <c r="A76" s="8" t="s">
        <v>37</v>
      </c>
      <c r="B76" s="8"/>
      <c r="C76" s="9">
        <v>47</v>
      </c>
      <c r="D76" s="7">
        <v>53.65</v>
      </c>
      <c r="E76" s="7">
        <v>51.84</v>
      </c>
      <c r="F76" s="7">
        <v>53.31</v>
      </c>
      <c r="G76" s="107">
        <v>52.056422785442237</v>
      </c>
      <c r="H76" s="107">
        <v>52.770591463584239</v>
      </c>
      <c r="I76" s="107">
        <v>55.814819907389726</v>
      </c>
      <c r="J76" s="107">
        <v>55.481578447773458</v>
      </c>
      <c r="K76" s="7">
        <v>57.864821179169056</v>
      </c>
    </row>
    <row r="77" spans="1:11" x14ac:dyDescent="0.3">
      <c r="A77" s="35" t="s">
        <v>338</v>
      </c>
      <c r="B77" s="35"/>
      <c r="C77" s="67"/>
      <c r="D77" s="34">
        <v>55.07</v>
      </c>
      <c r="E77" s="34">
        <v>52.97</v>
      </c>
      <c r="F77" s="34">
        <v>54.78</v>
      </c>
      <c r="G77" s="34">
        <v>52.816308778898048</v>
      </c>
      <c r="H77" s="34">
        <v>53.88920848438481</v>
      </c>
      <c r="I77" s="34">
        <v>61.187060015578474</v>
      </c>
      <c r="J77" s="34">
        <v>56.930562798586415</v>
      </c>
      <c r="K77" s="34">
        <v>57.373496768491307</v>
      </c>
    </row>
    <row r="78" spans="1:11" x14ac:dyDescent="0.3">
      <c r="A78" t="s">
        <v>268</v>
      </c>
      <c r="D78" s="7"/>
      <c r="E78" s="7"/>
      <c r="F78" s="7"/>
      <c r="G78" s="107"/>
      <c r="H78" s="107"/>
      <c r="I78" s="107"/>
      <c r="J78" s="107"/>
      <c r="K78" s="7"/>
    </row>
    <row r="79" spans="1:11" x14ac:dyDescent="0.3">
      <c r="A79">
        <v>4</v>
      </c>
      <c r="B79" t="s">
        <v>205</v>
      </c>
      <c r="D79" s="7">
        <v>8.1174438687392048</v>
      </c>
      <c r="E79" s="7">
        <v>8.224782000215308</v>
      </c>
      <c r="F79" s="7">
        <v>8</v>
      </c>
      <c r="G79" s="107">
        <v>8.249194414607949</v>
      </c>
      <c r="H79" s="107">
        <v>8.7090928472444311</v>
      </c>
      <c r="I79" s="107">
        <v>9.5940562076020246</v>
      </c>
      <c r="J79" s="107">
        <v>9.4704576683225881</v>
      </c>
      <c r="K79" s="7">
        <v>8.8891379890146833</v>
      </c>
    </row>
    <row r="80" spans="1:11" x14ac:dyDescent="0.3">
      <c r="A80">
        <v>9</v>
      </c>
      <c r="B80" t="s">
        <v>357</v>
      </c>
      <c r="D80" s="7">
        <v>9.4127806563039726</v>
      </c>
      <c r="E80" s="7">
        <v>9.5489288405641073</v>
      </c>
      <c r="F80" s="7">
        <v>8.33</v>
      </c>
      <c r="G80" s="107">
        <v>8.9795918367346932</v>
      </c>
      <c r="H80" s="107">
        <v>8.9222897345698744</v>
      </c>
      <c r="I80" s="107">
        <v>9.6263594271562383</v>
      </c>
      <c r="J80" s="107">
        <v>8.614311383574675</v>
      </c>
      <c r="K80" s="7">
        <v>8.1941486380450606</v>
      </c>
    </row>
    <row r="81" spans="1:11" x14ac:dyDescent="0.3">
      <c r="A81">
        <v>10</v>
      </c>
      <c r="B81" t="s">
        <v>206</v>
      </c>
      <c r="D81" s="7">
        <v>42.368307426597582</v>
      </c>
      <c r="E81" s="7">
        <v>42.028205404241575</v>
      </c>
      <c r="F81" s="7">
        <v>38.43</v>
      </c>
      <c r="G81" s="107">
        <v>42.341568206229866</v>
      </c>
      <c r="H81" s="107">
        <v>38.577976761539276</v>
      </c>
      <c r="I81" s="107">
        <v>38.430063529665119</v>
      </c>
      <c r="J81" s="107">
        <v>39.84779621604482</v>
      </c>
      <c r="K81" s="7">
        <v>40.152449276986879</v>
      </c>
    </row>
    <row r="82" spans="1:11" x14ac:dyDescent="0.3">
      <c r="A82">
        <v>12</v>
      </c>
      <c r="B82" t="s">
        <v>207</v>
      </c>
      <c r="D82" s="7">
        <v>10.708117443868739</v>
      </c>
      <c r="E82" s="7">
        <v>10.280977500269136</v>
      </c>
      <c r="F82" s="7">
        <v>9.34</v>
      </c>
      <c r="G82" s="107">
        <v>9.0870032223415684</v>
      </c>
      <c r="H82" s="107">
        <v>9.2740645986568584</v>
      </c>
      <c r="I82" s="107">
        <v>10.024765801658232</v>
      </c>
      <c r="J82" s="107">
        <v>9.9672339076207574</v>
      </c>
      <c r="K82" s="7">
        <v>9.8643649815043162</v>
      </c>
    </row>
    <row r="83" spans="1:11" x14ac:dyDescent="0.3">
      <c r="A83" t="s">
        <v>208</v>
      </c>
      <c r="D83" s="7"/>
      <c r="E83" s="7"/>
      <c r="F83" s="7"/>
      <c r="G83" s="107"/>
      <c r="H83" s="107"/>
      <c r="I83" s="107"/>
      <c r="J83" s="107"/>
      <c r="K83" s="7"/>
    </row>
    <row r="84" spans="1:11" x14ac:dyDescent="0.3">
      <c r="A84">
        <v>4</v>
      </c>
      <c r="B84" t="s">
        <v>205</v>
      </c>
      <c r="D84" s="7">
        <v>67.56</v>
      </c>
      <c r="E84" s="7">
        <v>69.56</v>
      </c>
      <c r="F84" s="7">
        <v>69.86</v>
      </c>
      <c r="G84" s="107">
        <v>73.150000000000006</v>
      </c>
      <c r="H84" s="107">
        <v>66.400000000000006</v>
      </c>
      <c r="I84" s="107">
        <v>70.94</v>
      </c>
      <c r="J84" s="107">
        <v>71.41</v>
      </c>
      <c r="K84" s="7">
        <v>76.051354293601847</v>
      </c>
    </row>
    <row r="85" spans="1:11" x14ac:dyDescent="0.3">
      <c r="A85">
        <v>9</v>
      </c>
      <c r="B85" t="s">
        <v>357</v>
      </c>
      <c r="D85" s="7">
        <v>81.48</v>
      </c>
      <c r="E85" s="7">
        <v>82.21</v>
      </c>
      <c r="F85" s="7">
        <v>82.6</v>
      </c>
      <c r="G85" s="107">
        <v>81.150000000000006</v>
      </c>
      <c r="H85" s="107">
        <v>79.89</v>
      </c>
      <c r="I85" s="107">
        <v>81.55</v>
      </c>
      <c r="J85" s="107">
        <v>81.239999999999995</v>
      </c>
      <c r="K85" s="7">
        <v>82.654957362507758</v>
      </c>
    </row>
    <row r="86" spans="1:11" x14ac:dyDescent="0.3">
      <c r="A86">
        <v>10</v>
      </c>
      <c r="B86" t="s">
        <v>206</v>
      </c>
      <c r="D86" s="7">
        <v>84.94</v>
      </c>
      <c r="E86" s="7">
        <v>87.68</v>
      </c>
      <c r="F86" s="7">
        <v>88.47</v>
      </c>
      <c r="G86" s="107">
        <v>88.8</v>
      </c>
      <c r="H86" s="107">
        <v>89.9</v>
      </c>
      <c r="I86" s="107">
        <v>88.58</v>
      </c>
      <c r="J86" s="107">
        <v>83.88</v>
      </c>
      <c r="K86" s="7">
        <v>89.333611515111343</v>
      </c>
    </row>
    <row r="87" spans="1:11" x14ac:dyDescent="0.3">
      <c r="A87">
        <v>12</v>
      </c>
      <c r="B87" t="s">
        <v>207</v>
      </c>
      <c r="D87" s="7">
        <v>67.930000000000007</v>
      </c>
      <c r="E87" s="7">
        <v>73.47</v>
      </c>
      <c r="F87" s="7">
        <v>72.3</v>
      </c>
      <c r="G87" s="107">
        <v>71.540000000000006</v>
      </c>
      <c r="H87" s="107">
        <v>65.05</v>
      </c>
      <c r="I87" s="107">
        <v>72.84</v>
      </c>
      <c r="J87" s="107">
        <v>69.31</v>
      </c>
      <c r="K87" s="7">
        <v>71.958730738201737</v>
      </c>
    </row>
    <row r="88" spans="1:11" x14ac:dyDescent="0.3">
      <c r="B88" s="72" t="s">
        <v>306</v>
      </c>
      <c r="D88" s="7"/>
      <c r="E88" s="7"/>
      <c r="F88" s="7"/>
      <c r="G88" s="107"/>
      <c r="H88" s="107"/>
      <c r="I88" s="107"/>
      <c r="J88" s="107"/>
      <c r="K88" s="7"/>
    </row>
    <row r="89" spans="1:11" x14ac:dyDescent="0.3">
      <c r="B89" t="s">
        <v>110</v>
      </c>
      <c r="D89" s="7">
        <v>367.13226833883101</v>
      </c>
      <c r="E89" s="7">
        <v>350.14826884227551</v>
      </c>
      <c r="F89" s="7">
        <v>362.58510068602214</v>
      </c>
      <c r="G89" s="107">
        <v>355.01394750014094</v>
      </c>
      <c r="H89" s="107">
        <v>354.72657825926274</v>
      </c>
      <c r="I89" s="107">
        <v>352.25227220007974</v>
      </c>
      <c r="J89" s="107">
        <v>369.77947768871218</v>
      </c>
      <c r="K89" s="107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7">
        <v>170.92035541980178</v>
      </c>
      <c r="G90" s="107">
        <v>180.492157874811</v>
      </c>
      <c r="H90" s="107">
        <v>204.57029658165237</v>
      </c>
      <c r="I90" s="107">
        <v>209.21258224469867</v>
      </c>
      <c r="J90" s="107">
        <v>229.38618194069946</v>
      </c>
      <c r="K90" s="107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7">
        <v>36.521612903225808</v>
      </c>
      <c r="G91" s="107">
        <v>24.474374999999998</v>
      </c>
      <c r="H91" s="107">
        <v>18.420312500000001</v>
      </c>
      <c r="I91" s="107">
        <v>10.619375</v>
      </c>
      <c r="J91" s="107">
        <v>3.849687499999999</v>
      </c>
      <c r="K91" s="107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7">
        <v>1723.4313709635639</v>
      </c>
      <c r="G92" s="107">
        <v>1688.3834954123995</v>
      </c>
      <c r="H92" s="107">
        <v>1744.0187221199872</v>
      </c>
      <c r="I92" s="107">
        <v>1744.7789254873785</v>
      </c>
      <c r="J92" s="107">
        <v>1726.9557160967668</v>
      </c>
      <c r="K92" s="107">
        <v>1697.0701833805592</v>
      </c>
    </row>
    <row r="93" spans="1:11" x14ac:dyDescent="0.3">
      <c r="D93" s="7"/>
      <c r="E93" s="7"/>
      <c r="F93" s="7"/>
      <c r="G93" s="107"/>
      <c r="H93" s="107"/>
      <c r="I93" s="107"/>
      <c r="J93" s="107"/>
      <c r="K93" s="107"/>
    </row>
    <row r="94" spans="1:11" x14ac:dyDescent="0.3">
      <c r="B94" s="44" t="s">
        <v>303</v>
      </c>
      <c r="D94" s="7"/>
      <c r="E94" s="7"/>
      <c r="F94" s="7"/>
      <c r="G94" s="107"/>
      <c r="H94" s="107"/>
      <c r="I94" s="107"/>
      <c r="J94" s="107"/>
      <c r="K94" s="7"/>
    </row>
    <row r="95" spans="1:11" x14ac:dyDescent="0.3">
      <c r="D95" s="7"/>
      <c r="E95" s="7"/>
      <c r="F95" s="7"/>
      <c r="G95" s="107"/>
      <c r="H95" s="107"/>
      <c r="I95" s="107"/>
      <c r="J95" s="107"/>
      <c r="K95" s="7"/>
    </row>
    <row r="96" spans="1:11" x14ac:dyDescent="0.3">
      <c r="D96" s="7"/>
      <c r="E96" s="7"/>
      <c r="F96" s="7"/>
      <c r="G96" s="107"/>
      <c r="H96" s="107"/>
      <c r="I96" s="107"/>
      <c r="J96" s="107"/>
      <c r="K96" s="7"/>
    </row>
    <row r="97" spans="4:11" x14ac:dyDescent="0.3">
      <c r="D97" s="7"/>
      <c r="E97" s="7"/>
      <c r="F97" s="7"/>
      <c r="G97" s="107"/>
      <c r="H97" s="107"/>
      <c r="I97" s="107"/>
      <c r="J97" s="107"/>
      <c r="K97" s="7"/>
    </row>
    <row r="98" spans="4:11" x14ac:dyDescent="0.3">
      <c r="D98" s="7"/>
      <c r="E98" s="7"/>
      <c r="F98" s="7"/>
      <c r="G98" s="107"/>
      <c r="H98" s="107"/>
      <c r="I98" s="107"/>
      <c r="J98" s="107"/>
      <c r="K98" s="7"/>
    </row>
    <row r="99" spans="4:11" x14ac:dyDescent="0.3">
      <c r="D99" s="7"/>
      <c r="E99" s="7"/>
      <c r="F99" s="7"/>
      <c r="G99" s="107"/>
      <c r="H99" s="107"/>
      <c r="I99" s="107"/>
      <c r="J99" s="107"/>
      <c r="K99" s="7"/>
    </row>
    <row r="100" spans="4:11" x14ac:dyDescent="0.3">
      <c r="D100" s="7"/>
      <c r="E100" s="7"/>
      <c r="F100" s="7"/>
      <c r="G100" s="107"/>
      <c r="H100" s="107"/>
      <c r="I100" s="107"/>
      <c r="J100" s="107"/>
      <c r="K100" s="7"/>
    </row>
    <row r="101" spans="4:11" x14ac:dyDescent="0.3">
      <c r="D101" s="7"/>
      <c r="E101" s="7"/>
      <c r="F101" s="7"/>
      <c r="G101" s="107"/>
      <c r="H101" s="107"/>
      <c r="I101" s="107"/>
      <c r="J101" s="107"/>
      <c r="K101" s="7"/>
    </row>
    <row r="102" spans="4:11" x14ac:dyDescent="0.3">
      <c r="D102" s="7"/>
      <c r="E102" s="7"/>
      <c r="F102" s="7"/>
      <c r="G102" s="107"/>
      <c r="H102" s="107"/>
      <c r="I102" s="107"/>
      <c r="J102" s="107"/>
      <c r="K102" s="7"/>
    </row>
    <row r="103" spans="4:11" x14ac:dyDescent="0.3">
      <c r="D103" s="7"/>
      <c r="E103" s="7"/>
      <c r="F103" s="7"/>
      <c r="G103" s="107"/>
      <c r="H103" s="107"/>
      <c r="I103" s="107"/>
      <c r="J103" s="107"/>
      <c r="K103" s="7"/>
    </row>
    <row r="104" spans="4:11" x14ac:dyDescent="0.3">
      <c r="D104" s="7"/>
      <c r="E104" s="7"/>
      <c r="F104" s="7"/>
      <c r="G104" s="107"/>
      <c r="H104" s="107"/>
      <c r="I104" s="107"/>
      <c r="J104" s="107"/>
      <c r="K104" s="7"/>
    </row>
    <row r="105" spans="4:11" x14ac:dyDescent="0.3">
      <c r="D105" s="7"/>
      <c r="E105" s="7"/>
      <c r="F105" s="7"/>
      <c r="G105" s="107"/>
      <c r="H105" s="107"/>
      <c r="I105" s="107"/>
      <c r="J105" s="107"/>
      <c r="K105" s="7"/>
    </row>
    <row r="106" spans="4:11" x14ac:dyDescent="0.3">
      <c r="D106" s="7"/>
      <c r="E106" s="7"/>
      <c r="F106" s="7"/>
      <c r="G106" s="107"/>
      <c r="H106" s="107"/>
      <c r="I106" s="107"/>
      <c r="J106" s="107"/>
      <c r="K106" s="7"/>
    </row>
    <row r="107" spans="4:11" x14ac:dyDescent="0.3">
      <c r="D107" s="7"/>
      <c r="E107" s="7"/>
      <c r="F107" s="7"/>
      <c r="G107" s="107"/>
      <c r="H107" s="107"/>
      <c r="I107" s="107"/>
      <c r="J107" s="107"/>
      <c r="K107" s="7"/>
    </row>
    <row r="108" spans="4:11" x14ac:dyDescent="0.3">
      <c r="D108" s="7"/>
      <c r="E108" s="7"/>
      <c r="F108" s="7"/>
      <c r="G108" s="107"/>
      <c r="H108" s="107"/>
      <c r="I108" s="107"/>
      <c r="J108" s="107"/>
      <c r="K108" s="7"/>
    </row>
    <row r="109" spans="4:11" x14ac:dyDescent="0.3">
      <c r="D109" s="7"/>
      <c r="E109" s="7"/>
      <c r="F109" s="7"/>
      <c r="G109" s="107"/>
      <c r="H109" s="107"/>
      <c r="I109" s="107"/>
      <c r="J109" s="107"/>
      <c r="K109" s="7"/>
    </row>
    <row r="110" spans="4:11" x14ac:dyDescent="0.3">
      <c r="D110" s="7"/>
      <c r="E110" s="7"/>
      <c r="F110" s="7"/>
      <c r="G110" s="107"/>
      <c r="H110" s="107"/>
      <c r="I110" s="107"/>
      <c r="J110" s="107"/>
      <c r="K110" s="7"/>
    </row>
    <row r="111" spans="4:11" x14ac:dyDescent="0.3">
      <c r="D111" s="7"/>
      <c r="E111" s="7"/>
      <c r="F111" s="7"/>
      <c r="G111" s="107"/>
      <c r="H111" s="107"/>
      <c r="I111" s="107"/>
      <c r="J111" s="107"/>
      <c r="K111" s="7"/>
    </row>
    <row r="112" spans="4:11" x14ac:dyDescent="0.3">
      <c r="D112" s="7"/>
      <c r="E112" s="7"/>
      <c r="F112" s="7"/>
      <c r="G112" s="107"/>
      <c r="H112" s="107"/>
      <c r="I112" s="107"/>
      <c r="J112" s="107"/>
      <c r="K112" s="7"/>
    </row>
    <row r="113" spans="2:11" x14ac:dyDescent="0.3">
      <c r="D113" s="7"/>
      <c r="E113" s="7"/>
      <c r="F113" s="7"/>
      <c r="G113" s="107"/>
      <c r="H113" s="107"/>
      <c r="I113" s="107"/>
      <c r="J113" s="107"/>
      <c r="K113" s="7"/>
    </row>
    <row r="114" spans="2:11" x14ac:dyDescent="0.3">
      <c r="D114" s="7"/>
      <c r="E114" s="7"/>
      <c r="F114" s="7"/>
      <c r="G114" s="107"/>
      <c r="H114" s="107"/>
      <c r="I114" s="107"/>
      <c r="J114" s="107"/>
      <c r="K114" s="7"/>
    </row>
    <row r="115" spans="2:11" x14ac:dyDescent="0.3">
      <c r="B115" s="44" t="s">
        <v>304</v>
      </c>
      <c r="D115" s="7"/>
      <c r="E115" s="7"/>
      <c r="F115" s="7"/>
      <c r="G115" s="107"/>
      <c r="H115" s="107"/>
      <c r="I115" s="107"/>
      <c r="J115" s="107"/>
      <c r="K115" s="7"/>
    </row>
    <row r="116" spans="2:11" x14ac:dyDescent="0.3">
      <c r="D116" s="7"/>
      <c r="E116" s="7"/>
      <c r="F116" s="7"/>
      <c r="G116" s="107"/>
      <c r="H116" s="107"/>
      <c r="I116" s="107"/>
      <c r="J116" s="107"/>
      <c r="K116" s="7"/>
    </row>
    <row r="117" spans="2:11" x14ac:dyDescent="0.3">
      <c r="D117" s="7"/>
      <c r="E117" s="7"/>
      <c r="F117" s="7"/>
      <c r="G117" s="107"/>
      <c r="H117" s="107"/>
      <c r="I117" s="107"/>
      <c r="J117" s="107"/>
      <c r="K117" s="7"/>
    </row>
    <row r="118" spans="2:11" x14ac:dyDescent="0.3">
      <c r="D118" s="7"/>
      <c r="E118" s="7"/>
      <c r="F118" s="7"/>
      <c r="G118" s="107"/>
      <c r="H118" s="107"/>
      <c r="I118" s="107"/>
      <c r="J118" s="107"/>
      <c r="K118" s="7"/>
    </row>
    <row r="119" spans="2:11" x14ac:dyDescent="0.3">
      <c r="D119" s="7"/>
      <c r="E119" s="7"/>
      <c r="F119" s="7"/>
      <c r="G119" s="107"/>
      <c r="H119" s="107"/>
      <c r="I119" s="107"/>
      <c r="J119" s="107"/>
      <c r="K119" s="7"/>
    </row>
    <row r="120" spans="2:11" x14ac:dyDescent="0.3">
      <c r="D120" s="7"/>
      <c r="E120" s="7"/>
      <c r="F120" s="7"/>
      <c r="G120" s="107"/>
      <c r="H120" s="107"/>
      <c r="I120" s="107"/>
      <c r="J120" s="107"/>
      <c r="K120" s="7"/>
    </row>
    <row r="121" spans="2:11" x14ac:dyDescent="0.3">
      <c r="D121" s="7"/>
      <c r="E121" s="7"/>
      <c r="F121" s="7"/>
      <c r="G121" s="107"/>
      <c r="H121" s="107"/>
      <c r="I121" s="107"/>
      <c r="J121" s="107"/>
      <c r="K121" s="7"/>
    </row>
    <row r="122" spans="2:11" x14ac:dyDescent="0.3">
      <c r="D122" s="7"/>
      <c r="E122" s="7"/>
      <c r="F122" s="7"/>
      <c r="G122" s="107"/>
      <c r="H122" s="107"/>
      <c r="I122" s="107"/>
      <c r="J122" s="107"/>
      <c r="K122" s="7"/>
    </row>
    <row r="123" spans="2:11" x14ac:dyDescent="0.3">
      <c r="D123" s="7"/>
      <c r="E123" s="7"/>
      <c r="F123" s="7"/>
      <c r="G123" s="107"/>
      <c r="H123" s="107"/>
      <c r="I123" s="107"/>
      <c r="J123" s="107"/>
      <c r="K123" s="7"/>
    </row>
    <row r="124" spans="2:11" x14ac:dyDescent="0.3">
      <c r="D124" s="7"/>
      <c r="E124" s="7"/>
      <c r="F124" s="7"/>
      <c r="G124" s="107"/>
      <c r="H124" s="107"/>
      <c r="I124" s="107"/>
      <c r="J124" s="107"/>
      <c r="K124" s="7"/>
    </row>
    <row r="125" spans="2:11" x14ac:dyDescent="0.3">
      <c r="D125" s="7"/>
      <c r="E125" s="7"/>
      <c r="F125" s="7"/>
      <c r="G125" s="107"/>
      <c r="H125" s="107"/>
      <c r="I125" s="107"/>
      <c r="J125" s="107"/>
      <c r="K125" s="7"/>
    </row>
    <row r="126" spans="2:11" x14ac:dyDescent="0.3">
      <c r="D126" s="7"/>
      <c r="E126" s="7"/>
      <c r="F126" s="7"/>
      <c r="G126" s="107"/>
      <c r="H126" s="107"/>
      <c r="I126" s="107"/>
      <c r="J126" s="107"/>
      <c r="K126" s="7"/>
    </row>
    <row r="127" spans="2:11" x14ac:dyDescent="0.3">
      <c r="D127" s="7"/>
      <c r="E127" s="7"/>
      <c r="F127" s="7"/>
      <c r="G127" s="107"/>
      <c r="H127" s="107"/>
      <c r="I127" s="107"/>
      <c r="J127" s="107"/>
      <c r="K127" s="7"/>
    </row>
    <row r="128" spans="2:11" x14ac:dyDescent="0.3">
      <c r="D128" s="7"/>
      <c r="E128" s="7"/>
      <c r="F128" s="7"/>
      <c r="G128" s="107"/>
      <c r="H128" s="107"/>
      <c r="I128" s="107"/>
      <c r="J128" s="107"/>
      <c r="K128" s="7"/>
    </row>
    <row r="129" spans="2:11" x14ac:dyDescent="0.3">
      <c r="D129" s="7"/>
      <c r="E129" s="7"/>
      <c r="F129" s="7"/>
      <c r="G129" s="107"/>
      <c r="H129" s="107"/>
      <c r="I129" s="107"/>
      <c r="J129" s="107"/>
      <c r="K129" s="7"/>
    </row>
    <row r="130" spans="2:11" x14ac:dyDescent="0.3">
      <c r="D130" s="7"/>
      <c r="E130" s="7"/>
      <c r="F130" s="7"/>
      <c r="G130" s="107"/>
      <c r="H130" s="107"/>
      <c r="I130" s="107"/>
      <c r="J130" s="107"/>
      <c r="K130" s="7"/>
    </row>
    <row r="131" spans="2:11" x14ac:dyDescent="0.3">
      <c r="D131" s="7"/>
      <c r="E131" s="7"/>
      <c r="F131" s="7"/>
      <c r="G131" s="107"/>
      <c r="H131" s="107"/>
      <c r="I131" s="107"/>
      <c r="J131" s="107"/>
      <c r="K131" s="7"/>
    </row>
    <row r="132" spans="2:11" x14ac:dyDescent="0.3">
      <c r="D132" s="7"/>
      <c r="E132" s="7"/>
      <c r="F132" s="7"/>
      <c r="G132" s="107"/>
      <c r="H132" s="107"/>
      <c r="I132" s="107"/>
      <c r="J132" s="107"/>
      <c r="K132" s="7"/>
    </row>
    <row r="133" spans="2:11" x14ac:dyDescent="0.3">
      <c r="D133" s="7"/>
      <c r="E133" s="7"/>
      <c r="F133" s="7"/>
      <c r="G133" s="107"/>
      <c r="H133" s="107"/>
      <c r="I133" s="107"/>
      <c r="J133" s="107"/>
      <c r="K133" s="7"/>
    </row>
    <row r="134" spans="2:11" x14ac:dyDescent="0.3">
      <c r="D134" s="7"/>
      <c r="E134" s="7"/>
      <c r="F134" s="7"/>
      <c r="G134" s="107"/>
      <c r="H134" s="107"/>
      <c r="I134" s="107"/>
      <c r="J134" s="107"/>
      <c r="K134" s="7"/>
    </row>
    <row r="135" spans="2:11" x14ac:dyDescent="0.3">
      <c r="D135" s="7"/>
      <c r="E135" s="7"/>
      <c r="F135" s="7"/>
      <c r="G135" s="107"/>
      <c r="H135" s="107"/>
      <c r="I135" s="107"/>
      <c r="J135" s="107"/>
      <c r="K135" s="7"/>
    </row>
    <row r="136" spans="2:11" x14ac:dyDescent="0.3">
      <c r="B136" s="44" t="s">
        <v>159</v>
      </c>
      <c r="D136" s="7"/>
      <c r="E136" s="7"/>
      <c r="F136" s="7"/>
      <c r="G136" s="107"/>
      <c r="H136" s="107"/>
      <c r="I136" s="107"/>
      <c r="J136" s="107"/>
      <c r="K136" s="7"/>
    </row>
    <row r="137" spans="2:11" x14ac:dyDescent="0.3">
      <c r="D137" s="7"/>
      <c r="E137" s="7"/>
      <c r="F137" s="7"/>
      <c r="G137" s="107"/>
      <c r="H137" s="107"/>
      <c r="I137" s="107"/>
      <c r="J137" s="107"/>
      <c r="K137" s="7"/>
    </row>
    <row r="138" spans="2:11" x14ac:dyDescent="0.3">
      <c r="D138" s="7"/>
      <c r="E138" s="7"/>
      <c r="F138" s="7"/>
      <c r="G138" s="107"/>
      <c r="H138" s="107"/>
      <c r="I138" s="107"/>
      <c r="J138" s="107"/>
      <c r="K138" s="7"/>
    </row>
    <row r="139" spans="2:11" x14ac:dyDescent="0.3">
      <c r="D139" s="7"/>
      <c r="E139" s="7"/>
      <c r="F139" s="7"/>
      <c r="G139" s="107"/>
      <c r="H139" s="107"/>
      <c r="I139" s="107"/>
      <c r="J139" s="107"/>
      <c r="K139" s="7"/>
    </row>
    <row r="140" spans="2:11" x14ac:dyDescent="0.3">
      <c r="D140" s="7"/>
      <c r="E140" s="7"/>
      <c r="F140" s="7"/>
      <c r="G140" s="107"/>
      <c r="H140" s="107"/>
      <c r="I140" s="107"/>
      <c r="J140" s="107"/>
      <c r="K140" s="7"/>
    </row>
    <row r="141" spans="2:11" x14ac:dyDescent="0.3">
      <c r="D141" s="7"/>
      <c r="E141" s="7"/>
      <c r="F141" s="7"/>
      <c r="G141" s="107"/>
      <c r="H141" s="107"/>
      <c r="I141" s="107"/>
      <c r="J141" s="107"/>
      <c r="K141" s="7"/>
    </row>
    <row r="142" spans="2:11" x14ac:dyDescent="0.3">
      <c r="D142" s="7"/>
      <c r="E142" s="7"/>
      <c r="F142" s="7"/>
      <c r="G142" s="107"/>
      <c r="H142" s="107"/>
      <c r="I142" s="107"/>
      <c r="J142" s="107"/>
      <c r="K142" s="7"/>
    </row>
    <row r="143" spans="2:11" x14ac:dyDescent="0.3">
      <c r="D143" s="7"/>
      <c r="E143" s="7"/>
      <c r="F143" s="7"/>
      <c r="G143" s="107"/>
      <c r="H143" s="107"/>
      <c r="I143" s="107"/>
      <c r="J143" s="107"/>
      <c r="K143" s="7"/>
    </row>
    <row r="144" spans="2:11" x14ac:dyDescent="0.3">
      <c r="D144" s="7"/>
      <c r="E144" s="7"/>
      <c r="F144" s="7"/>
      <c r="G144" s="107"/>
      <c r="H144" s="107"/>
      <c r="I144" s="107"/>
      <c r="J144" s="107"/>
      <c r="K144" s="7"/>
    </row>
    <row r="145" spans="2:11" x14ac:dyDescent="0.3">
      <c r="D145" s="7"/>
      <c r="E145" s="7"/>
      <c r="F145" s="7"/>
      <c r="G145" s="107"/>
      <c r="H145" s="107"/>
      <c r="I145" s="107"/>
      <c r="J145" s="107"/>
      <c r="K145" s="7"/>
    </row>
    <row r="146" spans="2:11" x14ac:dyDescent="0.3">
      <c r="D146" s="7"/>
      <c r="E146" s="7"/>
      <c r="F146" s="7"/>
      <c r="G146" s="107"/>
      <c r="H146" s="107"/>
      <c r="I146" s="107"/>
      <c r="J146" s="107"/>
      <c r="K146" s="7"/>
    </row>
    <row r="147" spans="2:11" x14ac:dyDescent="0.3">
      <c r="D147" s="7"/>
      <c r="E147" s="7"/>
      <c r="F147" s="7"/>
      <c r="G147" s="107"/>
      <c r="H147" s="107"/>
      <c r="I147" s="107"/>
      <c r="J147" s="107"/>
      <c r="K147" s="7"/>
    </row>
    <row r="148" spans="2:11" x14ac:dyDescent="0.3">
      <c r="D148" s="7"/>
      <c r="E148" s="7"/>
      <c r="F148" s="7"/>
      <c r="G148" s="107"/>
      <c r="H148" s="107"/>
      <c r="I148" s="107"/>
      <c r="J148" s="107"/>
      <c r="K148" s="7"/>
    </row>
    <row r="149" spans="2:11" x14ac:dyDescent="0.3">
      <c r="D149" s="7"/>
      <c r="E149" s="7"/>
      <c r="F149" s="7"/>
      <c r="G149" s="107"/>
      <c r="H149" s="107"/>
      <c r="I149" s="107"/>
      <c r="J149" s="107"/>
      <c r="K149" s="7"/>
    </row>
    <row r="150" spans="2:11" x14ac:dyDescent="0.3">
      <c r="D150" s="7"/>
      <c r="E150" s="7"/>
      <c r="F150" s="7"/>
      <c r="G150" s="107"/>
      <c r="H150" s="107"/>
      <c r="I150" s="107"/>
      <c r="J150" s="107"/>
      <c r="K150" s="7"/>
    </row>
    <row r="151" spans="2:11" x14ac:dyDescent="0.3">
      <c r="D151" s="7"/>
      <c r="E151" s="7"/>
      <c r="F151" s="7"/>
      <c r="G151" s="107"/>
      <c r="H151" s="107"/>
      <c r="I151" s="107"/>
      <c r="J151" s="107"/>
      <c r="K151" s="7"/>
    </row>
    <row r="152" spans="2:11" x14ac:dyDescent="0.3">
      <c r="D152" s="7"/>
      <c r="E152" s="7"/>
      <c r="F152" s="7"/>
      <c r="G152" s="107"/>
      <c r="H152" s="107"/>
      <c r="I152" s="107"/>
      <c r="J152" s="107"/>
      <c r="K152" s="7"/>
    </row>
    <row r="153" spans="2:11" x14ac:dyDescent="0.3">
      <c r="D153" s="7"/>
      <c r="E153" s="7"/>
      <c r="F153" s="7"/>
      <c r="G153" s="107"/>
      <c r="H153" s="107"/>
      <c r="I153" s="107"/>
      <c r="J153" s="107"/>
      <c r="K153" s="7"/>
    </row>
    <row r="154" spans="2:11" x14ac:dyDescent="0.3">
      <c r="D154" s="7"/>
      <c r="E154" s="7"/>
      <c r="F154" s="7"/>
      <c r="G154" s="107"/>
      <c r="H154" s="107"/>
      <c r="I154" s="107"/>
      <c r="J154" s="107"/>
      <c r="K154" s="7"/>
    </row>
    <row r="155" spans="2:11" x14ac:dyDescent="0.3">
      <c r="D155" s="7"/>
      <c r="E155" s="7"/>
      <c r="F155" s="7"/>
      <c r="G155" s="107"/>
      <c r="H155" s="107"/>
      <c r="I155" s="107"/>
      <c r="J155" s="107"/>
      <c r="K155" s="7"/>
    </row>
    <row r="156" spans="2:11" x14ac:dyDescent="0.3">
      <c r="D156" s="7"/>
      <c r="E156" s="7"/>
      <c r="F156" s="7"/>
      <c r="G156" s="107"/>
      <c r="H156" s="107"/>
      <c r="I156" s="107"/>
      <c r="J156" s="107"/>
      <c r="K156" s="7"/>
    </row>
    <row r="157" spans="2:11" x14ac:dyDescent="0.3">
      <c r="B157" s="44" t="s">
        <v>168</v>
      </c>
      <c r="D157" s="7"/>
      <c r="E157" s="7"/>
      <c r="F157" s="7"/>
      <c r="G157" s="107"/>
      <c r="H157" s="107"/>
      <c r="I157" s="107"/>
      <c r="J157" s="107"/>
      <c r="K157" s="7"/>
    </row>
    <row r="158" spans="2:11" x14ac:dyDescent="0.3">
      <c r="D158" s="7"/>
      <c r="E158" s="7"/>
      <c r="F158" s="7"/>
      <c r="G158" s="107"/>
      <c r="H158" s="107"/>
      <c r="I158" s="107"/>
      <c r="J158" s="107"/>
      <c r="K158" s="7"/>
    </row>
    <row r="159" spans="2:11" x14ac:dyDescent="0.3">
      <c r="D159" s="7"/>
      <c r="E159" s="7"/>
      <c r="F159" s="7"/>
      <c r="G159" s="107"/>
      <c r="H159" s="107"/>
      <c r="I159" s="107"/>
      <c r="J159" s="107"/>
      <c r="K159" s="7"/>
    </row>
    <row r="160" spans="2:11" x14ac:dyDescent="0.3">
      <c r="D160" s="7"/>
      <c r="E160" s="7"/>
      <c r="F160" s="7"/>
      <c r="G160" s="107"/>
      <c r="H160" s="107"/>
      <c r="I160" s="107"/>
      <c r="J160" s="107"/>
      <c r="K160" s="7"/>
    </row>
    <row r="161" spans="4:11" x14ac:dyDescent="0.3">
      <c r="D161" s="7"/>
      <c r="E161" s="7"/>
      <c r="F161" s="7"/>
      <c r="G161" s="107"/>
      <c r="H161" s="107"/>
      <c r="I161" s="107"/>
      <c r="J161" s="107"/>
      <c r="K161" s="7"/>
    </row>
    <row r="162" spans="4:11" x14ac:dyDescent="0.3">
      <c r="D162" s="7"/>
      <c r="E162" s="7"/>
      <c r="F162" s="7"/>
      <c r="G162" s="107"/>
      <c r="H162" s="107"/>
      <c r="I162" s="107"/>
      <c r="J162" s="107"/>
      <c r="K162" s="7"/>
    </row>
    <row r="163" spans="4:11" x14ac:dyDescent="0.3">
      <c r="D163" s="7"/>
      <c r="E163" s="7"/>
      <c r="F163" s="7"/>
      <c r="G163" s="107"/>
      <c r="H163" s="107"/>
      <c r="I163" s="107"/>
      <c r="J163" s="107"/>
      <c r="K163" s="7"/>
    </row>
    <row r="164" spans="4:11" x14ac:dyDescent="0.3">
      <c r="D164" s="7"/>
      <c r="E164" s="7"/>
      <c r="F164" s="7"/>
      <c r="G164" s="107"/>
      <c r="H164" s="107"/>
      <c r="I164" s="107"/>
      <c r="J164" s="107"/>
      <c r="K164" s="7"/>
    </row>
    <row r="165" spans="4:11" x14ac:dyDescent="0.3">
      <c r="D165" s="7"/>
      <c r="E165" s="7"/>
      <c r="F165" s="7"/>
      <c r="G165" s="107"/>
      <c r="H165" s="107"/>
      <c r="I165" s="107"/>
      <c r="J165" s="107"/>
      <c r="K165" s="7"/>
    </row>
    <row r="166" spans="4:11" x14ac:dyDescent="0.3">
      <c r="D166" s="7"/>
      <c r="E166" s="7"/>
      <c r="F166" s="7"/>
      <c r="G166" s="107"/>
      <c r="H166" s="107"/>
      <c r="I166" s="107"/>
      <c r="J166" s="107"/>
      <c r="K166" s="7"/>
    </row>
    <row r="167" spans="4:11" x14ac:dyDescent="0.3">
      <c r="D167" s="7"/>
      <c r="E167" s="7"/>
      <c r="F167" s="7"/>
      <c r="G167" s="107"/>
      <c r="H167" s="107"/>
      <c r="I167" s="107"/>
      <c r="J167" s="107"/>
      <c r="K167" s="7"/>
    </row>
    <row r="168" spans="4:11" x14ac:dyDescent="0.3">
      <c r="D168" s="7"/>
      <c r="E168" s="7"/>
      <c r="F168" s="7"/>
      <c r="G168" s="107"/>
      <c r="H168" s="107"/>
      <c r="I168" s="107"/>
      <c r="J168" s="107"/>
      <c r="K168" s="7"/>
    </row>
    <row r="169" spans="4:11" x14ac:dyDescent="0.3">
      <c r="D169" s="7"/>
      <c r="E169" s="7"/>
      <c r="F169" s="7"/>
      <c r="G169" s="107"/>
      <c r="H169" s="107"/>
      <c r="I169" s="107"/>
      <c r="J169" s="107"/>
      <c r="K169" s="7"/>
    </row>
    <row r="170" spans="4:11" x14ac:dyDescent="0.3">
      <c r="D170" s="7"/>
      <c r="E170" s="7"/>
      <c r="F170" s="7"/>
      <c r="G170" s="107"/>
      <c r="H170" s="107"/>
      <c r="I170" s="107"/>
      <c r="J170" s="107"/>
      <c r="K170" s="7"/>
    </row>
    <row r="171" spans="4:11" x14ac:dyDescent="0.3">
      <c r="D171" s="7"/>
      <c r="E171" s="7"/>
      <c r="F171" s="7"/>
      <c r="G171" s="107"/>
      <c r="H171" s="107"/>
      <c r="I171" s="107"/>
      <c r="J171" s="107"/>
      <c r="K171" s="7"/>
    </row>
    <row r="172" spans="4:11" x14ac:dyDescent="0.3">
      <c r="D172" s="7"/>
      <c r="E172" s="7"/>
      <c r="F172" s="7"/>
      <c r="G172" s="107"/>
      <c r="H172" s="107"/>
      <c r="I172" s="107"/>
      <c r="J172" s="107"/>
      <c r="K172" s="7"/>
    </row>
    <row r="173" spans="4:11" x14ac:dyDescent="0.3">
      <c r="D173" s="7"/>
      <c r="E173" s="7"/>
      <c r="F173" s="7"/>
      <c r="G173" s="107"/>
      <c r="H173" s="107"/>
      <c r="I173" s="107"/>
      <c r="J173" s="107"/>
      <c r="K173" s="7"/>
    </row>
    <row r="174" spans="4:11" x14ac:dyDescent="0.3">
      <c r="D174" s="7"/>
      <c r="E174" s="7"/>
      <c r="F174" s="7"/>
      <c r="G174" s="107"/>
      <c r="H174" s="107"/>
      <c r="I174" s="107"/>
      <c r="J174" s="107"/>
      <c r="K174" s="7"/>
    </row>
    <row r="175" spans="4:11" x14ac:dyDescent="0.3">
      <c r="D175" s="7"/>
      <c r="E175" s="7"/>
      <c r="F175" s="7"/>
      <c r="G175" s="107"/>
      <c r="H175" s="107"/>
      <c r="I175" s="107"/>
      <c r="J175" s="107"/>
      <c r="K175" s="7"/>
    </row>
    <row r="176" spans="4:11" x14ac:dyDescent="0.3">
      <c r="D176" s="7"/>
      <c r="E176" s="7"/>
      <c r="F176" s="7"/>
      <c r="G176" s="107"/>
      <c r="H176" s="107"/>
      <c r="I176" s="107"/>
      <c r="J176" s="107"/>
      <c r="K176" s="7"/>
    </row>
    <row r="177" spans="2:11" x14ac:dyDescent="0.3">
      <c r="D177" s="7"/>
      <c r="E177" s="7"/>
      <c r="F177" s="7"/>
      <c r="G177" s="107"/>
      <c r="H177" s="107"/>
      <c r="I177" s="107"/>
      <c r="J177" s="107"/>
      <c r="K177" s="7"/>
    </row>
    <row r="178" spans="2:11" x14ac:dyDescent="0.3">
      <c r="B178" s="44" t="s">
        <v>302</v>
      </c>
    </row>
    <row r="179" spans="2:11" x14ac:dyDescent="0.3">
      <c r="E179" s="35"/>
    </row>
    <row r="199" spans="2:2" x14ac:dyDescent="0.3">
      <c r="B199" s="44" t="s">
        <v>268</v>
      </c>
    </row>
    <row r="218" spans="2:2" x14ac:dyDescent="0.3">
      <c r="B218" s="44" t="s">
        <v>208</v>
      </c>
    </row>
  </sheetData>
  <mergeCells count="1">
    <mergeCell ref="A1:B1"/>
  </mergeCells>
  <conditionalFormatting sqref="D3">
    <cfRule type="cellIs" dxfId="120" priority="78" operator="greaterThan">
      <formula>$C3</formula>
    </cfRule>
  </conditionalFormatting>
  <conditionalFormatting sqref="D12">
    <cfRule type="cellIs" dxfId="119" priority="76" operator="lessThan">
      <formula>$C12</formula>
    </cfRule>
  </conditionalFormatting>
  <conditionalFormatting sqref="D15:G15">
    <cfRule type="cellIs" dxfId="118" priority="74" operator="greaterThan">
      <formula>$C$15</formula>
    </cfRule>
  </conditionalFormatting>
  <conditionalFormatting sqref="E3:G3">
    <cfRule type="cellIs" dxfId="117" priority="70" operator="greaterThan">
      <formula>$C3</formula>
    </cfRule>
  </conditionalFormatting>
  <conditionalFormatting sqref="D51:G51">
    <cfRule type="cellIs" dxfId="116" priority="69" operator="greaterThan">
      <formula>$C51</formula>
    </cfRule>
  </conditionalFormatting>
  <conditionalFormatting sqref="D62:G62">
    <cfRule type="cellIs" dxfId="115" priority="68" operator="greaterThan">
      <formula>$C62</formula>
    </cfRule>
  </conditionalFormatting>
  <conditionalFormatting sqref="D64:G64">
    <cfRule type="cellIs" dxfId="114" priority="67" operator="greaterThan">
      <formula>$C64</formula>
    </cfRule>
  </conditionalFormatting>
  <conditionalFormatting sqref="E12:G12">
    <cfRule type="cellIs" dxfId="113" priority="66" operator="lessThan">
      <formula>$C12</formula>
    </cfRule>
  </conditionalFormatting>
  <conditionalFormatting sqref="D76:E77">
    <cfRule type="cellIs" dxfId="112" priority="65" operator="lessThan">
      <formula>$C76</formula>
    </cfRule>
  </conditionalFormatting>
  <conditionalFormatting sqref="E76:G77">
    <cfRule type="cellIs" dxfId="111" priority="64" operator="lessThan">
      <formula>$C76</formula>
    </cfRule>
  </conditionalFormatting>
  <conditionalFormatting sqref="D65">
    <cfRule type="expression" dxfId="110" priority="63">
      <formula>$D65+$D66&gt;$C66</formula>
    </cfRule>
  </conditionalFormatting>
  <conditionalFormatting sqref="D66">
    <cfRule type="expression" dxfId="109" priority="62">
      <formula>$D65+$D66&gt;$C66</formula>
    </cfRule>
  </conditionalFormatting>
  <conditionalFormatting sqref="E65:G65">
    <cfRule type="expression" dxfId="108" priority="61">
      <formula>$D65+$D66&gt;$C66</formula>
    </cfRule>
  </conditionalFormatting>
  <conditionalFormatting sqref="E66:G66">
    <cfRule type="expression" dxfId="107" priority="60">
      <formula>$D65+$D66&gt;$C66</formula>
    </cfRule>
  </conditionalFormatting>
  <conditionalFormatting sqref="D65">
    <cfRule type="expression" dxfId="106" priority="59">
      <formula>D$65+D$66&gt;=$C$66</formula>
    </cfRule>
  </conditionalFormatting>
  <conditionalFormatting sqref="E65:G65">
    <cfRule type="expression" dxfId="105" priority="58">
      <formula>E$65+E$66&gt;=$C$66</formula>
    </cfRule>
  </conditionalFormatting>
  <conditionalFormatting sqref="D66">
    <cfRule type="expression" dxfId="104" priority="57">
      <formula>D$65+D$66&gt;=$C$66</formula>
    </cfRule>
  </conditionalFormatting>
  <conditionalFormatting sqref="E66:G66">
    <cfRule type="expression" dxfId="103" priority="56">
      <formula>E$65+E$66&gt;=$C$66</formula>
    </cfRule>
  </conditionalFormatting>
  <conditionalFormatting sqref="K15">
    <cfRule type="cellIs" dxfId="102" priority="55" operator="greaterThan">
      <formula>$C$15</formula>
    </cfRule>
  </conditionalFormatting>
  <conditionalFormatting sqref="K3">
    <cfRule type="cellIs" dxfId="101" priority="54" operator="greaterThan">
      <formula>$C3</formula>
    </cfRule>
  </conditionalFormatting>
  <conditionalFormatting sqref="K51">
    <cfRule type="cellIs" dxfId="100" priority="53" operator="greaterThan">
      <formula>$C51</formula>
    </cfRule>
  </conditionalFormatting>
  <conditionalFormatting sqref="K62">
    <cfRule type="cellIs" dxfId="99" priority="52" operator="greaterThan">
      <formula>$C62</formula>
    </cfRule>
  </conditionalFormatting>
  <conditionalFormatting sqref="K64">
    <cfRule type="cellIs" dxfId="98" priority="51" operator="greaterThan">
      <formula>$C64</formula>
    </cfRule>
  </conditionalFormatting>
  <conditionalFormatting sqref="K12">
    <cfRule type="cellIs" dxfId="97" priority="50" operator="lessThan">
      <formula>$C12</formula>
    </cfRule>
  </conditionalFormatting>
  <conditionalFormatting sqref="K76:K77">
    <cfRule type="cellIs" dxfId="96" priority="49" operator="lessThan">
      <formula>$C76</formula>
    </cfRule>
  </conditionalFormatting>
  <conditionalFormatting sqref="K65">
    <cfRule type="expression" dxfId="95" priority="48">
      <formula>$D65+$D66&gt;$C66</formula>
    </cfRule>
  </conditionalFormatting>
  <conditionalFormatting sqref="K66">
    <cfRule type="expression" dxfId="94" priority="47">
      <formula>$D65+$D66&gt;$C66</formula>
    </cfRule>
  </conditionalFormatting>
  <conditionalFormatting sqref="K65">
    <cfRule type="expression" dxfId="93" priority="46">
      <formula>K$65+K$66&gt;=$C$66</formula>
    </cfRule>
  </conditionalFormatting>
  <conditionalFormatting sqref="K66">
    <cfRule type="expression" dxfId="92" priority="45">
      <formula>K$65+K$66&gt;=$C$66</formula>
    </cfRule>
  </conditionalFormatting>
  <conditionalFormatting sqref="G15">
    <cfRule type="cellIs" dxfId="91" priority="44" operator="greaterThan">
      <formula>$C$15</formula>
    </cfRule>
  </conditionalFormatting>
  <conditionalFormatting sqref="G3">
    <cfRule type="cellIs" dxfId="90" priority="43" operator="greaterThan">
      <formula>$C3</formula>
    </cfRule>
  </conditionalFormatting>
  <conditionalFormatting sqref="G51">
    <cfRule type="cellIs" dxfId="89" priority="42" operator="greaterThan">
      <formula>$C51</formula>
    </cfRule>
  </conditionalFormatting>
  <conditionalFormatting sqref="G62">
    <cfRule type="cellIs" dxfId="88" priority="41" operator="greaterThan">
      <formula>$C62</formula>
    </cfRule>
  </conditionalFormatting>
  <conditionalFormatting sqref="G64">
    <cfRule type="cellIs" dxfId="87" priority="40" operator="greaterThan">
      <formula>$C64</formula>
    </cfRule>
  </conditionalFormatting>
  <conditionalFormatting sqref="G12">
    <cfRule type="cellIs" dxfId="86" priority="39" operator="lessThan">
      <formula>$C12</formula>
    </cfRule>
  </conditionalFormatting>
  <conditionalFormatting sqref="G76:G77">
    <cfRule type="cellIs" dxfId="85" priority="38" operator="lessThan">
      <formula>$C76</formula>
    </cfRule>
  </conditionalFormatting>
  <conditionalFormatting sqref="G65">
    <cfRule type="expression" dxfId="84" priority="37">
      <formula>$D65+$D66&gt;$C66</formula>
    </cfRule>
  </conditionalFormatting>
  <conditionalFormatting sqref="G66">
    <cfRule type="expression" dxfId="83" priority="36">
      <formula>$D65+$D66&gt;$C66</formula>
    </cfRule>
  </conditionalFormatting>
  <conditionalFormatting sqref="G65">
    <cfRule type="expression" dxfId="82" priority="35">
      <formula>G$65+G$66&gt;=$C$66</formula>
    </cfRule>
  </conditionalFormatting>
  <conditionalFormatting sqref="G66">
    <cfRule type="expression" dxfId="81" priority="34">
      <formula>G$65+G$66&gt;=$C$66</formula>
    </cfRule>
  </conditionalFormatting>
  <conditionalFormatting sqref="H15">
    <cfRule type="cellIs" dxfId="80" priority="33" operator="greaterThan">
      <formula>$C$15</formula>
    </cfRule>
  </conditionalFormatting>
  <conditionalFormatting sqref="H3">
    <cfRule type="cellIs" dxfId="79" priority="32" operator="greaterThan">
      <formula>$C3</formula>
    </cfRule>
  </conditionalFormatting>
  <conditionalFormatting sqref="H51">
    <cfRule type="cellIs" dxfId="78" priority="31" operator="greaterThan">
      <formula>$C51</formula>
    </cfRule>
  </conditionalFormatting>
  <conditionalFormatting sqref="H62">
    <cfRule type="cellIs" dxfId="77" priority="30" operator="greaterThan">
      <formula>$C62</formula>
    </cfRule>
  </conditionalFormatting>
  <conditionalFormatting sqref="H64">
    <cfRule type="cellIs" dxfId="76" priority="29" operator="greaterThan">
      <formula>$C64</formula>
    </cfRule>
  </conditionalFormatting>
  <conditionalFormatting sqref="H12">
    <cfRule type="cellIs" dxfId="75" priority="28" operator="lessThan">
      <formula>$C12</formula>
    </cfRule>
  </conditionalFormatting>
  <conditionalFormatting sqref="H76:H77">
    <cfRule type="cellIs" dxfId="74" priority="27" operator="lessThan">
      <formula>$C76</formula>
    </cfRule>
  </conditionalFormatting>
  <conditionalFormatting sqref="H65">
    <cfRule type="expression" dxfId="73" priority="26">
      <formula>$D65+$D66&gt;$C66</formula>
    </cfRule>
  </conditionalFormatting>
  <conditionalFormatting sqref="H66">
    <cfRule type="expression" dxfId="72" priority="25">
      <formula>$D65+$D66&gt;$C66</formula>
    </cfRule>
  </conditionalFormatting>
  <conditionalFormatting sqref="H65">
    <cfRule type="expression" dxfId="71" priority="24">
      <formula>H$65+H$66&gt;=$C$66</formula>
    </cfRule>
  </conditionalFormatting>
  <conditionalFormatting sqref="H66">
    <cfRule type="expression" dxfId="70" priority="23">
      <formula>H$65+H$66&gt;=$C$66</formula>
    </cfRule>
  </conditionalFormatting>
  <conditionalFormatting sqref="I15">
    <cfRule type="cellIs" dxfId="69" priority="22" operator="greaterThan">
      <formula>$C$15</formula>
    </cfRule>
  </conditionalFormatting>
  <conditionalFormatting sqref="I3">
    <cfRule type="cellIs" dxfId="68" priority="21" operator="greaterThan">
      <formula>$C3</formula>
    </cfRule>
  </conditionalFormatting>
  <conditionalFormatting sqref="I51">
    <cfRule type="cellIs" dxfId="67" priority="20" operator="greaterThan">
      <formula>$C51</formula>
    </cfRule>
  </conditionalFormatting>
  <conditionalFormatting sqref="I62">
    <cfRule type="cellIs" dxfId="66" priority="19" operator="greaterThan">
      <formula>$C62</formula>
    </cfRule>
  </conditionalFormatting>
  <conditionalFormatting sqref="I64">
    <cfRule type="cellIs" dxfId="65" priority="18" operator="greaterThan">
      <formula>$C64</formula>
    </cfRule>
  </conditionalFormatting>
  <conditionalFormatting sqref="I12">
    <cfRule type="cellIs" dxfId="64" priority="17" operator="lessThan">
      <formula>$C12</formula>
    </cfRule>
  </conditionalFormatting>
  <conditionalFormatting sqref="I76:I77">
    <cfRule type="cellIs" dxfId="63" priority="16" operator="lessThan">
      <formula>$C76</formula>
    </cfRule>
  </conditionalFormatting>
  <conditionalFormatting sqref="I65">
    <cfRule type="expression" dxfId="62" priority="15">
      <formula>$D65+$D66&gt;$C66</formula>
    </cfRule>
  </conditionalFormatting>
  <conditionalFormatting sqref="I66">
    <cfRule type="expression" dxfId="61" priority="14">
      <formula>$D65+$D66&gt;$C66</formula>
    </cfRule>
  </conditionalFormatting>
  <conditionalFormatting sqref="I65">
    <cfRule type="expression" dxfId="60" priority="13">
      <formula>I$65+I$66&gt;=$C$66</formula>
    </cfRule>
  </conditionalFormatting>
  <conditionalFormatting sqref="I66">
    <cfRule type="expression" dxfId="59" priority="12">
      <formula>I$65+I$66&gt;=$C$66</formula>
    </cfRule>
  </conditionalFormatting>
  <conditionalFormatting sqref="J15">
    <cfRule type="cellIs" dxfId="58" priority="11" operator="greaterThan">
      <formula>$C$15</formula>
    </cfRule>
  </conditionalFormatting>
  <conditionalFormatting sqref="J3">
    <cfRule type="cellIs" dxfId="57" priority="10" operator="greaterThan">
      <formula>$C3</formula>
    </cfRule>
  </conditionalFormatting>
  <conditionalFormatting sqref="J51">
    <cfRule type="cellIs" dxfId="56" priority="9" operator="greaterThan">
      <formula>$C51</formula>
    </cfRule>
  </conditionalFormatting>
  <conditionalFormatting sqref="J62">
    <cfRule type="cellIs" dxfId="55" priority="8" operator="greaterThan">
      <formula>$C62</formula>
    </cfRule>
  </conditionalFormatting>
  <conditionalFormatting sqref="J64">
    <cfRule type="cellIs" dxfId="54" priority="7" operator="greaterThan">
      <formula>$C64</formula>
    </cfRule>
  </conditionalFormatting>
  <conditionalFormatting sqref="J12">
    <cfRule type="cellIs" dxfId="53" priority="6" operator="lessThan">
      <formula>$C12</formula>
    </cfRule>
  </conditionalFormatting>
  <conditionalFormatting sqref="J76:J77">
    <cfRule type="cellIs" dxfId="52" priority="5" operator="lessThan">
      <formula>$C76</formula>
    </cfRule>
  </conditionalFormatting>
  <conditionalFormatting sqref="J65">
    <cfRule type="expression" dxfId="51" priority="4">
      <formula>$D65+$D66&gt;$C66</formula>
    </cfRule>
  </conditionalFormatting>
  <conditionalFormatting sqref="J66">
    <cfRule type="expression" dxfId="50" priority="3">
      <formula>$D65+$D66&gt;$C66</formula>
    </cfRule>
  </conditionalFormatting>
  <conditionalFormatting sqref="J65">
    <cfRule type="expression" dxfId="49" priority="2">
      <formula>J$65+J$66&gt;=$C$66</formula>
    </cfRule>
  </conditionalFormatting>
  <conditionalFormatting sqref="J66">
    <cfRule type="expression" dxfId="48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sqref="A1:L9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12" width="5" bestFit="1" customWidth="1"/>
  </cols>
  <sheetData>
    <row r="1" spans="1:12" ht="23.25" customHeight="1" x14ac:dyDescent="0.3">
      <c r="A1" s="78" t="s">
        <v>311</v>
      </c>
      <c r="B1" s="78" t="s">
        <v>312</v>
      </c>
      <c r="C1" s="78" t="s">
        <v>322</v>
      </c>
      <c r="D1" s="47" t="s">
        <v>211</v>
      </c>
      <c r="E1" s="47">
        <v>2016</v>
      </c>
      <c r="F1" s="47">
        <v>2017</v>
      </c>
      <c r="G1" s="47">
        <v>2018</v>
      </c>
      <c r="H1" s="47">
        <v>2019</v>
      </c>
      <c r="I1" s="47">
        <v>2020</v>
      </c>
      <c r="J1" s="47">
        <v>2021</v>
      </c>
      <c r="K1" s="47">
        <v>2022</v>
      </c>
      <c r="L1" s="47">
        <v>2023</v>
      </c>
    </row>
    <row r="2" spans="1:12" ht="29.25" customHeight="1" x14ac:dyDescent="0.3">
      <c r="A2" s="79" t="s">
        <v>313</v>
      </c>
      <c r="B2" s="79" t="s">
        <v>78</v>
      </c>
      <c r="C2" s="81" t="s">
        <v>321</v>
      </c>
      <c r="D2" s="91" t="s">
        <v>328</v>
      </c>
      <c r="E2" s="86">
        <f>Piano_indicatori!D3</f>
        <v>29.97</v>
      </c>
      <c r="F2" s="86">
        <f>Piano_indicatori!E3</f>
        <v>29.2</v>
      </c>
      <c r="G2" s="86">
        <f>Piano_indicatori!F3</f>
        <v>29.26</v>
      </c>
      <c r="H2" s="86">
        <f>Piano_indicatori!G3</f>
        <v>28.75</v>
      </c>
      <c r="I2" s="86">
        <f>Piano_indicatori!H3</f>
        <v>27.58</v>
      </c>
      <c r="J2" s="86">
        <f>Piano_indicatori!I3</f>
        <v>25.25</v>
      </c>
      <c r="K2" s="86">
        <f>Piano_indicatori!J3</f>
        <v>28.03</v>
      </c>
      <c r="L2" s="86">
        <f>Piano_indicatori!K3</f>
        <v>27.3</v>
      </c>
    </row>
    <row r="3" spans="1:12" ht="29.25" customHeight="1" x14ac:dyDescent="0.3">
      <c r="A3" s="80" t="s">
        <v>314</v>
      </c>
      <c r="B3" s="80" t="s">
        <v>95</v>
      </c>
      <c r="C3" s="82" t="s">
        <v>96</v>
      </c>
      <c r="D3" s="92" t="s">
        <v>329</v>
      </c>
      <c r="E3" s="87">
        <f>Piano_indicatori!D12</f>
        <v>69.06</v>
      </c>
      <c r="F3" s="87">
        <f>Piano_indicatori!E12</f>
        <v>67.09</v>
      </c>
      <c r="G3" s="87">
        <f>Piano_indicatori!F12</f>
        <v>74.760000000000005</v>
      </c>
      <c r="H3" s="87">
        <f>Piano_indicatori!G12</f>
        <v>71.040000000000006</v>
      </c>
      <c r="I3" s="87">
        <f>Piano_indicatori!H12</f>
        <v>55.06</v>
      </c>
      <c r="J3" s="87">
        <f>Piano_indicatori!I12</f>
        <v>57.55</v>
      </c>
      <c r="K3" s="87">
        <f>Piano_indicatori!J12</f>
        <v>67.67</v>
      </c>
      <c r="L3" s="87">
        <f>Piano_indicatori!K12</f>
        <v>69.2</v>
      </c>
    </row>
    <row r="4" spans="1:12" ht="29.25" customHeight="1" x14ac:dyDescent="0.3">
      <c r="A4" s="79" t="s">
        <v>315</v>
      </c>
      <c r="B4" s="79" t="s">
        <v>100</v>
      </c>
      <c r="C4" s="83" t="s">
        <v>324</v>
      </c>
      <c r="D4" s="91" t="s">
        <v>330</v>
      </c>
      <c r="E4" s="88">
        <f>Piano_indicatori!D15</f>
        <v>0</v>
      </c>
      <c r="F4" s="88">
        <f>Piano_indicatori!E15</f>
        <v>0</v>
      </c>
      <c r="G4" s="88">
        <f>Piano_indicatori!F15</f>
        <v>0</v>
      </c>
      <c r="H4" s="88">
        <f>Piano_indicatori!G15</f>
        <v>0</v>
      </c>
      <c r="I4" s="88">
        <f>Piano_indicatori!H15</f>
        <v>0</v>
      </c>
      <c r="J4" s="88">
        <f>Piano_indicatori!I15</f>
        <v>0</v>
      </c>
      <c r="K4" s="88">
        <f>Piano_indicatori!J15</f>
        <v>0</v>
      </c>
      <c r="L4" s="88">
        <f>Piano_indicatori!K15</f>
        <v>0</v>
      </c>
    </row>
    <row r="5" spans="1:12" ht="29.25" customHeight="1" x14ac:dyDescent="0.3">
      <c r="A5" s="80" t="s">
        <v>316</v>
      </c>
      <c r="B5" s="80" t="s">
        <v>165</v>
      </c>
      <c r="C5" s="84" t="s">
        <v>325</v>
      </c>
      <c r="D5" s="93" t="s">
        <v>331</v>
      </c>
      <c r="E5" s="89">
        <f>Piano_indicatori!D51</f>
        <v>9.27</v>
      </c>
      <c r="F5" s="89">
        <f>Piano_indicatori!E51</f>
        <v>9.5500000000000007</v>
      </c>
      <c r="G5" s="89">
        <f>Piano_indicatori!F51</f>
        <v>8.3699999999999992</v>
      </c>
      <c r="H5" s="89">
        <f>Piano_indicatori!G51</f>
        <v>9.66</v>
      </c>
      <c r="I5" s="89">
        <f>Piano_indicatori!H51</f>
        <v>7.47</v>
      </c>
      <c r="J5" s="89">
        <f>Piano_indicatori!I51</f>
        <v>6.91</v>
      </c>
      <c r="K5" s="89">
        <f>Piano_indicatori!J51</f>
        <v>8.49</v>
      </c>
      <c r="L5" s="89">
        <f>Piano_indicatori!K51</f>
        <v>7.72</v>
      </c>
    </row>
    <row r="6" spans="1:12" ht="29.25" customHeight="1" x14ac:dyDescent="0.3">
      <c r="A6" s="79" t="s">
        <v>317</v>
      </c>
      <c r="B6" s="79" t="s">
        <v>185</v>
      </c>
      <c r="C6" s="95" t="s">
        <v>186</v>
      </c>
      <c r="D6" s="94" t="s">
        <v>332</v>
      </c>
      <c r="E6" s="124">
        <f>Piano_indicatori!D62</f>
        <v>0</v>
      </c>
      <c r="F6" s="124">
        <f>Piano_indicatori!E62</f>
        <v>0</v>
      </c>
      <c r="G6" s="124">
        <f>Piano_indicatori!F62</f>
        <v>0</v>
      </c>
      <c r="H6" s="124">
        <f>Piano_indicatori!G62</f>
        <v>0</v>
      </c>
      <c r="I6" s="124">
        <f>Piano_indicatori!H62</f>
        <v>0</v>
      </c>
      <c r="J6" s="124">
        <f>Piano_indicatori!I62</f>
        <v>0</v>
      </c>
      <c r="K6" s="124">
        <f>Piano_indicatori!J62</f>
        <v>0</v>
      </c>
      <c r="L6" s="124">
        <f>Piano_indicatori!K62</f>
        <v>0</v>
      </c>
    </row>
    <row r="7" spans="1:12" ht="29.25" customHeight="1" x14ac:dyDescent="0.3">
      <c r="A7" s="80" t="s">
        <v>318</v>
      </c>
      <c r="B7" s="80" t="s">
        <v>188</v>
      </c>
      <c r="C7" s="84" t="s">
        <v>189</v>
      </c>
      <c r="D7" s="92" t="s">
        <v>333</v>
      </c>
      <c r="E7" s="125">
        <f>Piano_indicatori!D64</f>
        <v>0</v>
      </c>
      <c r="F7" s="125">
        <f>Piano_indicatori!E64</f>
        <v>0.36</v>
      </c>
      <c r="G7" s="125">
        <f>Piano_indicatori!F64</f>
        <v>0.04</v>
      </c>
      <c r="H7" s="125">
        <f>Piano_indicatori!G64</f>
        <v>0.19</v>
      </c>
      <c r="I7" s="125">
        <f>Piano_indicatori!H64</f>
        <v>0.08</v>
      </c>
      <c r="J7" s="125">
        <f>Piano_indicatori!I64</f>
        <v>7.0000000000000007E-2</v>
      </c>
      <c r="K7" s="125">
        <f>Piano_indicatori!J64</f>
        <v>0.16</v>
      </c>
      <c r="L7" s="125">
        <f>Piano_indicatori!K64</f>
        <v>0.11</v>
      </c>
    </row>
    <row r="8" spans="1:12" ht="29.25" customHeight="1" x14ac:dyDescent="0.3">
      <c r="A8" s="79" t="s">
        <v>319</v>
      </c>
      <c r="B8" s="79" t="s">
        <v>323</v>
      </c>
      <c r="C8" s="83" t="s">
        <v>326</v>
      </c>
      <c r="D8" s="91" t="s">
        <v>334</v>
      </c>
      <c r="E8" s="126">
        <f>Piano_indicatori!D65+Piano_indicatori!D66</f>
        <v>0.03</v>
      </c>
      <c r="F8" s="126">
        <f>Piano_indicatori!E65+Piano_indicatori!E66</f>
        <v>0.04</v>
      </c>
      <c r="G8" s="126">
        <f>Piano_indicatori!F65+Piano_indicatori!F66</f>
        <v>0.19</v>
      </c>
      <c r="H8" s="126">
        <f>Piano_indicatori!G65+Piano_indicatori!G66</f>
        <v>0.03</v>
      </c>
      <c r="I8" s="126">
        <f>Piano_indicatori!H65+Piano_indicatori!H66</f>
        <v>0.02</v>
      </c>
      <c r="J8" s="126">
        <f>Piano_indicatori!I65+Piano_indicatori!I66</f>
        <v>0.02</v>
      </c>
      <c r="K8" s="126">
        <f>Piano_indicatori!J65+Piano_indicatori!J66</f>
        <v>0.01</v>
      </c>
      <c r="L8" s="126">
        <f>Piano_indicatori!K65+Piano_indicatori!K66</f>
        <v>0.02</v>
      </c>
    </row>
    <row r="9" spans="1:12" ht="29.25" customHeight="1" x14ac:dyDescent="0.3">
      <c r="A9" s="80" t="s">
        <v>320</v>
      </c>
      <c r="B9" s="80"/>
      <c r="C9" s="85" t="s">
        <v>327</v>
      </c>
      <c r="D9" s="93" t="s">
        <v>335</v>
      </c>
      <c r="E9" s="90">
        <f>Piano_indicatori!D76</f>
        <v>53.65</v>
      </c>
      <c r="F9" s="90">
        <f>Piano_indicatori!E76</f>
        <v>51.84</v>
      </c>
      <c r="G9" s="90">
        <f>Piano_indicatori!F76</f>
        <v>53.31</v>
      </c>
      <c r="H9" s="90">
        <f>Piano_indicatori!G76</f>
        <v>52.056422785442237</v>
      </c>
      <c r="I9" s="90">
        <f>Piano_indicatori!H76</f>
        <v>52.770591463584239</v>
      </c>
      <c r="J9" s="90">
        <f>Piano_indicatori!I76</f>
        <v>55.814819907389726</v>
      </c>
      <c r="K9" s="90">
        <f>Piano_indicatori!J76</f>
        <v>55.481578447773458</v>
      </c>
      <c r="L9" s="90">
        <f>Piano_indicatori!K76</f>
        <v>57.864821179169056</v>
      </c>
    </row>
  </sheetData>
  <conditionalFormatting sqref="E2:H2">
    <cfRule type="cellIs" dxfId="47" priority="48" operator="greaterThan">
      <formula>48</formula>
    </cfRule>
  </conditionalFormatting>
  <conditionalFormatting sqref="E3:H3">
    <cfRule type="cellIs" dxfId="46" priority="47" operator="lessThan">
      <formula>22</formula>
    </cfRule>
  </conditionalFormatting>
  <conditionalFormatting sqref="E4:H4">
    <cfRule type="cellIs" dxfId="45" priority="46" operator="greaterThan">
      <formula>0</formula>
    </cfRule>
  </conditionalFormatting>
  <conditionalFormatting sqref="E5:H5">
    <cfRule type="cellIs" dxfId="44" priority="45" operator="greaterThan">
      <formula>16</formula>
    </cfRule>
  </conditionalFormatting>
  <conditionalFormatting sqref="E6:H6">
    <cfRule type="cellIs" dxfId="43" priority="44" operator="greaterThan">
      <formula>1.2</formula>
    </cfRule>
  </conditionalFormatting>
  <conditionalFormatting sqref="E7:H7">
    <cfRule type="cellIs" dxfId="42" priority="43" operator="greaterThan">
      <formula>1</formula>
    </cfRule>
  </conditionalFormatting>
  <conditionalFormatting sqref="E8:H8">
    <cfRule type="cellIs" dxfId="41" priority="42" operator="greaterThan">
      <formula>0.6</formula>
    </cfRule>
  </conditionalFormatting>
  <conditionalFormatting sqref="E9:H9">
    <cfRule type="cellIs" dxfId="40" priority="41" operator="lessThan">
      <formula>47</formula>
    </cfRule>
  </conditionalFormatting>
  <conditionalFormatting sqref="L2">
    <cfRule type="cellIs" dxfId="39" priority="40" operator="greaterThan">
      <formula>48</formula>
    </cfRule>
  </conditionalFormatting>
  <conditionalFormatting sqref="L3">
    <cfRule type="cellIs" dxfId="38" priority="39" operator="lessThan">
      <formula>22</formula>
    </cfRule>
  </conditionalFormatting>
  <conditionalFormatting sqref="L4">
    <cfRule type="cellIs" dxfId="37" priority="38" operator="greaterThan">
      <formula>0</formula>
    </cfRule>
  </conditionalFormatting>
  <conditionalFormatting sqref="L5">
    <cfRule type="cellIs" dxfId="36" priority="37" operator="greaterThan">
      <formula>16</formula>
    </cfRule>
  </conditionalFormatting>
  <conditionalFormatting sqref="L6">
    <cfRule type="cellIs" dxfId="35" priority="36" operator="greaterThan">
      <formula>1.2</formula>
    </cfRule>
  </conditionalFormatting>
  <conditionalFormatting sqref="L7">
    <cfRule type="cellIs" dxfId="34" priority="35" operator="greaterThan">
      <formula>1</formula>
    </cfRule>
  </conditionalFormatting>
  <conditionalFormatting sqref="L8">
    <cfRule type="cellIs" dxfId="33" priority="34" operator="greaterThan">
      <formula>0.6</formula>
    </cfRule>
  </conditionalFormatting>
  <conditionalFormatting sqref="L9">
    <cfRule type="cellIs" dxfId="32" priority="33" operator="lessThan">
      <formula>47</formula>
    </cfRule>
  </conditionalFormatting>
  <conditionalFormatting sqref="H2">
    <cfRule type="cellIs" dxfId="31" priority="32" operator="greaterThan">
      <formula>48</formula>
    </cfRule>
  </conditionalFormatting>
  <conditionalFormatting sqref="H3">
    <cfRule type="cellIs" dxfId="30" priority="31" operator="lessThan">
      <formula>22</formula>
    </cfRule>
  </conditionalFormatting>
  <conditionalFormatting sqref="H4">
    <cfRule type="cellIs" dxfId="29" priority="30" operator="greaterThan">
      <formula>0</formula>
    </cfRule>
  </conditionalFormatting>
  <conditionalFormatting sqref="H5">
    <cfRule type="cellIs" dxfId="28" priority="29" operator="greaterThan">
      <formula>16</formula>
    </cfRule>
  </conditionalFormatting>
  <conditionalFormatting sqref="H6">
    <cfRule type="cellIs" dxfId="27" priority="28" operator="greaterThan">
      <formula>1.2</formula>
    </cfRule>
  </conditionalFormatting>
  <conditionalFormatting sqref="H7">
    <cfRule type="cellIs" dxfId="26" priority="27" operator="greaterThan">
      <formula>1</formula>
    </cfRule>
  </conditionalFormatting>
  <conditionalFormatting sqref="H8">
    <cfRule type="cellIs" dxfId="25" priority="26" operator="greaterThan">
      <formula>0.6</formula>
    </cfRule>
  </conditionalFormatting>
  <conditionalFormatting sqref="H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3" max="3" width="9.109375" bestFit="1" customWidth="1"/>
    <col min="5" max="5" width="10.109375" customWidth="1"/>
    <col min="6" max="6" width="10" customWidth="1"/>
  </cols>
  <sheetData>
    <row r="1" spans="1:19" ht="43.2" x14ac:dyDescent="0.3">
      <c r="A1" s="97" t="s">
        <v>336</v>
      </c>
      <c r="B1" s="97" t="s">
        <v>337</v>
      </c>
      <c r="C1" s="97" t="s">
        <v>351</v>
      </c>
      <c r="D1" s="97" t="s">
        <v>352</v>
      </c>
      <c r="E1" s="97" t="s">
        <v>353</v>
      </c>
      <c r="F1" s="97" t="s">
        <v>366</v>
      </c>
      <c r="G1" s="97" t="s">
        <v>354</v>
      </c>
    </row>
    <row r="2" spans="1:19" x14ac:dyDescent="0.3">
      <c r="A2">
        <v>2024</v>
      </c>
      <c r="B2" s="1">
        <v>1371850</v>
      </c>
      <c r="C2" s="1">
        <v>3247764</v>
      </c>
    </row>
    <row r="3" spans="1:19" x14ac:dyDescent="0.3">
      <c r="A3">
        <v>2023</v>
      </c>
      <c r="B3" s="1">
        <v>1358420</v>
      </c>
      <c r="C3" s="1">
        <v>3219391</v>
      </c>
      <c r="D3" s="1">
        <v>-4511</v>
      </c>
      <c r="E3" s="1">
        <f>-3094+21035</f>
        <v>17941</v>
      </c>
      <c r="G3" s="1">
        <f t="shared" ref="G3:G4" si="0">B2-B3-D3-E3-F3</f>
        <v>0</v>
      </c>
    </row>
    <row r="4" spans="1:19" x14ac:dyDescent="0.3">
      <c r="A4">
        <v>2022</v>
      </c>
      <c r="B4" s="1">
        <v>1349930</v>
      </c>
      <c r="C4" s="1">
        <v>3214630</v>
      </c>
      <c r="D4" s="1">
        <v>-5547</v>
      </c>
      <c r="E4" s="1">
        <f>-4246+14262</f>
        <v>10016</v>
      </c>
      <c r="F4" s="1">
        <v>4021</v>
      </c>
      <c r="G4" s="1">
        <f t="shared" si="0"/>
        <v>0</v>
      </c>
    </row>
    <row r="5" spans="1:19" x14ac:dyDescent="0.3">
      <c r="A5">
        <v>2021</v>
      </c>
      <c r="B5" s="1">
        <v>1374582</v>
      </c>
      <c r="C5" s="1">
        <v>3241813</v>
      </c>
      <c r="D5" s="1">
        <v>-4445</v>
      </c>
      <c r="E5" s="1">
        <v>-1088</v>
      </c>
      <c r="F5" s="1">
        <v>-19119</v>
      </c>
      <c r="G5" s="1">
        <f>B4-B5-D5-E5-F5</f>
        <v>0</v>
      </c>
    </row>
    <row r="6" spans="1:19" x14ac:dyDescent="0.3">
      <c r="A6">
        <v>2020</v>
      </c>
      <c r="B6" s="1">
        <v>1406242</v>
      </c>
      <c r="C6" s="1">
        <v>3265327</v>
      </c>
      <c r="D6" s="1">
        <v>-8261</v>
      </c>
      <c r="E6" s="1">
        <v>-2671</v>
      </c>
      <c r="F6" s="1">
        <v>-20728</v>
      </c>
      <c r="G6" s="1">
        <f t="shared" ref="G6:G11" si="1">B5-B6-D6-E6-F6</f>
        <v>0</v>
      </c>
    </row>
    <row r="7" spans="1:19" x14ac:dyDescent="0.3">
      <c r="A7" s="103">
        <v>2019</v>
      </c>
      <c r="B7" s="1">
        <v>1395980</v>
      </c>
      <c r="C7" s="1">
        <v>3250077</v>
      </c>
      <c r="D7" s="1">
        <v>-3300</v>
      </c>
      <c r="E7" s="1">
        <v>13940</v>
      </c>
      <c r="F7" s="1">
        <v>-378</v>
      </c>
      <c r="G7" s="1">
        <f t="shared" si="1"/>
        <v>0</v>
      </c>
      <c r="J7" s="108"/>
      <c r="K7" s="109"/>
      <c r="L7" s="109"/>
      <c r="M7" s="109"/>
      <c r="N7" s="109"/>
      <c r="O7" s="109"/>
      <c r="P7" s="109"/>
      <c r="Q7" s="109"/>
      <c r="R7" s="109"/>
      <c r="S7" s="109"/>
    </row>
    <row r="8" spans="1:19" x14ac:dyDescent="0.3">
      <c r="A8">
        <v>2018</v>
      </c>
      <c r="B8" s="1">
        <v>1380995</v>
      </c>
      <c r="C8" s="1">
        <v>3232728</v>
      </c>
      <c r="D8" s="1">
        <v>-3345</v>
      </c>
      <c r="E8" s="1">
        <v>18330</v>
      </c>
      <c r="F8" s="1"/>
      <c r="G8" s="1">
        <f t="shared" si="1"/>
        <v>0</v>
      </c>
      <c r="J8" s="108"/>
      <c r="K8" s="109"/>
      <c r="L8" s="109"/>
      <c r="M8" s="109"/>
      <c r="N8" s="109"/>
      <c r="O8" s="109"/>
      <c r="P8" s="109"/>
      <c r="Q8" s="109"/>
      <c r="R8" s="109"/>
      <c r="S8" s="109"/>
    </row>
    <row r="9" spans="1:19" x14ac:dyDescent="0.3">
      <c r="A9">
        <v>2017</v>
      </c>
      <c r="B9" s="1">
        <v>1363683</v>
      </c>
      <c r="C9" s="1">
        <v>3214702</v>
      </c>
      <c r="D9" s="1">
        <v>-2932</v>
      </c>
      <c r="E9" s="1">
        <v>20244</v>
      </c>
      <c r="F9" s="1"/>
      <c r="G9" s="1">
        <f t="shared" si="1"/>
        <v>0</v>
      </c>
      <c r="J9" s="108"/>
      <c r="K9" s="109"/>
      <c r="L9" s="109"/>
      <c r="M9" s="109"/>
      <c r="N9" s="109"/>
      <c r="O9" s="109"/>
      <c r="P9" s="109"/>
      <c r="Q9" s="109"/>
      <c r="R9" s="109"/>
      <c r="S9" s="109"/>
    </row>
    <row r="10" spans="1:19" x14ac:dyDescent="0.3">
      <c r="A10">
        <v>2016</v>
      </c>
      <c r="B10" s="1">
        <v>1352193</v>
      </c>
      <c r="C10" s="1">
        <v>3200447</v>
      </c>
      <c r="D10" s="1">
        <v>-2033</v>
      </c>
      <c r="E10" s="1">
        <v>13523</v>
      </c>
      <c r="F10" s="1"/>
      <c r="G10" s="1">
        <f t="shared" si="1"/>
        <v>0</v>
      </c>
      <c r="J10" s="108"/>
      <c r="K10" s="109"/>
      <c r="L10" s="109"/>
      <c r="M10" s="109"/>
      <c r="N10" s="109"/>
      <c r="O10" s="109"/>
      <c r="P10" s="109"/>
      <c r="Q10" s="109"/>
      <c r="R10" s="109"/>
      <c r="S10" s="109"/>
    </row>
    <row r="11" spans="1:19" x14ac:dyDescent="0.3">
      <c r="A11">
        <v>2015</v>
      </c>
      <c r="B11" s="1">
        <v>1339812</v>
      </c>
      <c r="C11" s="1">
        <v>3186367</v>
      </c>
      <c r="D11" s="1">
        <v>-2885</v>
      </c>
      <c r="E11" s="1">
        <v>15266</v>
      </c>
      <c r="F11" s="1"/>
      <c r="G11" s="1">
        <f t="shared" si="1"/>
        <v>0</v>
      </c>
    </row>
    <row r="32" spans="6:6" x14ac:dyDescent="0.3">
      <c r="F32" s="108"/>
    </row>
    <row r="33" spans="2:6" x14ac:dyDescent="0.3">
      <c r="F33" s="108"/>
    </row>
    <row r="34" spans="2:6" x14ac:dyDescent="0.3">
      <c r="B34" s="110"/>
      <c r="C34" s="108"/>
      <c r="D34" s="108"/>
      <c r="E34" s="108"/>
      <c r="F34" s="108"/>
    </row>
    <row r="35" spans="2:6" x14ac:dyDescent="0.3">
      <c r="B35" s="110"/>
      <c r="C35" s="108"/>
      <c r="D35" s="108"/>
      <c r="E35" s="108"/>
      <c r="F35" s="108"/>
    </row>
    <row r="36" spans="2:6" x14ac:dyDescent="0.3">
      <c r="B36" s="110"/>
      <c r="C36" s="108"/>
      <c r="D36" s="108"/>
      <c r="E36" s="108"/>
      <c r="F36" s="108"/>
    </row>
    <row r="37" spans="2:6" x14ac:dyDescent="0.3">
      <c r="B37" s="110"/>
      <c r="C37" s="108"/>
      <c r="D37" s="108"/>
      <c r="E37" s="108"/>
      <c r="F37" s="108"/>
    </row>
    <row r="38" spans="2:6" x14ac:dyDescent="0.3">
      <c r="B38" s="110"/>
      <c r="C38" s="108"/>
      <c r="D38" s="108"/>
      <c r="E38" s="108"/>
      <c r="F38" s="108"/>
    </row>
    <row r="39" spans="2:6" x14ac:dyDescent="0.3">
      <c r="B39" s="110"/>
      <c r="C39" s="108"/>
      <c r="D39" s="108"/>
      <c r="E39" s="108"/>
      <c r="F39" s="108"/>
    </row>
    <row r="40" spans="2:6" x14ac:dyDescent="0.3">
      <c r="B40" s="110"/>
      <c r="C40" s="108"/>
      <c r="D40" s="108"/>
      <c r="E40" s="108"/>
      <c r="F40" s="108"/>
    </row>
    <row r="41" spans="2:6" x14ac:dyDescent="0.3">
      <c r="B41" s="110"/>
      <c r="C41" s="108"/>
      <c r="D41" s="108"/>
      <c r="E41" s="108"/>
    </row>
    <row r="42" spans="2:6" x14ac:dyDescent="0.3">
      <c r="B42" s="110"/>
      <c r="C42" s="108"/>
      <c r="D42" s="108"/>
      <c r="E42" s="108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opLeftCell="B1" workbookViewId="0">
      <selection activeCell="B1" sqref="B1:D1048576"/>
    </sheetView>
  </sheetViews>
  <sheetFormatPr defaultRowHeight="14.4" x14ac:dyDescent="0.3"/>
  <cols>
    <col min="1" max="1" width="54.6640625" customWidth="1"/>
    <col min="2" max="9" width="14.109375" bestFit="1" customWidth="1"/>
    <col min="10" max="10" width="8.44140625" customWidth="1"/>
    <col min="11" max="11" width="6.5546875" bestFit="1" customWidth="1"/>
    <col min="12" max="12" width="14" customWidth="1"/>
    <col min="13" max="13" width="7" bestFit="1" customWidth="1"/>
  </cols>
  <sheetData>
    <row r="1" spans="1:13" ht="28.8" x14ac:dyDescent="0.3">
      <c r="A1" s="46"/>
      <c r="B1" s="47">
        <v>2016</v>
      </c>
      <c r="C1" s="47">
        <v>2017</v>
      </c>
      <c r="D1" s="47">
        <v>2018</v>
      </c>
      <c r="E1" s="47">
        <v>2019</v>
      </c>
      <c r="F1" s="47">
        <v>2020</v>
      </c>
      <c r="G1" s="47">
        <v>2021</v>
      </c>
      <c r="H1" s="47">
        <v>2022</v>
      </c>
      <c r="I1" s="47">
        <v>2023</v>
      </c>
      <c r="J1" s="59" t="s">
        <v>297</v>
      </c>
      <c r="K1" s="47" t="s">
        <v>233</v>
      </c>
      <c r="L1" s="59" t="s">
        <v>387</v>
      </c>
      <c r="M1" s="47" t="s">
        <v>269</v>
      </c>
    </row>
    <row r="2" spans="1:13" x14ac:dyDescent="0.3">
      <c r="A2" s="60" t="s">
        <v>20</v>
      </c>
      <c r="B2" s="61">
        <f>Entrate_Uscite!B3</f>
        <v>1366332024.4000001</v>
      </c>
      <c r="C2" s="61">
        <f>Entrate_Uscite!E3</f>
        <v>1414703525.4000001</v>
      </c>
      <c r="D2" s="61">
        <f>Entrate_Uscite!H3</f>
        <v>1421319954.1199999</v>
      </c>
      <c r="E2" s="61">
        <f>Entrate_Uscite!K3</f>
        <v>1434400074.1700001</v>
      </c>
      <c r="F2" s="61">
        <f>Entrate_Uscite!N3</f>
        <v>1340114372.1900001</v>
      </c>
      <c r="G2" s="61">
        <f>Entrate_Uscite!Q3</f>
        <v>1375575354.52</v>
      </c>
      <c r="H2" s="61">
        <f>Entrate_Uscite!T3</f>
        <v>1428995409.3399999</v>
      </c>
      <c r="I2" s="61">
        <f>Entrate_Uscite!W3</f>
        <v>1471905681.3900001</v>
      </c>
      <c r="J2" s="61">
        <f t="shared" ref="J2:J18" si="0">I2/I$21*100</f>
        <v>34.811947674671814</v>
      </c>
      <c r="K2" s="62">
        <f>IF(H2&gt;0,I2/H2*100-100,"-")</f>
        <v>3.0028278446198016</v>
      </c>
      <c r="L2" s="61">
        <f>Entrate_Uscite!X3</f>
        <v>990856388.77999997</v>
      </c>
      <c r="M2" s="63">
        <f t="shared" ref="M2:M21" si="1">IF(I2&gt;0,L2/I2*100,"-")</f>
        <v>67.317926773968338</v>
      </c>
    </row>
    <row r="3" spans="1:13" x14ac:dyDescent="0.3">
      <c r="A3" s="60" t="s">
        <v>21</v>
      </c>
      <c r="B3" s="61">
        <f>Entrate_Uscite!B4</f>
        <v>407773118.19999999</v>
      </c>
      <c r="C3" s="61">
        <f>Entrate_Uscite!E4</f>
        <v>420962037.94999999</v>
      </c>
      <c r="D3" s="61">
        <f>Entrate_Uscite!H4</f>
        <v>459608963.81</v>
      </c>
      <c r="E3" s="61">
        <f>Entrate_Uscite!K4</f>
        <v>429369689.54000002</v>
      </c>
      <c r="F3" s="61">
        <f>Entrate_Uscite!N4</f>
        <v>984131701.23000002</v>
      </c>
      <c r="G3" s="61">
        <f>Entrate_Uscite!Q4</f>
        <v>995530992.46000004</v>
      </c>
      <c r="H3" s="61">
        <f>Entrate_Uscite!T4</f>
        <v>623413442.67999995</v>
      </c>
      <c r="I3" s="61">
        <f>Entrate_Uscite!W4</f>
        <v>518700898.75</v>
      </c>
      <c r="J3" s="61">
        <f t="shared" si="0"/>
        <v>12.267761973062061</v>
      </c>
      <c r="K3" s="62">
        <f t="shared" ref="K3:K21" si="2">IF(H3&gt;0,I3/H3*100-100,"-")</f>
        <v>-16.796645173361981</v>
      </c>
      <c r="L3" s="61">
        <f>Entrate_Uscite!X4</f>
        <v>436044107.97000003</v>
      </c>
      <c r="M3" s="63">
        <f t="shared" si="1"/>
        <v>84.064652484853639</v>
      </c>
    </row>
    <row r="4" spans="1:13" x14ac:dyDescent="0.3">
      <c r="A4" s="60" t="s">
        <v>22</v>
      </c>
      <c r="B4" s="61">
        <f>Entrate_Uscite!B5</f>
        <v>1384676130.0899999</v>
      </c>
      <c r="C4" s="61">
        <f>Entrate_Uscite!E5</f>
        <v>1342206382.45</v>
      </c>
      <c r="D4" s="61">
        <f>Entrate_Uscite!H5</f>
        <v>1399918147.3499999</v>
      </c>
      <c r="E4" s="61">
        <f>Entrate_Uscite!K5</f>
        <v>1437116530.77</v>
      </c>
      <c r="F4" s="61">
        <f>Entrate_Uscite!N5</f>
        <v>883340464.51999998</v>
      </c>
      <c r="G4" s="61">
        <f>Entrate_Uscite!Q5</f>
        <v>973648422.04999995</v>
      </c>
      <c r="H4" s="61">
        <f>Entrate_Uscite!T5</f>
        <v>1267695291.3499999</v>
      </c>
      <c r="I4" s="61">
        <f>Entrate_Uscite!W5</f>
        <v>1452898873.51</v>
      </c>
      <c r="J4" s="61">
        <f t="shared" si="0"/>
        <v>34.362418870111284</v>
      </c>
      <c r="K4" s="62">
        <f t="shared" si="2"/>
        <v>14.609471489222955</v>
      </c>
      <c r="L4" s="61">
        <f>Entrate_Uscite!X5</f>
        <v>1150067533.75</v>
      </c>
      <c r="M4" s="63">
        <f t="shared" si="1"/>
        <v>79.156750323000665</v>
      </c>
    </row>
    <row r="5" spans="1:13" x14ac:dyDescent="0.3">
      <c r="A5" s="4" t="s">
        <v>31</v>
      </c>
      <c r="B5" s="48">
        <f>SUM(B2:B4)</f>
        <v>3158781272.6900001</v>
      </c>
      <c r="C5" s="48">
        <f>SUM(C2:C4)</f>
        <v>3177871945.8000002</v>
      </c>
      <c r="D5" s="48">
        <f>SUM(D2:D4)</f>
        <v>3280847065.2799997</v>
      </c>
      <c r="E5" s="48">
        <f t="shared" ref="E5:I5" si="3">SUM(E2:E4)</f>
        <v>3300886294.48</v>
      </c>
      <c r="F5" s="48">
        <f t="shared" si="3"/>
        <v>3207586537.9400001</v>
      </c>
      <c r="G5" s="48">
        <f t="shared" ref="G5:H5" si="4">SUM(G2:G4)</f>
        <v>3344754769.0299997</v>
      </c>
      <c r="H5" s="48">
        <f t="shared" si="4"/>
        <v>3320104143.3699999</v>
      </c>
      <c r="I5" s="48">
        <f t="shared" si="3"/>
        <v>3443505453.6500001</v>
      </c>
      <c r="J5" s="48">
        <f t="shared" si="0"/>
        <v>81.442128517845163</v>
      </c>
      <c r="K5" s="49">
        <f t="shared" si="2"/>
        <v>3.7167903460625809</v>
      </c>
      <c r="L5" s="48">
        <f>SUM(L2:L4)</f>
        <v>2576968030.5</v>
      </c>
      <c r="M5" s="50">
        <f t="shared" si="1"/>
        <v>74.83560183616089</v>
      </c>
    </row>
    <row r="6" spans="1:13" x14ac:dyDescent="0.3">
      <c r="A6" s="60" t="s">
        <v>23</v>
      </c>
      <c r="B6" s="61">
        <f>Entrate_Uscite!B6</f>
        <v>173860.94</v>
      </c>
      <c r="C6" s="61">
        <f>Entrate_Uscite!E6</f>
        <v>152474.67000000001</v>
      </c>
      <c r="D6" s="61">
        <f>Entrate_Uscite!H6</f>
        <v>226037.91</v>
      </c>
      <c r="E6" s="61">
        <f>Entrate_Uscite!K6</f>
        <v>134934.98000000001</v>
      </c>
      <c r="F6" s="61">
        <f>Entrate_Uscite!N6</f>
        <v>86347.96</v>
      </c>
      <c r="G6" s="61">
        <f>Entrate_Uscite!Q6</f>
        <v>96517.69</v>
      </c>
      <c r="H6" s="61">
        <f>Entrate_Uscite!T6</f>
        <v>57426.2</v>
      </c>
      <c r="I6" s="61">
        <f>Entrate_Uscite!W6</f>
        <v>81418.600000000006</v>
      </c>
      <c r="J6" s="61">
        <f t="shared" si="0"/>
        <v>1.9256261313350014E-3</v>
      </c>
      <c r="K6" s="62">
        <f t="shared" si="2"/>
        <v>41.779536169901547</v>
      </c>
      <c r="L6" s="61">
        <f>Entrate_Uscite!X6</f>
        <v>79796.960000000006</v>
      </c>
      <c r="M6" s="63">
        <f t="shared" si="1"/>
        <v>98.008268380935064</v>
      </c>
    </row>
    <row r="7" spans="1:13" x14ac:dyDescent="0.3">
      <c r="A7" s="60" t="s">
        <v>24</v>
      </c>
      <c r="B7" s="61">
        <f>Entrate_Uscite!B7</f>
        <v>106097026.79000001</v>
      </c>
      <c r="C7" s="61">
        <f>Entrate_Uscite!E7</f>
        <v>194732045.81</v>
      </c>
      <c r="D7" s="61">
        <f>Entrate_Uscite!H7</f>
        <v>212699366.72999999</v>
      </c>
      <c r="E7" s="61">
        <f>Entrate_Uscite!K7</f>
        <v>224089798.13</v>
      </c>
      <c r="F7" s="61">
        <f>Entrate_Uscite!N7</f>
        <v>166689493.52000001</v>
      </c>
      <c r="G7" s="61">
        <f>Entrate_Uscite!Q7</f>
        <v>281718093.08999997</v>
      </c>
      <c r="H7" s="61">
        <f>Entrate_Uscite!T7</f>
        <v>409529810.70999998</v>
      </c>
      <c r="I7" s="61">
        <f>Entrate_Uscite!W7</f>
        <v>381700165.63999999</v>
      </c>
      <c r="J7" s="61">
        <f t="shared" si="0"/>
        <v>9.0275663459121436</v>
      </c>
      <c r="K7" s="62">
        <f t="shared" si="2"/>
        <v>-6.7955114236377199</v>
      </c>
      <c r="L7" s="61">
        <f>Entrate_Uscite!X7</f>
        <v>211265728.44999999</v>
      </c>
      <c r="M7" s="63">
        <f t="shared" si="1"/>
        <v>55.348608009055724</v>
      </c>
    </row>
    <row r="8" spans="1:13" x14ac:dyDescent="0.3">
      <c r="A8" s="60" t="s">
        <v>25</v>
      </c>
      <c r="B8" s="61">
        <f>Entrate_Uscite!B8</f>
        <v>0</v>
      </c>
      <c r="C8" s="61">
        <f>Entrate_Uscite!E8</f>
        <v>0</v>
      </c>
      <c r="D8" s="61">
        <f>Entrate_Uscite!H8</f>
        <v>0</v>
      </c>
      <c r="E8" s="61">
        <f>Entrate_Uscite!K8</f>
        <v>0</v>
      </c>
      <c r="F8" s="61">
        <f>Entrate_Uscite!N8</f>
        <v>0</v>
      </c>
      <c r="G8" s="61">
        <f>Entrate_Uscite!Q8</f>
        <v>0</v>
      </c>
      <c r="H8" s="61">
        <f>Entrate_Uscite!T8</f>
        <v>0</v>
      </c>
      <c r="I8" s="61">
        <f>Entrate_Uscite!W8</f>
        <v>0</v>
      </c>
      <c r="J8" s="61">
        <f t="shared" si="0"/>
        <v>0</v>
      </c>
      <c r="K8" s="62" t="str">
        <f t="shared" si="2"/>
        <v>-</v>
      </c>
      <c r="L8" s="61">
        <f>Entrate_Uscite!X8</f>
        <v>0</v>
      </c>
      <c r="M8" s="148" t="str">
        <f t="shared" si="1"/>
        <v>-</v>
      </c>
    </row>
    <row r="9" spans="1:13" x14ac:dyDescent="0.3">
      <c r="A9" s="60" t="s">
        <v>26</v>
      </c>
      <c r="B9" s="61">
        <f>Entrate_Uscite!B9</f>
        <v>5649599.7199999997</v>
      </c>
      <c r="C9" s="61">
        <f>Entrate_Uscite!E9</f>
        <v>18861814.469999999</v>
      </c>
      <c r="D9" s="61">
        <f>Entrate_Uscite!H9</f>
        <v>180148522.74000001</v>
      </c>
      <c r="E9" s="61">
        <f>Entrate_Uscite!K9</f>
        <v>224064548.72</v>
      </c>
      <c r="F9" s="61">
        <f>Entrate_Uscite!N9</f>
        <v>271926164.74000001</v>
      </c>
      <c r="G9" s="61">
        <f>Entrate_Uscite!Q9</f>
        <v>82829885.670000002</v>
      </c>
      <c r="H9" s="61">
        <f>Entrate_Uscite!T9</f>
        <v>15966325.880000001</v>
      </c>
      <c r="I9" s="61">
        <f>Entrate_Uscite!W9</f>
        <v>117953764.33</v>
      </c>
      <c r="J9" s="61">
        <f t="shared" si="0"/>
        <v>2.7897169796972481</v>
      </c>
      <c r="K9" s="62">
        <f t="shared" si="2"/>
        <v>638.7658576964983</v>
      </c>
      <c r="L9" s="61">
        <f>Entrate_Uscite!X9</f>
        <v>117951045.33</v>
      </c>
      <c r="M9" s="63">
        <f t="shared" si="1"/>
        <v>99.997694859493933</v>
      </c>
    </row>
    <row r="10" spans="1:13" x14ac:dyDescent="0.3">
      <c r="A10" s="60" t="s">
        <v>27</v>
      </c>
      <c r="B10" s="61">
        <f>Entrate_Uscite!B10</f>
        <v>98589741.5</v>
      </c>
      <c r="C10" s="61">
        <f>Entrate_Uscite!E10</f>
        <v>73177641.859999999</v>
      </c>
      <c r="D10" s="61">
        <f>Entrate_Uscite!H10</f>
        <v>99571285.180000007</v>
      </c>
      <c r="E10" s="61">
        <f>Entrate_Uscite!K10</f>
        <v>142688427.56</v>
      </c>
      <c r="F10" s="61">
        <f>Entrate_Uscite!N10</f>
        <v>75795912.230000004</v>
      </c>
      <c r="G10" s="61">
        <f>Entrate_Uscite!Q10</f>
        <v>79652977.560000002</v>
      </c>
      <c r="H10" s="61">
        <f>Entrate_Uscite!T10</f>
        <v>73382764.939999998</v>
      </c>
      <c r="I10" s="61">
        <f>Entrate_Uscite!W10</f>
        <v>74539147.260000005</v>
      </c>
      <c r="J10" s="61">
        <f t="shared" si="0"/>
        <v>1.7629206320335129</v>
      </c>
      <c r="K10" s="62">
        <f t="shared" si="2"/>
        <v>1.5758227711173021</v>
      </c>
      <c r="L10" s="61">
        <f>Entrate_Uscite!X10</f>
        <v>73875510.909999996</v>
      </c>
      <c r="M10" s="63">
        <f t="shared" si="1"/>
        <v>99.109680786010102</v>
      </c>
    </row>
    <row r="11" spans="1:13" x14ac:dyDescent="0.3">
      <c r="A11" s="4" t="s">
        <v>32</v>
      </c>
      <c r="B11" s="51">
        <f>SUM(B6:B10)</f>
        <v>210510228.94999999</v>
      </c>
      <c r="C11" s="51">
        <f>SUM(C6:C10)</f>
        <v>286923976.81</v>
      </c>
      <c r="D11" s="51">
        <f>SUM(D6:D10)</f>
        <v>492645212.56</v>
      </c>
      <c r="E11" s="51">
        <f t="shared" ref="E11:I11" si="5">SUM(E6:E10)</f>
        <v>590977709.38999999</v>
      </c>
      <c r="F11" s="51">
        <f t="shared" si="5"/>
        <v>514497918.45000005</v>
      </c>
      <c r="G11" s="51">
        <f t="shared" ref="G11:H11" si="6">SUM(G6:G10)</f>
        <v>444297474.00999999</v>
      </c>
      <c r="H11" s="51">
        <f t="shared" si="6"/>
        <v>498936327.72999996</v>
      </c>
      <c r="I11" s="51">
        <f t="shared" si="5"/>
        <v>574274495.83000004</v>
      </c>
      <c r="J11" s="51">
        <f t="shared" si="0"/>
        <v>13.582129583774242</v>
      </c>
      <c r="K11" s="49">
        <f t="shared" si="2"/>
        <v>15.099756003489389</v>
      </c>
      <c r="L11" s="51">
        <f>SUM(L6:L10)</f>
        <v>403172081.64999998</v>
      </c>
      <c r="M11" s="50">
        <f t="shared" si="1"/>
        <v>70.205465257044821</v>
      </c>
    </row>
    <row r="12" spans="1:13" x14ac:dyDescent="0.3">
      <c r="A12" s="60" t="s">
        <v>28</v>
      </c>
      <c r="B12" s="61">
        <f>Entrate_Uscite!B11</f>
        <v>0</v>
      </c>
      <c r="C12" s="61">
        <f>Entrate_Uscite!E11</f>
        <v>4185300.72</v>
      </c>
      <c r="D12" s="61">
        <f>Entrate_Uscite!H11</f>
        <v>0</v>
      </c>
      <c r="E12" s="61">
        <f>Entrate_Uscite!K11</f>
        <v>65406000</v>
      </c>
      <c r="F12" s="61">
        <f>Entrate_Uscite!N11</f>
        <v>25037779.629999999</v>
      </c>
      <c r="G12" s="61">
        <f>Entrate_Uscite!Q11</f>
        <v>0</v>
      </c>
      <c r="H12" s="61">
        <f>Entrate_Uscite!T11</f>
        <v>0</v>
      </c>
      <c r="I12" s="61">
        <f>Entrate_Uscite!W11</f>
        <v>0</v>
      </c>
      <c r="J12" s="61">
        <f t="shared" si="0"/>
        <v>0</v>
      </c>
      <c r="K12" s="62" t="str">
        <f t="shared" si="2"/>
        <v>-</v>
      </c>
      <c r="L12" s="61">
        <f>Entrate_Uscite!X11</f>
        <v>0</v>
      </c>
      <c r="M12" s="148" t="str">
        <f t="shared" si="1"/>
        <v>-</v>
      </c>
    </row>
    <row r="13" spans="1:13" x14ac:dyDescent="0.3">
      <c r="A13" s="60" t="s">
        <v>29</v>
      </c>
      <c r="B13" s="61">
        <f>Entrate_Uscite!B12</f>
        <v>0</v>
      </c>
      <c r="C13" s="61">
        <f>Entrate_Uscite!E12</f>
        <v>0</v>
      </c>
      <c r="D13" s="61">
        <f>Entrate_Uscite!H12</f>
        <v>1003010.23</v>
      </c>
      <c r="E13" s="61">
        <f>Entrate_Uscite!K12</f>
        <v>8072720.5999999996</v>
      </c>
      <c r="F13" s="61">
        <f>Entrate_Uscite!N12</f>
        <v>900000</v>
      </c>
      <c r="G13" s="61">
        <f>Entrate_Uscite!Q12</f>
        <v>30000</v>
      </c>
      <c r="H13" s="61">
        <f>Entrate_Uscite!T12</f>
        <v>0</v>
      </c>
      <c r="I13" s="61">
        <f>Entrate_Uscite!W12</f>
        <v>0</v>
      </c>
      <c r="J13" s="61">
        <f t="shared" si="0"/>
        <v>0</v>
      </c>
      <c r="K13" s="62" t="str">
        <f t="shared" si="2"/>
        <v>-</v>
      </c>
      <c r="L13" s="61">
        <f>Entrate_Uscite!X12</f>
        <v>0</v>
      </c>
      <c r="M13" s="148" t="str">
        <f t="shared" si="1"/>
        <v>-</v>
      </c>
    </row>
    <row r="14" spans="1:13" x14ac:dyDescent="0.3">
      <c r="A14" s="60" t="s">
        <v>30</v>
      </c>
      <c r="B14" s="61">
        <f>Entrate_Uscite!B13</f>
        <v>115127158.14</v>
      </c>
      <c r="C14" s="61">
        <f>Entrate_Uscite!E13</f>
        <v>180107001.30000001</v>
      </c>
      <c r="D14" s="61">
        <f>Entrate_Uscite!H13</f>
        <v>199395016.28999999</v>
      </c>
      <c r="E14" s="61">
        <f>Entrate_Uscite!K13</f>
        <v>35117079.329999998</v>
      </c>
      <c r="F14" s="61">
        <f>Entrate_Uscite!N13</f>
        <v>0</v>
      </c>
      <c r="G14" s="61">
        <f>Entrate_Uscite!Q13</f>
        <v>100000000</v>
      </c>
      <c r="H14" s="61">
        <f>Entrate_Uscite!T13</f>
        <v>50000000</v>
      </c>
      <c r="I14" s="61">
        <f>Entrate_Uscite!W13</f>
        <v>50000000</v>
      </c>
      <c r="J14" s="61">
        <f t="shared" si="0"/>
        <v>1.1825468205882939</v>
      </c>
      <c r="K14" s="62">
        <f t="shared" si="2"/>
        <v>0</v>
      </c>
      <c r="L14" s="61">
        <f>Entrate_Uscite!X13</f>
        <v>0</v>
      </c>
      <c r="M14" s="148">
        <f t="shared" si="1"/>
        <v>0</v>
      </c>
    </row>
    <row r="15" spans="1:13" x14ac:dyDescent="0.3">
      <c r="A15" s="4" t="s">
        <v>33</v>
      </c>
      <c r="B15" s="48">
        <f>SUM(B12:B14)</f>
        <v>115127158.14</v>
      </c>
      <c r="C15" s="48">
        <f>SUM(C12:C14)</f>
        <v>184292302.02000001</v>
      </c>
      <c r="D15" s="48">
        <f>SUM(D12:D14)</f>
        <v>200398026.51999998</v>
      </c>
      <c r="E15" s="48">
        <f t="shared" ref="E15:I15" si="7">SUM(E12:E14)</f>
        <v>108595799.92999999</v>
      </c>
      <c r="F15" s="48">
        <f t="shared" si="7"/>
        <v>25937779.629999999</v>
      </c>
      <c r="G15" s="48">
        <f t="shared" ref="G15:H15" si="8">SUM(G12:G14)</f>
        <v>100030000</v>
      </c>
      <c r="H15" s="48">
        <f t="shared" si="8"/>
        <v>50000000</v>
      </c>
      <c r="I15" s="48">
        <f t="shared" si="7"/>
        <v>50000000</v>
      </c>
      <c r="J15" s="48">
        <f t="shared" si="0"/>
        <v>1.1825468205882939</v>
      </c>
      <c r="K15" s="49">
        <f t="shared" si="2"/>
        <v>0</v>
      </c>
      <c r="L15" s="48">
        <f>SUM(L12:L14)</f>
        <v>0</v>
      </c>
      <c r="M15" s="148">
        <f t="shared" si="1"/>
        <v>0</v>
      </c>
    </row>
    <row r="16" spans="1:13" x14ac:dyDescent="0.3">
      <c r="A16" s="52" t="s">
        <v>349</v>
      </c>
      <c r="B16" s="53">
        <f>B5+B11+B15</f>
        <v>3484418659.7799997</v>
      </c>
      <c r="C16" s="53">
        <f t="shared" ref="C16:D16" si="9">C5+C11+C15</f>
        <v>3649088224.6300001</v>
      </c>
      <c r="D16" s="53">
        <f t="shared" si="9"/>
        <v>3973890304.3599997</v>
      </c>
      <c r="E16" s="53">
        <f t="shared" ref="E16:H16" si="10">E5+E11+E15</f>
        <v>4000459803.7999997</v>
      </c>
      <c r="F16" s="53">
        <f t="shared" si="10"/>
        <v>3748022236.0200005</v>
      </c>
      <c r="G16" s="53">
        <f t="shared" si="10"/>
        <v>3889082243.04</v>
      </c>
      <c r="H16" s="53">
        <f t="shared" si="10"/>
        <v>3869040471.0999999</v>
      </c>
      <c r="I16" s="53">
        <f t="shared" ref="I16" si="11">I5+I11+I15</f>
        <v>4067779949.48</v>
      </c>
      <c r="J16" s="53">
        <f t="shared" si="0"/>
        <v>96.206804922207695</v>
      </c>
      <c r="K16" s="54">
        <f t="shared" si="2"/>
        <v>5.1366606233378889</v>
      </c>
      <c r="L16" s="53">
        <f t="shared" ref="L16" si="12">L5+L11+L15</f>
        <v>2980140112.1500001</v>
      </c>
      <c r="M16" s="55">
        <f t="shared" si="1"/>
        <v>73.262077820383638</v>
      </c>
    </row>
    <row r="17" spans="1:13" x14ac:dyDescent="0.3">
      <c r="A17" s="4" t="s">
        <v>34</v>
      </c>
      <c r="B17" s="48">
        <f>Entrate_Uscite!B17</f>
        <v>105318647.73</v>
      </c>
      <c r="C17" s="48">
        <f>Entrate_Uscite!E17</f>
        <v>110842728.59999999</v>
      </c>
      <c r="D17" s="48">
        <f>Entrate_Uscite!H17</f>
        <v>127382266.7</v>
      </c>
      <c r="E17" s="48">
        <f>Entrate_Uscite!K17</f>
        <v>116735338.52</v>
      </c>
      <c r="F17" s="48">
        <f>Entrate_Uscite!N17</f>
        <v>126554494.91</v>
      </c>
      <c r="G17" s="48">
        <f>Entrate_Uscite!Q17</f>
        <v>96163361.959999993</v>
      </c>
      <c r="H17" s="48">
        <f>Entrate_Uscite!T17</f>
        <v>98910164.510000005</v>
      </c>
      <c r="I17" s="48">
        <f>Entrate_Uscite!W17</f>
        <v>160382447.94</v>
      </c>
      <c r="J17" s="48">
        <f t="shared" si="0"/>
        <v>3.7931950777922911</v>
      </c>
      <c r="K17" s="49">
        <f t="shared" si="2"/>
        <v>62.149611958015726</v>
      </c>
      <c r="L17" s="48">
        <f>Entrate_Uscite!X17</f>
        <v>151611019.5</v>
      </c>
      <c r="M17" s="50">
        <f t="shared" si="1"/>
        <v>94.53092994111087</v>
      </c>
    </row>
    <row r="18" spans="1:13" x14ac:dyDescent="0.3">
      <c r="A18" s="4" t="s">
        <v>35</v>
      </c>
      <c r="B18" s="48">
        <f>Entrate_Uscite!B18</f>
        <v>0</v>
      </c>
      <c r="C18" s="48">
        <f>Entrate_Uscite!E18</f>
        <v>0</v>
      </c>
      <c r="D18" s="48">
        <f>Entrate_Uscite!H18</f>
        <v>0</v>
      </c>
      <c r="E18" s="48">
        <f>Entrate_Uscite!K18</f>
        <v>0</v>
      </c>
      <c r="F18" s="48">
        <f>Entrate_Uscite!N18</f>
        <v>0</v>
      </c>
      <c r="G18" s="48">
        <f>Entrate_Uscite!Q18</f>
        <v>0</v>
      </c>
      <c r="H18" s="48">
        <f>Entrate_Uscite!T18</f>
        <v>0</v>
      </c>
      <c r="I18" s="48">
        <f>Entrate_Uscite!W18</f>
        <v>0</v>
      </c>
      <c r="J18" s="48">
        <f t="shared" si="0"/>
        <v>0</v>
      </c>
      <c r="K18" s="49" t="str">
        <f t="shared" si="2"/>
        <v>-</v>
      </c>
      <c r="L18" s="48">
        <f>Entrate_Uscite!X18</f>
        <v>0</v>
      </c>
      <c r="M18" s="147" t="str">
        <f t="shared" si="1"/>
        <v>-</v>
      </c>
    </row>
    <row r="19" spans="1:13" x14ac:dyDescent="0.3">
      <c r="A19" s="4" t="s">
        <v>36</v>
      </c>
      <c r="B19" s="48">
        <f>Entrate_Uscite!B19</f>
        <v>327032683.56</v>
      </c>
      <c r="C19" s="48">
        <f>Entrate_Uscite!E19</f>
        <v>323991858.5</v>
      </c>
      <c r="D19" s="48">
        <f>Entrate_Uscite!H19</f>
        <v>328229834.32999998</v>
      </c>
      <c r="E19" s="48">
        <f>Entrate_Uscite!K19</f>
        <v>355605621.48000002</v>
      </c>
      <c r="F19" s="48">
        <f>Entrate_Uscite!N19</f>
        <v>319606143.70999998</v>
      </c>
      <c r="G19" s="48">
        <f>Entrate_Uscite!Q19</f>
        <v>359295760.06999999</v>
      </c>
      <c r="H19" s="48">
        <f>Entrate_Uscite!T19</f>
        <v>280590783.19999999</v>
      </c>
      <c r="I19" s="48">
        <f>Entrate_Uscite!W19</f>
        <v>623674033.92999995</v>
      </c>
      <c r="J19" s="48"/>
      <c r="K19" s="49">
        <f t="shared" si="2"/>
        <v>122.27174635506702</v>
      </c>
      <c r="L19" s="48">
        <f>Entrate_Uscite!X19</f>
        <v>620139299.84000003</v>
      </c>
      <c r="M19" s="50">
        <f t="shared" si="1"/>
        <v>99.433240138646426</v>
      </c>
    </row>
    <row r="20" spans="1:13" x14ac:dyDescent="0.3">
      <c r="A20" s="52" t="s">
        <v>37</v>
      </c>
      <c r="B20" s="53">
        <f>B5+B11+B15+B17+B18+B19</f>
        <v>3916769991.0699997</v>
      </c>
      <c r="C20" s="53">
        <f>C5+C11+C15+C17+C18+C19</f>
        <v>4083922811.73</v>
      </c>
      <c r="D20" s="53">
        <f>D5+D11+D15+D17+D18+D19</f>
        <v>4429502405.3899994</v>
      </c>
      <c r="E20" s="53">
        <f t="shared" ref="E20:I20" si="13">E5+E11+E15+E17+E18+E19</f>
        <v>4472800763.7999992</v>
      </c>
      <c r="F20" s="53">
        <f t="shared" si="13"/>
        <v>4194182874.6400003</v>
      </c>
      <c r="G20" s="53">
        <f t="shared" ref="G20:H20" si="14">G5+G11+G15+G17+G18+G19</f>
        <v>4344541365.0699997</v>
      </c>
      <c r="H20" s="53">
        <f t="shared" si="14"/>
        <v>4248541418.8099999</v>
      </c>
      <c r="I20" s="53">
        <f t="shared" si="13"/>
        <v>4851836431.3500004</v>
      </c>
      <c r="J20" s="53"/>
      <c r="K20" s="54">
        <f t="shared" si="2"/>
        <v>14.200050160014243</v>
      </c>
      <c r="L20" s="53">
        <f>L5+L11+L15+L17+L18+L19</f>
        <v>3751890431.4900002</v>
      </c>
      <c r="M20" s="55">
        <f t="shared" si="1"/>
        <v>77.329285201110025</v>
      </c>
    </row>
    <row r="21" spans="1:13" x14ac:dyDescent="0.3">
      <c r="A21" s="43" t="s">
        <v>38</v>
      </c>
      <c r="B21" s="56">
        <f>B20-B19</f>
        <v>3589737307.5099998</v>
      </c>
      <c r="C21" s="56">
        <f>C20-C19</f>
        <v>3759930953.23</v>
      </c>
      <c r="D21" s="56">
        <f>D20-D19</f>
        <v>4101272571.0599995</v>
      </c>
      <c r="E21" s="56">
        <f t="shared" ref="E21:I21" si="15">E20-E19</f>
        <v>4117195142.3199992</v>
      </c>
      <c r="F21" s="56">
        <f t="shared" si="15"/>
        <v>3874576730.9300003</v>
      </c>
      <c r="G21" s="56">
        <f t="shared" ref="G21:H21" si="16">G20-G19</f>
        <v>3985245604.9999995</v>
      </c>
      <c r="H21" s="56">
        <f t="shared" si="16"/>
        <v>3967950635.6100001</v>
      </c>
      <c r="I21" s="56">
        <f t="shared" si="15"/>
        <v>4228162397.4200006</v>
      </c>
      <c r="J21" s="56">
        <f>I21/I$21*100</f>
        <v>100</v>
      </c>
      <c r="K21" s="57">
        <f t="shared" si="2"/>
        <v>6.557837677584871</v>
      </c>
      <c r="L21" s="56">
        <f>L20-L19</f>
        <v>3131751131.6500001</v>
      </c>
      <c r="M21" s="58">
        <f t="shared" si="1"/>
        <v>74.068846872129981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opLeftCell="B1" workbookViewId="0">
      <selection activeCell="I32" sqref="I32"/>
    </sheetView>
  </sheetViews>
  <sheetFormatPr defaultRowHeight="14.4" x14ac:dyDescent="0.3"/>
  <cols>
    <col min="1" max="1" width="50.6640625" bestFit="1" customWidth="1"/>
    <col min="2" max="2" width="15.33203125" bestFit="1" customWidth="1"/>
    <col min="3" max="9" width="14.33203125" bestFit="1" customWidth="1"/>
    <col min="10" max="10" width="8.5546875" customWidth="1"/>
    <col min="11" max="11" width="7.5546875" bestFit="1" customWidth="1"/>
    <col min="12" max="12" width="14.33203125" bestFit="1" customWidth="1"/>
    <col min="13" max="13" width="7" bestFit="1" customWidth="1"/>
  </cols>
  <sheetData>
    <row r="1" spans="1:13" ht="28.8" x14ac:dyDescent="0.3">
      <c r="A1" s="46"/>
      <c r="B1" s="47">
        <v>2016</v>
      </c>
      <c r="C1" s="47">
        <v>2017</v>
      </c>
      <c r="D1" s="47">
        <v>2018</v>
      </c>
      <c r="E1" s="47">
        <v>2019</v>
      </c>
      <c r="F1" s="47">
        <v>2020</v>
      </c>
      <c r="G1" s="47">
        <v>2021</v>
      </c>
      <c r="H1" s="47">
        <v>2022</v>
      </c>
      <c r="I1" s="47">
        <v>2023</v>
      </c>
      <c r="J1" s="59" t="s">
        <v>297</v>
      </c>
      <c r="K1" s="47" t="s">
        <v>233</v>
      </c>
      <c r="L1" s="47" t="s">
        <v>388</v>
      </c>
      <c r="M1" s="47" t="s">
        <v>339</v>
      </c>
    </row>
    <row r="2" spans="1:13" x14ac:dyDescent="0.3">
      <c r="A2" s="64" t="s">
        <v>270</v>
      </c>
      <c r="B2" s="61">
        <f>Entrate_Uscite!B23</f>
        <v>618928844.37</v>
      </c>
      <c r="C2" s="61">
        <f>Entrate_Uscite!E23</f>
        <v>589850807.96000004</v>
      </c>
      <c r="D2" s="61">
        <f>Entrate_Uscite!H23</f>
        <v>609194056.00999999</v>
      </c>
      <c r="E2" s="61">
        <f>Entrate_Uscite!K23</f>
        <v>595552191.73000002</v>
      </c>
      <c r="F2" s="61">
        <f>Entrate_Uscite!N23</f>
        <v>582310096.12</v>
      </c>
      <c r="G2" s="61">
        <f>Entrate_Uscite!Q23</f>
        <v>580139636.25</v>
      </c>
      <c r="H2" s="61">
        <f>Entrate_Uscite!T23</f>
        <v>612297567.13999999</v>
      </c>
      <c r="I2" s="61">
        <f>Entrate_Uscite!W23</f>
        <v>604048901.82000005</v>
      </c>
      <c r="J2" s="61">
        <f t="shared" ref="J2:J28" si="0">I2/I$31*100</f>
        <v>16.066659279054438</v>
      </c>
      <c r="K2" s="62">
        <f>IF(H2&gt;0,I2/H2*100-100,"-")</f>
        <v>-1.3471661105120631</v>
      </c>
      <c r="L2" s="61">
        <f>Entrate_Uscite!X23</f>
        <v>577978407.73000002</v>
      </c>
      <c r="M2" s="63">
        <f t="shared" ref="M2:M31" si="1">IF(I2&gt;0,L2/I2*100,"-")</f>
        <v>95.68404246552727</v>
      </c>
    </row>
    <row r="3" spans="1:13" x14ac:dyDescent="0.3">
      <c r="A3" s="64" t="s">
        <v>271</v>
      </c>
      <c r="B3" s="61">
        <f>Entrate_Uscite!B24</f>
        <v>36824823.539999999</v>
      </c>
      <c r="C3" s="61">
        <f>Entrate_Uscite!E24</f>
        <v>35810590.310000002</v>
      </c>
      <c r="D3" s="61">
        <f>Entrate_Uscite!H24</f>
        <v>42497848.049999997</v>
      </c>
      <c r="E3" s="61">
        <f>Entrate_Uscite!K24</f>
        <v>43168556.149999999</v>
      </c>
      <c r="F3" s="61">
        <f>Entrate_Uscite!N24</f>
        <v>40937407.350000001</v>
      </c>
      <c r="G3" s="61">
        <f>Entrate_Uscite!Q24</f>
        <v>39459137.390000001</v>
      </c>
      <c r="H3" s="61">
        <f>Entrate_Uscite!T24</f>
        <v>41043941.719999999</v>
      </c>
      <c r="I3" s="61">
        <f>Entrate_Uscite!W24</f>
        <v>40364968.619999997</v>
      </c>
      <c r="J3" s="61">
        <f t="shared" si="0"/>
        <v>1.0736385674624056</v>
      </c>
      <c r="K3" s="62">
        <f t="shared" ref="K3:K31" si="2">IF(H3&gt;0,I3/H3*100-100,"-")</f>
        <v>-1.6542590003463289</v>
      </c>
      <c r="L3" s="61">
        <f>Entrate_Uscite!X24</f>
        <v>30557972.370000001</v>
      </c>
      <c r="M3" s="63">
        <f t="shared" si="1"/>
        <v>75.704189584973847</v>
      </c>
    </row>
    <row r="4" spans="1:13" x14ac:dyDescent="0.3">
      <c r="A4" s="64" t="s">
        <v>272</v>
      </c>
      <c r="B4" s="61">
        <f>Entrate_Uscite!B25</f>
        <v>1790280542.6900001</v>
      </c>
      <c r="C4" s="61">
        <f>Entrate_Uscite!E25</f>
        <v>1758184144.8</v>
      </c>
      <c r="D4" s="61">
        <f>Entrate_Uscite!H25</f>
        <v>1797181180.9000001</v>
      </c>
      <c r="E4" s="61">
        <f>Entrate_Uscite!K25</f>
        <v>1805230346.0899999</v>
      </c>
      <c r="F4" s="61">
        <f>Entrate_Uscite!N25</f>
        <v>1734040341.6400001</v>
      </c>
      <c r="G4" s="61">
        <f>Entrate_Uscite!Q25</f>
        <v>1857246522.4000001</v>
      </c>
      <c r="H4" s="61">
        <f>Entrate_Uscite!T25</f>
        <v>1969559600.52</v>
      </c>
      <c r="I4" s="61">
        <f>Entrate_Uscite!W25</f>
        <v>1963371333.1400001</v>
      </c>
      <c r="J4" s="61">
        <f t="shared" si="0"/>
        <v>52.222292189885103</v>
      </c>
      <c r="K4" s="62">
        <f t="shared" si="2"/>
        <v>-0.31419548707060585</v>
      </c>
      <c r="L4" s="61">
        <f>Entrate_Uscite!X25</f>
        <v>1501920160.5</v>
      </c>
      <c r="M4" s="63">
        <f t="shared" si="1"/>
        <v>76.496999581734443</v>
      </c>
    </row>
    <row r="5" spans="1:13" x14ac:dyDescent="0.3">
      <c r="A5" s="64" t="s">
        <v>273</v>
      </c>
      <c r="B5" s="61">
        <f>Entrate_Uscite!B26</f>
        <v>135803143.08000001</v>
      </c>
      <c r="C5" s="61">
        <f>Entrate_Uscite!E26</f>
        <v>128058241.16</v>
      </c>
      <c r="D5" s="61">
        <f>Entrate_Uscite!H26</f>
        <v>121858038.44</v>
      </c>
      <c r="E5" s="61">
        <f>Entrate_Uscite!K26</f>
        <v>125047974.87</v>
      </c>
      <c r="F5" s="61">
        <f>Entrate_Uscite!N26</f>
        <v>150486257.41</v>
      </c>
      <c r="G5" s="61">
        <f>Entrate_Uscite!Q26</f>
        <v>190622237.09999999</v>
      </c>
      <c r="H5" s="61">
        <f>Entrate_Uscite!T26</f>
        <v>167603574.97999999</v>
      </c>
      <c r="I5" s="61">
        <f>Entrate_Uscite!W26</f>
        <v>146977684.41</v>
      </c>
      <c r="J5" s="61">
        <f t="shared" si="0"/>
        <v>3.909352984377322</v>
      </c>
      <c r="K5" s="62">
        <f t="shared" si="2"/>
        <v>-12.306354785368541</v>
      </c>
      <c r="L5" s="61">
        <f>Entrate_Uscite!X26</f>
        <v>79800046.269999996</v>
      </c>
      <c r="M5" s="63">
        <f t="shared" si="1"/>
        <v>54.293987954929712</v>
      </c>
    </row>
    <row r="6" spans="1:13" x14ac:dyDescent="0.3">
      <c r="A6" s="64" t="s">
        <v>274</v>
      </c>
      <c r="B6" s="61">
        <f>Entrate_Uscite!B27</f>
        <v>120899663.13</v>
      </c>
      <c r="C6" s="61">
        <f>Entrate_Uscite!E27</f>
        <v>119921169.42</v>
      </c>
      <c r="D6" s="61">
        <f>Entrate_Uscite!H27</f>
        <v>122483747.98999999</v>
      </c>
      <c r="E6" s="61">
        <f>Entrate_Uscite!K27</f>
        <v>121668222.06</v>
      </c>
      <c r="F6" s="61">
        <f>Entrate_Uscite!N27</f>
        <v>119316181.5</v>
      </c>
      <c r="G6" s="61">
        <f>Entrate_Uscite!Q27</f>
        <v>118264732.64</v>
      </c>
      <c r="H6" s="61">
        <f>Entrate_Uscite!T27</f>
        <v>118895197.59999999</v>
      </c>
      <c r="I6" s="61">
        <f>Entrate_Uscite!W27</f>
        <v>135840074.94</v>
      </c>
      <c r="J6" s="61">
        <f t="shared" si="0"/>
        <v>3.613111776093521</v>
      </c>
      <c r="K6" s="62">
        <f t="shared" si="2"/>
        <v>14.251944302248248</v>
      </c>
      <c r="L6" s="61">
        <f>Entrate_Uscite!X27</f>
        <v>135114976.55000001</v>
      </c>
      <c r="M6" s="63">
        <f t="shared" si="1"/>
        <v>99.466211727047224</v>
      </c>
    </row>
    <row r="7" spans="1:13" x14ac:dyDescent="0.3">
      <c r="A7" s="64" t="s">
        <v>275</v>
      </c>
      <c r="B7" s="61">
        <f>Entrate_Uscite!B28</f>
        <v>0</v>
      </c>
      <c r="C7" s="61">
        <f>Entrate_Uscite!E28</f>
        <v>0</v>
      </c>
      <c r="D7" s="61">
        <f>Entrate_Uscite!H28</f>
        <v>0</v>
      </c>
      <c r="E7" s="61">
        <f>Entrate_Uscite!K28</f>
        <v>0</v>
      </c>
      <c r="F7" s="61">
        <f>Entrate_Uscite!N28</f>
        <v>0</v>
      </c>
      <c r="G7" s="61">
        <f>Entrate_Uscite!Q28</f>
        <v>0</v>
      </c>
      <c r="H7" s="61">
        <f>Entrate_Uscite!T28</f>
        <v>0</v>
      </c>
      <c r="I7" s="61">
        <f>Entrate_Uscite!W28</f>
        <v>0</v>
      </c>
      <c r="J7" s="61">
        <f t="shared" si="0"/>
        <v>0</v>
      </c>
      <c r="K7" s="62" t="str">
        <f t="shared" si="2"/>
        <v>-</v>
      </c>
      <c r="L7" s="61">
        <f>Entrate_Uscite!X28</f>
        <v>0</v>
      </c>
      <c r="M7" s="63" t="str">
        <f t="shared" si="1"/>
        <v>-</v>
      </c>
    </row>
    <row r="8" spans="1:13" x14ac:dyDescent="0.3">
      <c r="A8" s="64" t="s">
        <v>276</v>
      </c>
      <c r="B8" s="61">
        <f>Entrate_Uscite!B29</f>
        <v>8660453.7200000007</v>
      </c>
      <c r="C8" s="61">
        <f>Entrate_Uscite!E29</f>
        <v>2190307.63</v>
      </c>
      <c r="D8" s="61">
        <f>Entrate_Uscite!H29</f>
        <v>4002917.98</v>
      </c>
      <c r="E8" s="61">
        <f>Entrate_Uscite!K29</f>
        <v>13202294.039999999</v>
      </c>
      <c r="F8" s="61">
        <f>Entrate_Uscite!N29</f>
        <v>14016428.35</v>
      </c>
      <c r="G8" s="61">
        <f>Entrate_Uscite!Q29</f>
        <v>17759262.559999999</v>
      </c>
      <c r="H8" s="61">
        <f>Entrate_Uscite!T29</f>
        <v>17982378.739999998</v>
      </c>
      <c r="I8" s="61">
        <f>Entrate_Uscite!W29</f>
        <v>17560168.649999999</v>
      </c>
      <c r="J8" s="61">
        <f t="shared" si="0"/>
        <v>0.46707020860763998</v>
      </c>
      <c r="K8" s="62">
        <f t="shared" si="2"/>
        <v>-2.3479101185920257</v>
      </c>
      <c r="L8" s="61">
        <f>Entrate_Uscite!X29</f>
        <v>3330488</v>
      </c>
      <c r="M8" s="63">
        <f t="shared" si="1"/>
        <v>18.966150419062178</v>
      </c>
    </row>
    <row r="9" spans="1:13" x14ac:dyDescent="0.3">
      <c r="A9" s="64" t="s">
        <v>277</v>
      </c>
      <c r="B9" s="61">
        <f>Entrate_Uscite!B30</f>
        <v>65869382.170000002</v>
      </c>
      <c r="C9" s="61">
        <f>Entrate_Uscite!E30</f>
        <v>45240399.710000001</v>
      </c>
      <c r="D9" s="61">
        <f>Entrate_Uscite!H30</f>
        <v>37147991.990000002</v>
      </c>
      <c r="E9" s="61">
        <f>Entrate_Uscite!K30</f>
        <v>15656696.710000001</v>
      </c>
      <c r="F9" s="61">
        <f>Entrate_Uscite!N30</f>
        <v>14212028.560000001</v>
      </c>
      <c r="G9" s="61">
        <f>Entrate_Uscite!Q30</f>
        <v>18123041.399999999</v>
      </c>
      <c r="H9" s="61">
        <f>Entrate_Uscite!T30</f>
        <v>19934247.219999999</v>
      </c>
      <c r="I9" s="61">
        <f>Entrate_Uscite!W30</f>
        <v>33064229.420000002</v>
      </c>
      <c r="J9" s="61">
        <f t="shared" si="0"/>
        <v>0.87945149277653833</v>
      </c>
      <c r="K9" s="62">
        <f t="shared" si="2"/>
        <v>65.866456129964689</v>
      </c>
      <c r="L9" s="61">
        <f>Entrate_Uscite!X30</f>
        <v>29974741.59</v>
      </c>
      <c r="M9" s="63">
        <f t="shared" si="1"/>
        <v>90.656102125485432</v>
      </c>
    </row>
    <row r="10" spans="1:13" x14ac:dyDescent="0.3">
      <c r="A10" s="4" t="s">
        <v>282</v>
      </c>
      <c r="B10" s="48">
        <f>SUM(B2:B9)</f>
        <v>2777266852.6999998</v>
      </c>
      <c r="C10" s="48">
        <f>SUM(C2:C9)</f>
        <v>2679255660.9899998</v>
      </c>
      <c r="D10" s="48">
        <f>SUM(D2:D9)</f>
        <v>2734365781.3599997</v>
      </c>
      <c r="E10" s="48">
        <f t="shared" ref="E10:I10" si="3">SUM(E2:E9)</f>
        <v>2719526281.6499996</v>
      </c>
      <c r="F10" s="48">
        <f t="shared" si="3"/>
        <v>2655318740.9299998</v>
      </c>
      <c r="G10" s="48">
        <f t="shared" ref="G10:H10" si="4">SUM(G2:G9)</f>
        <v>2821614569.7399998</v>
      </c>
      <c r="H10" s="48">
        <f t="shared" si="4"/>
        <v>2947316507.9199996</v>
      </c>
      <c r="I10" s="48">
        <f t="shared" si="3"/>
        <v>2941227361</v>
      </c>
      <c r="J10" s="48">
        <f t="shared" si="0"/>
        <v>78.231576498256956</v>
      </c>
      <c r="K10" s="49">
        <f t="shared" si="2"/>
        <v>-0.20659969513408782</v>
      </c>
      <c r="L10" s="48">
        <f>SUM(L2:L9)</f>
        <v>2358676793.0100002</v>
      </c>
      <c r="M10" s="50">
        <f t="shared" si="1"/>
        <v>80.193623392924778</v>
      </c>
    </row>
    <row r="11" spans="1:13" x14ac:dyDescent="0.3">
      <c r="A11" s="64" t="s">
        <v>278</v>
      </c>
      <c r="B11" s="61">
        <f>Entrate_Uscite!B32</f>
        <v>280290570.16000003</v>
      </c>
      <c r="C11" s="61">
        <f>Entrate_Uscite!E32</f>
        <v>335251219.00999999</v>
      </c>
      <c r="D11" s="61">
        <f>Entrate_Uscite!H32</f>
        <v>361459090.07999998</v>
      </c>
      <c r="E11" s="61">
        <f>Entrate_Uscite!K32</f>
        <v>495647562.67000002</v>
      </c>
      <c r="F11" s="61">
        <f>Entrate_Uscite!N32</f>
        <v>584709206.85000002</v>
      </c>
      <c r="G11" s="61">
        <f>Entrate_Uscite!Q32</f>
        <v>548703337.16999996</v>
      </c>
      <c r="H11" s="61">
        <f>Entrate_Uscite!T32</f>
        <v>457436965.02999997</v>
      </c>
      <c r="I11" s="61">
        <f>Entrate_Uscite!W32</f>
        <v>470693415.93000001</v>
      </c>
      <c r="J11" s="61">
        <f t="shared" si="0"/>
        <v>12.519633287728576</v>
      </c>
      <c r="K11" s="62">
        <f t="shared" si="2"/>
        <v>2.8979841843631107</v>
      </c>
      <c r="L11" s="61">
        <f>Entrate_Uscite!X32</f>
        <v>431798924.76999998</v>
      </c>
      <c r="M11" s="63">
        <f t="shared" si="1"/>
        <v>91.73676753409606</v>
      </c>
    </row>
    <row r="12" spans="1:13" x14ac:dyDescent="0.3">
      <c r="A12" s="64" t="s">
        <v>279</v>
      </c>
      <c r="B12" s="61">
        <f>Entrate_Uscite!B33</f>
        <v>9098343.7300000004</v>
      </c>
      <c r="C12" s="61">
        <f>Entrate_Uscite!E33</f>
        <v>20495931.77</v>
      </c>
      <c r="D12" s="61">
        <f>Entrate_Uscite!H33</f>
        <v>22182811.620000001</v>
      </c>
      <c r="E12" s="61">
        <f>Entrate_Uscite!K33</f>
        <v>15015880.560000001</v>
      </c>
      <c r="F12" s="61">
        <f>Entrate_Uscite!N33</f>
        <v>19735567.989999998</v>
      </c>
      <c r="G12" s="61">
        <f>Entrate_Uscite!Q33</f>
        <v>29920165.66</v>
      </c>
      <c r="H12" s="61">
        <f>Entrate_Uscite!T33</f>
        <v>70318871.030000001</v>
      </c>
      <c r="I12" s="61">
        <f>Entrate_Uscite!W33</f>
        <v>132551912.66</v>
      </c>
      <c r="J12" s="61">
        <f t="shared" si="0"/>
        <v>3.5256523289397843</v>
      </c>
      <c r="K12" s="62">
        <f t="shared" si="2"/>
        <v>88.501195651235122</v>
      </c>
      <c r="L12" s="61">
        <f>Entrate_Uscite!X33</f>
        <v>129062288.69</v>
      </c>
      <c r="M12" s="63">
        <f t="shared" si="1"/>
        <v>97.367352986485372</v>
      </c>
    </row>
    <row r="13" spans="1:13" x14ac:dyDescent="0.3">
      <c r="A13" s="64" t="s">
        <v>280</v>
      </c>
      <c r="B13" s="61">
        <f>Entrate_Uscite!B34</f>
        <v>0</v>
      </c>
      <c r="C13" s="61">
        <f>Entrate_Uscite!E34</f>
        <v>0</v>
      </c>
      <c r="D13" s="61">
        <f>Entrate_Uscite!H34</f>
        <v>0</v>
      </c>
      <c r="E13" s="61">
        <f>Entrate_Uscite!K34</f>
        <v>0</v>
      </c>
      <c r="F13" s="61">
        <f>Entrate_Uscite!N34</f>
        <v>0</v>
      </c>
      <c r="G13" s="61">
        <f>Entrate_Uscite!Q34</f>
        <v>0</v>
      </c>
      <c r="H13" s="61">
        <f>Entrate_Uscite!T34</f>
        <v>0</v>
      </c>
      <c r="I13" s="61">
        <f>Entrate_Uscite!W34</f>
        <v>0</v>
      </c>
      <c r="J13" s="61">
        <f t="shared" si="0"/>
        <v>0</v>
      </c>
      <c r="K13" s="62" t="str">
        <f t="shared" si="2"/>
        <v>-</v>
      </c>
      <c r="L13" s="61">
        <f>Entrate_Uscite!X34</f>
        <v>0</v>
      </c>
      <c r="M13" s="63" t="str">
        <f t="shared" si="1"/>
        <v>-</v>
      </c>
    </row>
    <row r="14" spans="1:13" x14ac:dyDescent="0.3">
      <c r="A14" s="64" t="s">
        <v>281</v>
      </c>
      <c r="B14" s="61">
        <f>Entrate_Uscite!B35</f>
        <v>5237417.05</v>
      </c>
      <c r="C14" s="61">
        <f>Entrate_Uscite!E35</f>
        <v>15178556.99</v>
      </c>
      <c r="D14" s="61">
        <f>Entrate_Uscite!H35</f>
        <v>1652883.46</v>
      </c>
      <c r="E14" s="61">
        <f>Entrate_Uscite!K35</f>
        <v>2157169.56</v>
      </c>
      <c r="F14" s="61">
        <f>Entrate_Uscite!N35</f>
        <v>2424020.83</v>
      </c>
      <c r="G14" s="61">
        <f>Entrate_Uscite!Q35</f>
        <v>1442876.92</v>
      </c>
      <c r="H14" s="61">
        <f>Entrate_Uscite!T35</f>
        <v>1827708.95</v>
      </c>
      <c r="I14" s="61">
        <f>Entrate_Uscite!W35</f>
        <v>3523015.46</v>
      </c>
      <c r="J14" s="61">
        <f t="shared" si="0"/>
        <v>9.3706136804679319E-2</v>
      </c>
      <c r="K14" s="62">
        <f t="shared" si="2"/>
        <v>92.755824717059028</v>
      </c>
      <c r="L14" s="61">
        <f>Entrate_Uscite!X35</f>
        <v>3394318.28</v>
      </c>
      <c r="M14" s="63">
        <f t="shared" si="1"/>
        <v>96.346959544707758</v>
      </c>
    </row>
    <row r="15" spans="1:13" x14ac:dyDescent="0.3">
      <c r="A15" s="4" t="s">
        <v>283</v>
      </c>
      <c r="B15" s="51">
        <f>SUM(B11:B14)</f>
        <v>294626330.94000006</v>
      </c>
      <c r="C15" s="51">
        <f>SUM(C11:C14)</f>
        <v>370925707.76999998</v>
      </c>
      <c r="D15" s="51">
        <f>SUM(D11:D14)</f>
        <v>385294785.15999997</v>
      </c>
      <c r="E15" s="51">
        <f t="shared" ref="E15:I15" si="5">SUM(E11:E14)</f>
        <v>512820612.79000002</v>
      </c>
      <c r="F15" s="51">
        <f t="shared" si="5"/>
        <v>606868795.67000008</v>
      </c>
      <c r="G15" s="51">
        <f t="shared" ref="G15:H15" si="6">SUM(G11:G14)</f>
        <v>580066379.74999988</v>
      </c>
      <c r="H15" s="51">
        <f t="shared" si="6"/>
        <v>529583545.00999993</v>
      </c>
      <c r="I15" s="51">
        <f t="shared" si="5"/>
        <v>606768344.05000007</v>
      </c>
      <c r="J15" s="51">
        <f t="shared" si="0"/>
        <v>16.138991753473043</v>
      </c>
      <c r="K15" s="49">
        <f t="shared" si="2"/>
        <v>14.574621845273299</v>
      </c>
      <c r="L15" s="51">
        <f>SUM(L11:L14)</f>
        <v>564255531.74000001</v>
      </c>
      <c r="M15" s="50">
        <f t="shared" si="1"/>
        <v>92.993567853879853</v>
      </c>
    </row>
    <row r="16" spans="1:13" x14ac:dyDescent="0.3">
      <c r="A16" s="64" t="s">
        <v>284</v>
      </c>
      <c r="B16" s="61">
        <f>Entrate_Uscite!B36</f>
        <v>0</v>
      </c>
      <c r="C16" s="61">
        <f>Entrate_Uscite!E36</f>
        <v>7550576</v>
      </c>
      <c r="D16" s="61">
        <f>Entrate_Uscite!H36</f>
        <v>29345656.420000002</v>
      </c>
      <c r="E16" s="61">
        <f>Entrate_Uscite!K36</f>
        <v>49019350.329999998</v>
      </c>
      <c r="F16" s="61">
        <f>Entrate_Uscite!N36</f>
        <v>224863379.55000001</v>
      </c>
      <c r="G16" s="61">
        <f>Entrate_Uscite!Q36</f>
        <v>0</v>
      </c>
      <c r="H16" s="61">
        <f>Entrate_Uscite!T36</f>
        <v>10002000</v>
      </c>
      <c r="I16" s="61">
        <f>Entrate_Uscite!W36</f>
        <v>0</v>
      </c>
      <c r="J16" s="61">
        <f t="shared" si="0"/>
        <v>0</v>
      </c>
      <c r="K16" s="62">
        <f t="shared" si="2"/>
        <v>-100</v>
      </c>
      <c r="L16" s="61">
        <f>Entrate_Uscite!X36</f>
        <v>0</v>
      </c>
      <c r="M16" s="63" t="str">
        <f t="shared" si="1"/>
        <v>-</v>
      </c>
    </row>
    <row r="17" spans="1:13" x14ac:dyDescent="0.3">
      <c r="A17" s="64" t="s">
        <v>285</v>
      </c>
      <c r="B17" s="61">
        <f>Entrate_Uscite!B37</f>
        <v>0</v>
      </c>
      <c r="C17" s="61">
        <f>Entrate_Uscite!E37</f>
        <v>0</v>
      </c>
      <c r="D17" s="61">
        <f>Entrate_Uscite!H37</f>
        <v>0</v>
      </c>
      <c r="E17" s="61">
        <f>Entrate_Uscite!K37</f>
        <v>0</v>
      </c>
      <c r="F17" s="61">
        <f>Entrate_Uscite!N37</f>
        <v>0</v>
      </c>
      <c r="G17" s="61">
        <f>Entrate_Uscite!Q37</f>
        <v>0</v>
      </c>
      <c r="H17" s="61">
        <f>Entrate_Uscite!T37</f>
        <v>0</v>
      </c>
      <c r="I17" s="61">
        <f>Entrate_Uscite!W37</f>
        <v>0</v>
      </c>
      <c r="J17" s="61">
        <f t="shared" si="0"/>
        <v>0</v>
      </c>
      <c r="K17" s="62" t="str">
        <f t="shared" si="2"/>
        <v>-</v>
      </c>
      <c r="L17" s="61">
        <f>Entrate_Uscite!X37</f>
        <v>0</v>
      </c>
      <c r="M17" s="63" t="str">
        <f t="shared" si="1"/>
        <v>-</v>
      </c>
    </row>
    <row r="18" spans="1:13" x14ac:dyDescent="0.3">
      <c r="A18" s="64" t="s">
        <v>286</v>
      </c>
      <c r="B18" s="61">
        <f>Entrate_Uscite!B38</f>
        <v>0</v>
      </c>
      <c r="C18" s="61">
        <f>Entrate_Uscite!E38</f>
        <v>0</v>
      </c>
      <c r="D18" s="61">
        <f>Entrate_Uscite!H38</f>
        <v>1003010.23</v>
      </c>
      <c r="E18" s="61">
        <f>Entrate_Uscite!K38</f>
        <v>7272720.5999999996</v>
      </c>
      <c r="F18" s="61">
        <f>Entrate_Uscite!N38</f>
        <v>0</v>
      </c>
      <c r="G18" s="61">
        <f>Entrate_Uscite!Q38</f>
        <v>30000</v>
      </c>
      <c r="H18" s="61">
        <f>Entrate_Uscite!T38</f>
        <v>0</v>
      </c>
      <c r="I18" s="61">
        <f>Entrate_Uscite!W38</f>
        <v>0</v>
      </c>
      <c r="J18" s="61">
        <f t="shared" si="0"/>
        <v>0</v>
      </c>
      <c r="K18" s="62" t="str">
        <f t="shared" si="2"/>
        <v>-</v>
      </c>
      <c r="L18" s="61">
        <f>Entrate_Uscite!X38</f>
        <v>0</v>
      </c>
      <c r="M18" s="63" t="str">
        <f t="shared" si="1"/>
        <v>-</v>
      </c>
    </row>
    <row r="19" spans="1:13" x14ac:dyDescent="0.3">
      <c r="A19" s="64" t="s">
        <v>287</v>
      </c>
      <c r="B19" s="61">
        <f>Entrate_Uscite!B39</f>
        <v>115127158.14</v>
      </c>
      <c r="C19" s="61">
        <f>Entrate_Uscite!E39</f>
        <v>180107001.30000001</v>
      </c>
      <c r="D19" s="61">
        <f>Entrate_Uscite!H39</f>
        <v>199395016.28999999</v>
      </c>
      <c r="E19" s="61">
        <f>Entrate_Uscite!K39</f>
        <v>35117079.329999998</v>
      </c>
      <c r="F19" s="61">
        <f>Entrate_Uscite!N39</f>
        <v>0</v>
      </c>
      <c r="G19" s="61">
        <f>Entrate_Uscite!Q39</f>
        <v>100000000</v>
      </c>
      <c r="H19" s="61">
        <f>Entrate_Uscite!T39</f>
        <v>50000000</v>
      </c>
      <c r="I19" s="61">
        <f>Entrate_Uscite!W39</f>
        <v>50000000</v>
      </c>
      <c r="J19" s="61">
        <f t="shared" si="0"/>
        <v>1.3299137893178494</v>
      </c>
      <c r="K19" s="62">
        <f t="shared" si="2"/>
        <v>0</v>
      </c>
      <c r="L19" s="61">
        <f>Entrate_Uscite!X39</f>
        <v>50000000</v>
      </c>
      <c r="M19" s="63">
        <f t="shared" si="1"/>
        <v>100</v>
      </c>
    </row>
    <row r="20" spans="1:13" x14ac:dyDescent="0.3">
      <c r="A20" s="4" t="s">
        <v>288</v>
      </c>
      <c r="B20" s="48">
        <f>SUM(B16:B19)</f>
        <v>115127158.14</v>
      </c>
      <c r="C20" s="48">
        <f>SUM(C16:C19)</f>
        <v>187657577.30000001</v>
      </c>
      <c r="D20" s="48">
        <f>SUM(D16:D19)</f>
        <v>229743682.94</v>
      </c>
      <c r="E20" s="48">
        <f t="shared" ref="E20:I20" si="7">SUM(E16:E19)</f>
        <v>91409150.25999999</v>
      </c>
      <c r="F20" s="48">
        <f t="shared" si="7"/>
        <v>224863379.55000001</v>
      </c>
      <c r="G20" s="48">
        <f t="shared" ref="G20:H20" si="8">SUM(G16:G19)</f>
        <v>100030000</v>
      </c>
      <c r="H20" s="48">
        <f t="shared" si="8"/>
        <v>60002000</v>
      </c>
      <c r="I20" s="48">
        <f t="shared" si="7"/>
        <v>50000000</v>
      </c>
      <c r="J20" s="48">
        <f t="shared" si="0"/>
        <v>1.3299137893178494</v>
      </c>
      <c r="K20" s="49">
        <f t="shared" si="2"/>
        <v>-16.669444351854935</v>
      </c>
      <c r="L20" s="48">
        <f>SUM(L16:L19)</f>
        <v>50000000</v>
      </c>
      <c r="M20" s="45">
        <f t="shared" si="1"/>
        <v>100</v>
      </c>
    </row>
    <row r="21" spans="1:13" x14ac:dyDescent="0.3">
      <c r="A21" s="52" t="s">
        <v>350</v>
      </c>
      <c r="B21" s="53">
        <f>B10+B15+B20</f>
        <v>3187020341.7799997</v>
      </c>
      <c r="C21" s="53">
        <f>C10+C15+C20</f>
        <v>3237838946.0599999</v>
      </c>
      <c r="D21" s="53">
        <f>D10+D15+D20</f>
        <v>3349404249.4599996</v>
      </c>
      <c r="E21" s="53">
        <f t="shared" ref="E21:I21" si="9">E10+E15+E20</f>
        <v>3323756044.6999998</v>
      </c>
      <c r="F21" s="53">
        <f t="shared" si="9"/>
        <v>3487050916.1500001</v>
      </c>
      <c r="G21" s="53">
        <f t="shared" ref="G21:H21" si="10">G10+G15+G20</f>
        <v>3501710949.4899998</v>
      </c>
      <c r="H21" s="53">
        <f t="shared" si="10"/>
        <v>3536902052.9299994</v>
      </c>
      <c r="I21" s="53">
        <f t="shared" si="9"/>
        <v>3597995705.0500002</v>
      </c>
      <c r="J21" s="53">
        <f t="shared" si="0"/>
        <v>95.700482041047863</v>
      </c>
      <c r="K21" s="54">
        <f t="shared" si="2"/>
        <v>1.7273210059461661</v>
      </c>
      <c r="L21" s="53">
        <f>L10+L15+L20</f>
        <v>2972932324.75</v>
      </c>
      <c r="M21" s="55">
        <f t="shared" si="1"/>
        <v>82.627456185601147</v>
      </c>
    </row>
    <row r="22" spans="1:13" x14ac:dyDescent="0.3">
      <c r="A22" s="64" t="s">
        <v>289</v>
      </c>
      <c r="B22" s="65">
        <f>Entrate_Uscite!B40</f>
        <v>44314546.659999996</v>
      </c>
      <c r="C22" s="65">
        <f>Entrate_Uscite!E40</f>
        <v>46199619.439999998</v>
      </c>
      <c r="D22" s="65">
        <f>Entrate_Uscite!H40</f>
        <v>48165125.899999999</v>
      </c>
      <c r="E22" s="65">
        <f>Entrate_Uscite!K40</f>
        <v>50214508.68</v>
      </c>
      <c r="F22" s="65">
        <f>Entrate_Uscite!N40</f>
        <v>52351357.240000002</v>
      </c>
      <c r="G22" s="65">
        <f>Entrate_Uscite!Q40</f>
        <v>54579416.840000004</v>
      </c>
      <c r="H22" s="65">
        <f>Entrate_Uscite!T40</f>
        <v>56902592.090000004</v>
      </c>
      <c r="I22" s="65">
        <f>Entrate_Uscite!W40</f>
        <v>59324955.740000002</v>
      </c>
      <c r="J22" s="65">
        <f t="shared" si="0"/>
        <v>1.5779415337859422</v>
      </c>
      <c r="K22" s="66">
        <f t="shared" si="2"/>
        <v>4.2570356833106331</v>
      </c>
      <c r="L22" s="65">
        <f>Entrate_Uscite!X40</f>
        <v>59324955.740000002</v>
      </c>
      <c r="M22" s="63">
        <f t="shared" si="1"/>
        <v>100</v>
      </c>
    </row>
    <row r="23" spans="1:13" x14ac:dyDescent="0.3">
      <c r="A23" s="64" t="s">
        <v>290</v>
      </c>
      <c r="B23" s="65">
        <f>Entrate_Uscite!B41</f>
        <v>0</v>
      </c>
      <c r="C23" s="65">
        <f>Entrate_Uscite!E41</f>
        <v>0</v>
      </c>
      <c r="D23" s="65">
        <f>Entrate_Uscite!H41</f>
        <v>0</v>
      </c>
      <c r="E23" s="65">
        <f>Entrate_Uscite!K41</f>
        <v>0</v>
      </c>
      <c r="F23" s="65">
        <f>Entrate_Uscite!N41</f>
        <v>0</v>
      </c>
      <c r="G23" s="65">
        <f>Entrate_Uscite!Q41</f>
        <v>0</v>
      </c>
      <c r="H23" s="65">
        <f>Entrate_Uscite!T41</f>
        <v>0</v>
      </c>
      <c r="I23" s="65">
        <f>Entrate_Uscite!W41</f>
        <v>0</v>
      </c>
      <c r="J23" s="65">
        <f t="shared" si="0"/>
        <v>0</v>
      </c>
      <c r="K23" s="66" t="str">
        <f t="shared" si="2"/>
        <v>-</v>
      </c>
      <c r="L23" s="65">
        <f>Entrate_Uscite!X41</f>
        <v>0</v>
      </c>
      <c r="M23" s="63" t="str">
        <f t="shared" si="1"/>
        <v>-</v>
      </c>
    </row>
    <row r="24" spans="1:13" x14ac:dyDescent="0.3">
      <c r="A24" s="64" t="s">
        <v>291</v>
      </c>
      <c r="B24" s="65">
        <f>Entrate_Uscite!B42</f>
        <v>127505396.56999999</v>
      </c>
      <c r="C24" s="65">
        <f>Entrate_Uscite!E42</f>
        <v>137338719.71000001</v>
      </c>
      <c r="D24" s="65">
        <f>Entrate_Uscite!H42</f>
        <v>144988534.09999999</v>
      </c>
      <c r="E24" s="65">
        <f>Entrate_Uscite!K42</f>
        <v>147304476.11000001</v>
      </c>
      <c r="F24" s="65">
        <f>Entrate_Uscite!N42</f>
        <v>68222950.599999994</v>
      </c>
      <c r="G24" s="65">
        <f>Entrate_Uscite!Q42</f>
        <v>58202628.869999997</v>
      </c>
      <c r="H24" s="65">
        <f>Entrate_Uscite!T42</f>
        <v>106341204.63</v>
      </c>
      <c r="I24" s="65">
        <f>Entrate_Uscite!W42</f>
        <v>102321535.69</v>
      </c>
      <c r="J24" s="65">
        <f t="shared" si="0"/>
        <v>2.7215764251661891</v>
      </c>
      <c r="K24" s="66">
        <f t="shared" si="2"/>
        <v>-3.7799731101278269</v>
      </c>
      <c r="L24" s="65">
        <f>Entrate_Uscite!X42</f>
        <v>102110519.59999999</v>
      </c>
      <c r="M24" s="63">
        <f t="shared" si="1"/>
        <v>99.793771576455498</v>
      </c>
    </row>
    <row r="25" spans="1:13" x14ac:dyDescent="0.3">
      <c r="A25" s="64" t="s">
        <v>292</v>
      </c>
      <c r="B25" s="65">
        <f>Entrate_Uscite!B43</f>
        <v>0</v>
      </c>
      <c r="C25" s="65">
        <f>Entrate_Uscite!E43</f>
        <v>0</v>
      </c>
      <c r="D25" s="65">
        <f>Entrate_Uscite!H43</f>
        <v>0</v>
      </c>
      <c r="E25" s="65">
        <f>Entrate_Uscite!K43</f>
        <v>0</v>
      </c>
      <c r="F25" s="65">
        <f>Entrate_Uscite!N43</f>
        <v>0</v>
      </c>
      <c r="G25" s="65">
        <f>Entrate_Uscite!Q43</f>
        <v>0</v>
      </c>
      <c r="H25" s="65">
        <f>Entrate_Uscite!T43</f>
        <v>0</v>
      </c>
      <c r="I25" s="65">
        <f>Entrate_Uscite!W43</f>
        <v>0</v>
      </c>
      <c r="J25" s="65">
        <f t="shared" si="0"/>
        <v>0</v>
      </c>
      <c r="K25" s="66" t="str">
        <f t="shared" si="2"/>
        <v>-</v>
      </c>
      <c r="L25" s="65">
        <f>Entrate_Uscite!X43</f>
        <v>0</v>
      </c>
      <c r="M25" s="63" t="str">
        <f t="shared" si="1"/>
        <v>-</v>
      </c>
    </row>
    <row r="26" spans="1:13" x14ac:dyDescent="0.3">
      <c r="A26" s="64" t="s">
        <v>293</v>
      </c>
      <c r="B26" s="65">
        <f>Entrate_Uscite!B44</f>
        <v>0</v>
      </c>
      <c r="C26" s="65">
        <f>Entrate_Uscite!E44</f>
        <v>0</v>
      </c>
      <c r="D26" s="65">
        <f>Entrate_Uscite!H44</f>
        <v>0</v>
      </c>
      <c r="E26" s="65">
        <f>Entrate_Uscite!K44</f>
        <v>0</v>
      </c>
      <c r="F26" s="65">
        <f>Entrate_Uscite!N44</f>
        <v>0</v>
      </c>
      <c r="G26" s="65">
        <f>Entrate_Uscite!Q44</f>
        <v>0</v>
      </c>
      <c r="H26" s="65">
        <f>Entrate_Uscite!T44</f>
        <v>0</v>
      </c>
      <c r="I26" s="65">
        <f>Entrate_Uscite!W44</f>
        <v>0</v>
      </c>
      <c r="J26" s="65">
        <f t="shared" si="0"/>
        <v>0</v>
      </c>
      <c r="K26" s="66" t="str">
        <f t="shared" si="2"/>
        <v>-</v>
      </c>
      <c r="L26" s="65">
        <f>Entrate_Uscite!X44</f>
        <v>0</v>
      </c>
      <c r="M26" s="63" t="str">
        <f t="shared" si="1"/>
        <v>-</v>
      </c>
    </row>
    <row r="27" spans="1:13" x14ac:dyDescent="0.3">
      <c r="A27" s="4" t="s">
        <v>294</v>
      </c>
      <c r="B27" s="48">
        <f>SUM(B22:B26)</f>
        <v>171819943.22999999</v>
      </c>
      <c r="C27" s="48">
        <f>SUM(C22:C26)</f>
        <v>183538339.15000001</v>
      </c>
      <c r="D27" s="48">
        <f>SUM(D22:D26)</f>
        <v>193153660</v>
      </c>
      <c r="E27" s="48">
        <f t="shared" ref="E27:I27" si="11">SUM(E22:E26)</f>
        <v>197518984.79000002</v>
      </c>
      <c r="F27" s="48">
        <f t="shared" si="11"/>
        <v>120574307.84</v>
      </c>
      <c r="G27" s="48">
        <f t="shared" ref="G27" si="12">SUM(G22:G26)</f>
        <v>112782045.71000001</v>
      </c>
      <c r="H27" s="48">
        <f t="shared" ref="H27" si="13">SUM(H22:H26)</f>
        <v>163243796.72</v>
      </c>
      <c r="I27" s="48">
        <f t="shared" si="11"/>
        <v>161646491.43000001</v>
      </c>
      <c r="J27" s="48">
        <f t="shared" si="0"/>
        <v>4.2995179589521317</v>
      </c>
      <c r="K27" s="49">
        <f t="shared" si="2"/>
        <v>-0.9784783998498483</v>
      </c>
      <c r="L27" s="48">
        <f>SUM(L22:L26)</f>
        <v>161435475.34</v>
      </c>
      <c r="M27" s="50">
        <f t="shared" si="1"/>
        <v>99.869458292516427</v>
      </c>
    </row>
    <row r="28" spans="1:13" x14ac:dyDescent="0.3">
      <c r="A28" s="4" t="s">
        <v>295</v>
      </c>
      <c r="B28" s="48">
        <f>Entrate_Uscite!B52</f>
        <v>0</v>
      </c>
      <c r="C28" s="48">
        <f>Entrate_Uscite!E52</f>
        <v>0</v>
      </c>
      <c r="D28" s="48">
        <f>Entrate_Uscite!H52</f>
        <v>0</v>
      </c>
      <c r="E28" s="48">
        <f>Entrate_Uscite!K52</f>
        <v>0</v>
      </c>
      <c r="F28" s="48">
        <f>Entrate_Uscite!N52</f>
        <v>0</v>
      </c>
      <c r="G28" s="48">
        <f>Entrate_Uscite!Q52</f>
        <v>0</v>
      </c>
      <c r="H28" s="48">
        <f>Entrate_Uscite!T52</f>
        <v>0</v>
      </c>
      <c r="I28" s="48">
        <f>Entrate_Uscite!W52</f>
        <v>0</v>
      </c>
      <c r="J28" s="48">
        <f t="shared" si="0"/>
        <v>0</v>
      </c>
      <c r="K28" s="49" t="str">
        <f t="shared" si="2"/>
        <v>-</v>
      </c>
      <c r="L28" s="48">
        <f>Entrate_Uscite!X52</f>
        <v>0</v>
      </c>
      <c r="M28" s="50" t="str">
        <f t="shared" si="1"/>
        <v>-</v>
      </c>
    </row>
    <row r="29" spans="1:13" x14ac:dyDescent="0.3">
      <c r="A29" s="4" t="s">
        <v>296</v>
      </c>
      <c r="B29" s="48">
        <f>Entrate_Uscite!B53</f>
        <v>327032683.56</v>
      </c>
      <c r="C29" s="48">
        <f>Entrate_Uscite!E53</f>
        <v>323991858.5</v>
      </c>
      <c r="D29" s="48">
        <f>Entrate_Uscite!H53</f>
        <v>328229834.32999998</v>
      </c>
      <c r="E29" s="48">
        <f>Entrate_Uscite!K53</f>
        <v>355605621.48000002</v>
      </c>
      <c r="F29" s="48">
        <f>Entrate_Uscite!N53</f>
        <v>319606143.70999998</v>
      </c>
      <c r="G29" s="48">
        <f>Entrate_Uscite!Q53</f>
        <v>359295760.06999999</v>
      </c>
      <c r="H29" s="48">
        <f>Entrate_Uscite!T53</f>
        <v>280590783.19999999</v>
      </c>
      <c r="I29" s="48">
        <f>Entrate_Uscite!W53</f>
        <v>623674033.90999997</v>
      </c>
      <c r="J29" s="48"/>
      <c r="K29" s="49">
        <f t="shared" si="2"/>
        <v>122.2717463479392</v>
      </c>
      <c r="L29" s="48">
        <f>Entrate_Uscite!X53</f>
        <v>552817615.86000001</v>
      </c>
      <c r="M29" s="50">
        <f t="shared" si="1"/>
        <v>88.638869954905815</v>
      </c>
    </row>
    <row r="30" spans="1:13" x14ac:dyDescent="0.3">
      <c r="A30" s="52" t="s">
        <v>69</v>
      </c>
      <c r="B30" s="53">
        <f>B10+B15+B20+B27+B28+B29</f>
        <v>3685872968.5699997</v>
      </c>
      <c r="C30" s="53">
        <f>C10+C15+C20+C27+C28+C29</f>
        <v>3745369143.71</v>
      </c>
      <c r="D30" s="53">
        <f>D10+D15+D20+D27+D28+D29</f>
        <v>3870787743.7899995</v>
      </c>
      <c r="E30" s="53">
        <f t="shared" ref="E30:I30" si="14">E10+E15+E20+E27+E28+E29</f>
        <v>3876880650.9699998</v>
      </c>
      <c r="F30" s="53">
        <f t="shared" si="14"/>
        <v>3927231367.7000003</v>
      </c>
      <c r="G30" s="53">
        <f t="shared" ref="G30:H30" si="15">G10+G15+G20+G27+G28+G29</f>
        <v>3973788755.27</v>
      </c>
      <c r="H30" s="53">
        <f t="shared" si="15"/>
        <v>3980736632.849999</v>
      </c>
      <c r="I30" s="53">
        <f t="shared" si="14"/>
        <v>4383316230.3900003</v>
      </c>
      <c r="J30" s="53"/>
      <c r="K30" s="54">
        <f t="shared" si="2"/>
        <v>10.113193478257699</v>
      </c>
      <c r="L30" s="53">
        <f>L10+L15+L20+L27+L28+L29</f>
        <v>3687185415.9500003</v>
      </c>
      <c r="M30" s="55">
        <f t="shared" si="1"/>
        <v>84.11862667781871</v>
      </c>
    </row>
    <row r="31" spans="1:13" x14ac:dyDescent="0.3">
      <c r="A31" s="43" t="s">
        <v>70</v>
      </c>
      <c r="B31" s="56">
        <f>B30-B29</f>
        <v>3358840285.0099998</v>
      </c>
      <c r="C31" s="56">
        <f>C30-C29</f>
        <v>3421377285.21</v>
      </c>
      <c r="D31" s="56">
        <f>D30-D29</f>
        <v>3542557909.4599996</v>
      </c>
      <c r="E31" s="56">
        <f t="shared" ref="E31:I31" si="16">E30-E29</f>
        <v>3521275029.4899998</v>
      </c>
      <c r="F31" s="56">
        <f t="shared" si="16"/>
        <v>3607625223.9900002</v>
      </c>
      <c r="G31" s="56">
        <f t="shared" ref="G31:H31" si="17">G30-G29</f>
        <v>3614492995.1999998</v>
      </c>
      <c r="H31" s="56">
        <f t="shared" si="17"/>
        <v>3700145849.6499991</v>
      </c>
      <c r="I31" s="56">
        <f t="shared" si="16"/>
        <v>3759642196.4800005</v>
      </c>
      <c r="J31" s="56">
        <f>I31/I$31*100</f>
        <v>100</v>
      </c>
      <c r="K31" s="57">
        <f t="shared" si="2"/>
        <v>1.607945990443298</v>
      </c>
      <c r="L31" s="56">
        <f>L30-L29</f>
        <v>3134367800.0900002</v>
      </c>
      <c r="M31" s="58">
        <f t="shared" si="1"/>
        <v>83.368779162670876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L1" sqref="L1:N1048576"/>
    </sheetView>
  </sheetViews>
  <sheetFormatPr defaultRowHeight="14.4" x14ac:dyDescent="0.3"/>
  <cols>
    <col min="1" max="1" width="50.6640625" bestFit="1" customWidth="1"/>
    <col min="2" max="5" width="12.6640625" bestFit="1" customWidth="1"/>
    <col min="6" max="7" width="13.44140625" bestFit="1" customWidth="1"/>
    <col min="8" max="9" width="12.6640625" bestFit="1" customWidth="1"/>
    <col min="10" max="11" width="13.44140625" bestFit="1" customWidth="1"/>
  </cols>
  <sheetData>
    <row r="1" spans="1:11" x14ac:dyDescent="0.3">
      <c r="A1" s="46"/>
      <c r="B1" s="47">
        <v>2016</v>
      </c>
      <c r="C1" s="47">
        <v>2017</v>
      </c>
      <c r="D1" s="47">
        <v>2018</v>
      </c>
      <c r="E1" s="47">
        <v>2019</v>
      </c>
      <c r="F1" s="47">
        <v>2020</v>
      </c>
      <c r="G1" s="47">
        <v>2021</v>
      </c>
      <c r="H1" s="47">
        <v>2022</v>
      </c>
      <c r="I1" s="47">
        <v>2023</v>
      </c>
      <c r="J1" s="47" t="s">
        <v>266</v>
      </c>
      <c r="K1" s="47" t="s">
        <v>340</v>
      </c>
    </row>
    <row r="2" spans="1:11" ht="16.5" customHeight="1" x14ac:dyDescent="0.3">
      <c r="A2" s="112" t="s">
        <v>298</v>
      </c>
      <c r="B2" s="113">
        <f>Entrate_Uscite!B56</f>
        <v>381514419.99000025</v>
      </c>
      <c r="C2" s="113">
        <f>Entrate_Uscite!E56</f>
        <v>498616284.81000042</v>
      </c>
      <c r="D2" s="113">
        <f>Entrate_Uscite!H56</f>
        <v>546481283.92000008</v>
      </c>
      <c r="E2" s="113">
        <f>Entrate_Uscite!K56</f>
        <v>581360012.8300004</v>
      </c>
      <c r="F2" s="113">
        <f>Entrate_Uscite!N56</f>
        <v>552267797.01000023</v>
      </c>
      <c r="G2" s="113">
        <f>Entrate_Uscite!Q56</f>
        <v>523140199.28999996</v>
      </c>
      <c r="H2" s="113">
        <f>Entrate_Uscite!T56</f>
        <v>372787635.45000029</v>
      </c>
      <c r="I2" s="113">
        <f>Entrate_Uscite!W56</f>
        <v>502278092.6500001</v>
      </c>
      <c r="J2" s="113">
        <f t="shared" ref="J2:J6" si="0">I2-H2</f>
        <v>129490457.19999981</v>
      </c>
      <c r="K2" s="113">
        <f>Entrate_Uscite!X56</f>
        <v>218291237.48999977</v>
      </c>
    </row>
    <row r="3" spans="1:11" ht="16.5" customHeight="1" x14ac:dyDescent="0.3">
      <c r="A3" s="112" t="s">
        <v>72</v>
      </c>
      <c r="B3" s="114">
        <f>Entrate_Uscite!B57</f>
        <v>-84116101.990000069</v>
      </c>
      <c r="C3" s="114">
        <f>Entrate_Uscite!E57</f>
        <v>-84001730.959999979</v>
      </c>
      <c r="D3" s="114">
        <f>Entrate_Uscite!H57</f>
        <v>107350427.40000004</v>
      </c>
      <c r="E3" s="114">
        <f>Entrate_Uscite!K57</f>
        <v>78157096.599999964</v>
      </c>
      <c r="F3" s="114">
        <f>Entrate_Uscite!N57</f>
        <v>-92370877.220000029</v>
      </c>
      <c r="G3" s="114">
        <f>Entrate_Uscite!Q57</f>
        <v>-135768905.73999989</v>
      </c>
      <c r="H3" s="114">
        <f>Entrate_Uscite!T57</f>
        <v>-30647217.279999971</v>
      </c>
      <c r="I3" s="114">
        <f>Entrate_Uscite!W57</f>
        <v>-32493848.220000029</v>
      </c>
      <c r="J3" s="113">
        <f t="shared" si="0"/>
        <v>-1846630.9400000572</v>
      </c>
      <c r="K3" s="114">
        <f>Entrate_Uscite!X57</f>
        <v>-161083450.09000003</v>
      </c>
    </row>
    <row r="4" spans="1:11" ht="16.5" customHeight="1" x14ac:dyDescent="0.3">
      <c r="A4" s="112" t="s">
        <v>301</v>
      </c>
      <c r="B4" s="114">
        <f>Entrate_Uscite!B16-Entrate_Uscite!B50</f>
        <v>0</v>
      </c>
      <c r="C4" s="114">
        <f>Entrate_Uscite!E16-Entrate_Uscite!E50</f>
        <v>-3365275.2800000012</v>
      </c>
      <c r="D4" s="114">
        <f>Entrate_Uscite!H16-Entrate_Uscite!H50</f>
        <v>-29345656.420000017</v>
      </c>
      <c r="E4" s="114">
        <f>Entrate_Uscite!K16-Entrate_Uscite!K50</f>
        <v>17186649.670000002</v>
      </c>
      <c r="F4" s="114">
        <f>Entrate_Uscite!N16-Entrate_Uscite!N50</f>
        <v>-198925599.92000002</v>
      </c>
      <c r="G4" s="114">
        <f>Entrate_Uscite!Q16-Entrate_Uscite!Q50</f>
        <v>0</v>
      </c>
      <c r="H4" s="114">
        <f>Entrate_Uscite!T16-Entrate_Uscite!T50</f>
        <v>-10002000</v>
      </c>
      <c r="I4" s="114">
        <f>Entrate_Uscite!W16-Entrate_Uscite!W50</f>
        <v>0</v>
      </c>
      <c r="J4" s="113">
        <f t="shared" si="0"/>
        <v>10002000</v>
      </c>
      <c r="K4" s="114">
        <f>Entrate_Uscite!X16-Entrate_Uscite!X50</f>
        <v>-50000000</v>
      </c>
    </row>
    <row r="5" spans="1:11" ht="16.5" customHeight="1" x14ac:dyDescent="0.3">
      <c r="A5" s="115" t="s">
        <v>299</v>
      </c>
      <c r="B5" s="116">
        <f>Entrate_Uscite!B58</f>
        <v>297398318</v>
      </c>
      <c r="C5" s="116">
        <f>Entrate_Uscite!E58</f>
        <v>411249278.57000017</v>
      </c>
      <c r="D5" s="116">
        <f>Entrate_Uscite!H58</f>
        <v>624486054.9000001</v>
      </c>
      <c r="E5" s="116">
        <f>Entrate_Uscite!K58</f>
        <v>676703759.0999999</v>
      </c>
      <c r="F5" s="116">
        <f>Entrate_Uscite!N58</f>
        <v>260971319.87000036</v>
      </c>
      <c r="G5" s="116">
        <f>Entrate_Uscite!Q58</f>
        <v>387371293.55000019</v>
      </c>
      <c r="H5" s="116">
        <f>Entrate_Uscite!T58</f>
        <v>332138418.17000055</v>
      </c>
      <c r="I5" s="116">
        <f>Entrate_Uscite!W58</f>
        <v>469784244.42999983</v>
      </c>
      <c r="J5" s="116">
        <f t="shared" si="0"/>
        <v>137645826.25999928</v>
      </c>
      <c r="K5" s="116">
        <f>Entrate_Uscite!X58</f>
        <v>7207787.4000000954</v>
      </c>
    </row>
    <row r="6" spans="1:11" ht="16.5" customHeight="1" x14ac:dyDescent="0.3">
      <c r="A6" s="117" t="s">
        <v>300</v>
      </c>
      <c r="B6" s="118">
        <f>Entrate_Uscite!B59</f>
        <v>230897022.5</v>
      </c>
      <c r="C6" s="118">
        <f>Entrate_Uscite!E59</f>
        <v>338553668.01999998</v>
      </c>
      <c r="D6" s="118">
        <f>Entrate_Uscite!H59</f>
        <v>558714661.5999999</v>
      </c>
      <c r="E6" s="118">
        <f>Entrate_Uscite!K59</f>
        <v>595920112.82999945</v>
      </c>
      <c r="F6" s="118">
        <f>Entrate_Uscite!N59</f>
        <v>266951506.94000006</v>
      </c>
      <c r="G6" s="118">
        <f>Entrate_Uscite!Q59</f>
        <v>370752609.79999971</v>
      </c>
      <c r="H6" s="118">
        <f>Entrate_Uscite!T59</f>
        <v>267804785.96000099</v>
      </c>
      <c r="I6" s="118">
        <f>Entrate_Uscite!W59</f>
        <v>468520200.94000006</v>
      </c>
      <c r="J6" s="118">
        <f t="shared" si="0"/>
        <v>200715414.97999907</v>
      </c>
      <c r="K6" s="118">
        <f>Entrate_Uscite!X59</f>
        <v>-2616668.4400000572</v>
      </c>
    </row>
    <row r="7" spans="1:11" x14ac:dyDescent="0.3">
      <c r="K7" s="6"/>
    </row>
    <row r="8" spans="1:11" x14ac:dyDescent="0.3">
      <c r="K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workbookViewId="0">
      <selection activeCell="C11" sqref="C11"/>
    </sheetView>
  </sheetViews>
  <sheetFormatPr defaultRowHeight="14.4" x14ac:dyDescent="0.3"/>
  <cols>
    <col min="1" max="1" width="33.44140625" bestFit="1" customWidth="1"/>
    <col min="2" max="2" width="13.77734375" bestFit="1" customWidth="1"/>
    <col min="3" max="4" width="12.5546875" bestFit="1" customWidth="1"/>
    <col min="5" max="5" width="11.88671875" customWidth="1"/>
    <col min="6" max="6" width="10.88671875" customWidth="1"/>
    <col min="7" max="9" width="11.109375" bestFit="1" customWidth="1"/>
  </cols>
  <sheetData>
    <row r="1" spans="1:6" x14ac:dyDescent="0.3">
      <c r="A1" s="13">
        <v>2023</v>
      </c>
      <c r="B1" s="13" t="s">
        <v>367</v>
      </c>
      <c r="C1" s="13" t="s">
        <v>368</v>
      </c>
      <c r="D1" s="13" t="s">
        <v>369</v>
      </c>
      <c r="E1" s="13" t="s">
        <v>370</v>
      </c>
      <c r="F1" s="13" t="s">
        <v>371</v>
      </c>
    </row>
    <row r="2" spans="1:6" x14ac:dyDescent="0.3">
      <c r="A2" t="s">
        <v>372</v>
      </c>
      <c r="B2" s="1">
        <v>191475445.34999999</v>
      </c>
      <c r="C2" s="1">
        <v>152242416.25999999</v>
      </c>
      <c r="D2" s="1">
        <f>B2-C2</f>
        <v>39233029.090000004</v>
      </c>
      <c r="E2" s="6">
        <f>IF(B2&gt;0,C2/B2*100,"-")</f>
        <v>79.510151279039704</v>
      </c>
      <c r="F2" s="6">
        <f>B2/B$11*100</f>
        <v>44.570492169428569</v>
      </c>
    </row>
    <row r="3" spans="1:6" x14ac:dyDescent="0.3">
      <c r="A3" t="s">
        <v>373</v>
      </c>
      <c r="B3" s="1">
        <v>76588618.780000001</v>
      </c>
      <c r="C3" s="1">
        <v>52843246.950000003</v>
      </c>
      <c r="D3" s="1">
        <f t="shared" ref="D3:D11" si="0">B3-C3</f>
        <v>23745371.829999998</v>
      </c>
      <c r="E3" s="6">
        <f t="shared" ref="E3:E11" si="1">IF(B3&gt;0,C3/B3*100,"-")</f>
        <v>68.996213525917824</v>
      </c>
      <c r="F3" s="6">
        <f t="shared" ref="F3:F11" si="2">B3/B$11*100</f>
        <v>17.827833889413853</v>
      </c>
    </row>
    <row r="4" spans="1:6" x14ac:dyDescent="0.3">
      <c r="A4" t="s">
        <v>374</v>
      </c>
      <c r="B4" s="1">
        <v>58384033.43</v>
      </c>
      <c r="C4" s="1">
        <v>37642569.340000004</v>
      </c>
      <c r="D4" s="1">
        <f t="shared" si="0"/>
        <v>20741464.089999996</v>
      </c>
      <c r="E4" s="6">
        <f t="shared" si="1"/>
        <v>64.474081574257553</v>
      </c>
      <c r="F4" s="6">
        <f t="shared" si="2"/>
        <v>13.590280989057749</v>
      </c>
    </row>
    <row r="5" spans="1:6" x14ac:dyDescent="0.3">
      <c r="A5" t="s">
        <v>375</v>
      </c>
      <c r="B5" s="1">
        <v>58577211.25</v>
      </c>
      <c r="C5" s="1">
        <v>27001879.41</v>
      </c>
      <c r="D5" s="1">
        <f t="shared" si="0"/>
        <v>31575331.84</v>
      </c>
      <c r="E5" s="6">
        <f t="shared" si="1"/>
        <v>46.096218706553735</v>
      </c>
      <c r="F5" s="6">
        <f t="shared" si="2"/>
        <v>13.635247749667073</v>
      </c>
    </row>
    <row r="6" spans="1:6" x14ac:dyDescent="0.3">
      <c r="A6" t="s">
        <v>376</v>
      </c>
      <c r="B6" s="1">
        <v>34280</v>
      </c>
      <c r="C6" s="1">
        <v>5000</v>
      </c>
      <c r="D6" s="1">
        <f t="shared" si="0"/>
        <v>29280</v>
      </c>
      <c r="E6" s="6">
        <f t="shared" si="1"/>
        <v>14.585764294049008</v>
      </c>
      <c r="F6" s="6">
        <f t="shared" si="2"/>
        <v>7.9794903663766899E-3</v>
      </c>
    </row>
    <row r="7" spans="1:6" x14ac:dyDescent="0.3">
      <c r="A7" t="s">
        <v>377</v>
      </c>
      <c r="B7" s="1">
        <v>2490062.0499999998</v>
      </c>
      <c r="C7" s="1">
        <v>1605512.05</v>
      </c>
      <c r="D7" s="1">
        <f t="shared" si="0"/>
        <v>884549.99999999977</v>
      </c>
      <c r="E7" s="6">
        <f t="shared" si="1"/>
        <v>64.476788841466828</v>
      </c>
      <c r="F7" s="6">
        <f t="shared" si="2"/>
        <v>0.57962153266205341</v>
      </c>
    </row>
    <row r="8" spans="1:6" x14ac:dyDescent="0.3">
      <c r="A8" t="s">
        <v>378</v>
      </c>
      <c r="B8" s="1">
        <v>16188146.67</v>
      </c>
      <c r="C8" s="1">
        <v>10646384.050000001</v>
      </c>
      <c r="D8" s="1">
        <f t="shared" si="0"/>
        <v>5541762.6199999992</v>
      </c>
      <c r="E8" s="132">
        <f t="shared" si="1"/>
        <v>65.766540586946647</v>
      </c>
      <c r="F8" s="6">
        <f t="shared" si="2"/>
        <v>3.7681785415040228</v>
      </c>
    </row>
    <row r="9" spans="1:6" x14ac:dyDescent="0.3">
      <c r="A9" t="s">
        <v>379</v>
      </c>
      <c r="B9" s="1">
        <v>298732.46999999997</v>
      </c>
      <c r="C9" s="1">
        <v>231776.57</v>
      </c>
      <c r="D9" s="1">
        <f t="shared" si="0"/>
        <v>66955.899999999965</v>
      </c>
      <c r="E9" s="132">
        <f t="shared" si="1"/>
        <v>77.586668098047738</v>
      </c>
      <c r="F9" s="6">
        <f t="shared" si="2"/>
        <v>6.9537131461170174E-2</v>
      </c>
    </row>
    <row r="10" spans="1:6" x14ac:dyDescent="0.3">
      <c r="A10" t="s">
        <v>380</v>
      </c>
      <c r="B10" s="1">
        <v>25564840.84</v>
      </c>
      <c r="C10" s="1">
        <v>21693521.73</v>
      </c>
      <c r="D10" s="1">
        <f t="shared" si="0"/>
        <v>3871319.1099999994</v>
      </c>
      <c r="E10" s="6">
        <f t="shared" si="1"/>
        <v>84.856862069945905</v>
      </c>
      <c r="F10" s="6">
        <f t="shared" si="2"/>
        <v>5.9508285064391293</v>
      </c>
    </row>
    <row r="11" spans="1:6" x14ac:dyDescent="0.3">
      <c r="A11" s="4" t="s">
        <v>207</v>
      </c>
      <c r="B11" s="3">
        <f>SUM(B2:B10)</f>
        <v>429601370.84000003</v>
      </c>
      <c r="C11" s="3">
        <f>SUM(C2:C10)</f>
        <v>303912306.36000001</v>
      </c>
      <c r="D11" s="3">
        <f t="shared" si="0"/>
        <v>125689064.48000002</v>
      </c>
      <c r="E11" s="133">
        <f t="shared" si="1"/>
        <v>70.742862334391518</v>
      </c>
      <c r="F11" s="133">
        <f t="shared" si="2"/>
        <v>100</v>
      </c>
    </row>
    <row r="12" spans="1:6" x14ac:dyDescent="0.3">
      <c r="A12" s="134" t="s">
        <v>381</v>
      </c>
      <c r="B12" s="135">
        <v>3597995705.0500002</v>
      </c>
      <c r="C12" s="134"/>
      <c r="D12" s="134"/>
      <c r="E12" s="134"/>
      <c r="F12" s="136">
        <f>B11/B12*100</f>
        <v>11.940019001051864</v>
      </c>
    </row>
    <row r="14" spans="1:6" x14ac:dyDescent="0.3">
      <c r="A14" s="13">
        <v>2022</v>
      </c>
      <c r="B14" s="13" t="s">
        <v>367</v>
      </c>
      <c r="C14" s="13" t="s">
        <v>368</v>
      </c>
      <c r="D14" s="13" t="s">
        <v>369</v>
      </c>
      <c r="E14" s="13" t="s">
        <v>370</v>
      </c>
      <c r="F14" s="13" t="s">
        <v>371</v>
      </c>
    </row>
    <row r="15" spans="1:6" x14ac:dyDescent="0.3">
      <c r="A15" t="s">
        <v>372</v>
      </c>
      <c r="B15" s="131">
        <v>195996388.81999999</v>
      </c>
      <c r="C15" s="131">
        <v>146094299.53</v>
      </c>
      <c r="D15" s="1">
        <f>B15-C15</f>
        <v>49902089.289999992</v>
      </c>
      <c r="E15" s="6">
        <f>IF(B15&gt;0,C15/B15*100,"-")</f>
        <v>74.539281264090391</v>
      </c>
      <c r="F15" s="6">
        <f>B15/B$11*100</f>
        <v>45.622849954311839</v>
      </c>
    </row>
    <row r="16" spans="1:6" x14ac:dyDescent="0.3">
      <c r="A16" t="s">
        <v>373</v>
      </c>
      <c r="B16" s="131">
        <v>72017957.579999998</v>
      </c>
      <c r="C16" s="131">
        <v>48881109.100000001</v>
      </c>
      <c r="D16" s="1">
        <f t="shared" ref="D16:D24" si="3">B16-C16</f>
        <v>23136848.479999997</v>
      </c>
      <c r="E16" s="6">
        <f t="shared" ref="E16:E24" si="4">IF(B16&gt;0,C16/B16*100,"-")</f>
        <v>67.873500919130066</v>
      </c>
      <c r="F16" s="6">
        <f t="shared" ref="F16:F24" si="5">B16/B$11*100</f>
        <v>16.763903113061115</v>
      </c>
    </row>
    <row r="17" spans="1:6" x14ac:dyDescent="0.3">
      <c r="A17" t="s">
        <v>374</v>
      </c>
      <c r="B17" s="131">
        <v>58043402.700000003</v>
      </c>
      <c r="C17" s="131">
        <v>39755808.149999999</v>
      </c>
      <c r="D17" s="1">
        <f t="shared" si="3"/>
        <v>18287594.550000004</v>
      </c>
      <c r="E17" s="6">
        <f t="shared" si="4"/>
        <v>68.493241782325754</v>
      </c>
      <c r="F17" s="6">
        <f t="shared" si="5"/>
        <v>13.510991034900021</v>
      </c>
    </row>
    <row r="18" spans="1:6" x14ac:dyDescent="0.3">
      <c r="A18" t="s">
        <v>375</v>
      </c>
      <c r="B18" s="131">
        <v>50457131</v>
      </c>
      <c r="C18" s="131">
        <v>19404605.899999999</v>
      </c>
      <c r="D18" s="1">
        <f t="shared" si="3"/>
        <v>31052525.100000001</v>
      </c>
      <c r="E18" s="6">
        <f t="shared" si="4"/>
        <v>38.457608499381386</v>
      </c>
      <c r="F18" s="6">
        <f t="shared" si="5"/>
        <v>11.745104747068455</v>
      </c>
    </row>
    <row r="19" spans="1:6" x14ac:dyDescent="0.3">
      <c r="A19" t="s">
        <v>376</v>
      </c>
      <c r="B19" s="131">
        <v>47000</v>
      </c>
      <c r="C19" s="131">
        <v>12500</v>
      </c>
      <c r="D19" s="1">
        <f t="shared" si="3"/>
        <v>34500</v>
      </c>
      <c r="E19" s="6">
        <f t="shared" si="4"/>
        <v>26.595744680851062</v>
      </c>
      <c r="F19" s="6">
        <f t="shared" si="5"/>
        <v>1.0940374773036885E-2</v>
      </c>
    </row>
    <row r="20" spans="1:6" x14ac:dyDescent="0.3">
      <c r="A20" t="s">
        <v>377</v>
      </c>
      <c r="B20" s="131">
        <v>15601856.77</v>
      </c>
      <c r="C20" s="131">
        <v>11379663.619999999</v>
      </c>
      <c r="D20" s="1">
        <f t="shared" si="3"/>
        <v>4222193.1500000004</v>
      </c>
      <c r="E20" s="6">
        <f t="shared" si="4"/>
        <v>72.937880328970607</v>
      </c>
      <c r="F20" s="6">
        <f t="shared" si="5"/>
        <v>3.6317055365753776</v>
      </c>
    </row>
    <row r="21" spans="1:6" x14ac:dyDescent="0.3">
      <c r="A21" t="s">
        <v>378</v>
      </c>
      <c r="B21" s="131">
        <v>18169496.120000001</v>
      </c>
      <c r="C21" s="131">
        <v>11473473.029999999</v>
      </c>
      <c r="D21" s="1">
        <f t="shared" si="3"/>
        <v>6696023.0900000017</v>
      </c>
      <c r="E21" s="132">
        <f t="shared" si="4"/>
        <v>63.146897163376039</v>
      </c>
      <c r="F21" s="6">
        <f t="shared" si="5"/>
        <v>4.2293850423412671</v>
      </c>
    </row>
    <row r="22" spans="1:6" x14ac:dyDescent="0.3">
      <c r="A22" t="s">
        <v>379</v>
      </c>
      <c r="B22" s="131">
        <v>898932.3</v>
      </c>
      <c r="C22" s="131">
        <v>617978.55000000005</v>
      </c>
      <c r="D22" s="1">
        <f t="shared" si="3"/>
        <v>280953.75</v>
      </c>
      <c r="E22" s="132">
        <f t="shared" si="4"/>
        <v>68.745838813445687</v>
      </c>
      <c r="F22" s="6">
        <f t="shared" si="5"/>
        <v>0.2092480054805963</v>
      </c>
    </row>
    <row r="23" spans="1:6" x14ac:dyDescent="0.3">
      <c r="A23" t="s">
        <v>380</v>
      </c>
      <c r="B23" s="131">
        <v>29069863.510000002</v>
      </c>
      <c r="C23" s="131">
        <v>21947427.059999999</v>
      </c>
      <c r="D23" s="1">
        <f t="shared" si="3"/>
        <v>7122436.450000003</v>
      </c>
      <c r="E23" s="6">
        <f t="shared" si="4"/>
        <v>75.498899581864592</v>
      </c>
      <c r="F23" s="6">
        <f t="shared" si="5"/>
        <v>6.766706412775096</v>
      </c>
    </row>
    <row r="24" spans="1:6" x14ac:dyDescent="0.3">
      <c r="A24" s="4" t="s">
        <v>207</v>
      </c>
      <c r="B24" s="3">
        <f>SUM(B15:B23)</f>
        <v>440302028.79999995</v>
      </c>
      <c r="C24" s="3">
        <f>SUM(C15:C23)</f>
        <v>299566864.94</v>
      </c>
      <c r="D24" s="3">
        <f t="shared" si="3"/>
        <v>140735163.85999995</v>
      </c>
      <c r="E24" s="133">
        <f t="shared" si="4"/>
        <v>68.036676041770733</v>
      </c>
      <c r="F24" s="133">
        <f t="shared" si="5"/>
        <v>102.4908342212868</v>
      </c>
    </row>
    <row r="25" spans="1:6" x14ac:dyDescent="0.3">
      <c r="A25" s="134" t="s">
        <v>381</v>
      </c>
      <c r="B25" s="135">
        <v>3536902052.9299994</v>
      </c>
      <c r="C25" s="134"/>
      <c r="D25" s="134"/>
      <c r="E25" s="134"/>
      <c r="F25" s="136">
        <f>B24/B25*100</f>
        <v>12.448804694358163</v>
      </c>
    </row>
    <row r="27" spans="1:6" x14ac:dyDescent="0.3">
      <c r="A27" s="13">
        <v>2021</v>
      </c>
      <c r="B27" s="13" t="s">
        <v>367</v>
      </c>
      <c r="C27" s="13" t="s">
        <v>368</v>
      </c>
      <c r="D27" s="13" t="s">
        <v>369</v>
      </c>
      <c r="E27" s="13" t="s">
        <v>370</v>
      </c>
      <c r="F27" s="13" t="s">
        <v>371</v>
      </c>
    </row>
    <row r="28" spans="1:6" x14ac:dyDescent="0.3">
      <c r="A28" t="s">
        <v>372</v>
      </c>
      <c r="B28" s="131">
        <v>193796720.56</v>
      </c>
      <c r="C28" s="131">
        <v>145817549.72</v>
      </c>
      <c r="D28" s="1">
        <f>B28-C28</f>
        <v>47979170.840000004</v>
      </c>
      <c r="E28" s="6">
        <f>IF(B28&gt;0,C28/B28*100,"-")</f>
        <v>75.242526962603833</v>
      </c>
      <c r="F28" s="6">
        <f>B28/B$11*100</f>
        <v>45.110824525785162</v>
      </c>
    </row>
    <row r="29" spans="1:6" x14ac:dyDescent="0.3">
      <c r="A29" t="s">
        <v>373</v>
      </c>
      <c r="B29" s="131">
        <v>72213378.819999993</v>
      </c>
      <c r="C29" s="131">
        <v>49132240.210000001</v>
      </c>
      <c r="D29" s="1">
        <f t="shared" ref="D29:D37" si="6">B29-C29</f>
        <v>23081138.609999992</v>
      </c>
      <c r="E29" s="6">
        <f t="shared" ref="E29:E37" si="7">IF(B29&gt;0,C29/B29*100,"-")</f>
        <v>68.037586681088086</v>
      </c>
      <c r="F29" s="6">
        <f t="shared" ref="F29:F37" si="8">B29/B$11*100</f>
        <v>16.809392083363488</v>
      </c>
    </row>
    <row r="30" spans="1:6" x14ac:dyDescent="0.3">
      <c r="A30" t="s">
        <v>374</v>
      </c>
      <c r="B30" s="131">
        <v>63273976.119999997</v>
      </c>
      <c r="C30" s="131">
        <v>43958129.229999997</v>
      </c>
      <c r="D30" s="1">
        <f t="shared" si="6"/>
        <v>19315846.890000001</v>
      </c>
      <c r="E30" s="6">
        <f t="shared" si="7"/>
        <v>69.472683598439872</v>
      </c>
      <c r="F30" s="6">
        <f t="shared" si="8"/>
        <v>14.728532173042261</v>
      </c>
    </row>
    <row r="31" spans="1:6" x14ac:dyDescent="0.3">
      <c r="A31" t="s">
        <v>375</v>
      </c>
      <c r="B31" s="131">
        <v>51824720.579999998</v>
      </c>
      <c r="C31" s="131">
        <v>30011306.870000001</v>
      </c>
      <c r="D31" s="1">
        <f t="shared" si="6"/>
        <v>21813413.709999997</v>
      </c>
      <c r="E31" s="6">
        <f t="shared" si="7"/>
        <v>57.909249744381356</v>
      </c>
      <c r="F31" s="6">
        <f t="shared" si="8"/>
        <v>12.063443950066329</v>
      </c>
    </row>
    <row r="32" spans="1:6" x14ac:dyDescent="0.3">
      <c r="A32" t="s">
        <v>376</v>
      </c>
      <c r="B32" s="131">
        <v>17500</v>
      </c>
      <c r="C32" s="131">
        <v>0</v>
      </c>
      <c r="D32" s="1">
        <f t="shared" si="6"/>
        <v>17500</v>
      </c>
      <c r="E32" s="6">
        <f t="shared" si="7"/>
        <v>0</v>
      </c>
      <c r="F32" s="6">
        <f t="shared" si="8"/>
        <v>4.0735437984711804E-3</v>
      </c>
    </row>
    <row r="33" spans="1:6" x14ac:dyDescent="0.3">
      <c r="A33" t="s">
        <v>377</v>
      </c>
      <c r="B33" s="131">
        <v>897142</v>
      </c>
      <c r="C33" s="131">
        <v>861222</v>
      </c>
      <c r="D33" s="1">
        <f t="shared" si="6"/>
        <v>35920</v>
      </c>
      <c r="E33" s="6">
        <f t="shared" si="7"/>
        <v>95.996174518638071</v>
      </c>
      <c r="F33" s="6">
        <f t="shared" si="8"/>
        <v>0.20883127031131613</v>
      </c>
    </row>
    <row r="34" spans="1:6" x14ac:dyDescent="0.3">
      <c r="A34" t="s">
        <v>378</v>
      </c>
      <c r="B34" s="131">
        <v>16408693.02</v>
      </c>
      <c r="C34" s="131">
        <v>10800800.4</v>
      </c>
      <c r="D34" s="1">
        <f t="shared" si="6"/>
        <v>5607892.6199999992</v>
      </c>
      <c r="E34" s="132">
        <f t="shared" si="7"/>
        <v>65.823648396830094</v>
      </c>
      <c r="F34" s="6">
        <f t="shared" si="8"/>
        <v>3.8195159824364771</v>
      </c>
    </row>
    <row r="35" spans="1:6" x14ac:dyDescent="0.3">
      <c r="A35" t="s">
        <v>379</v>
      </c>
      <c r="B35" s="131">
        <v>1230963.26</v>
      </c>
      <c r="C35" s="131">
        <v>397580.95</v>
      </c>
      <c r="D35" s="1">
        <f t="shared" si="6"/>
        <v>833382.31</v>
      </c>
      <c r="E35" s="132">
        <f t="shared" si="7"/>
        <v>32.298360391357257</v>
      </c>
      <c r="F35" s="6">
        <f t="shared" si="8"/>
        <v>0.28653615736679244</v>
      </c>
    </row>
    <row r="36" spans="1:6" x14ac:dyDescent="0.3">
      <c r="A36" t="s">
        <v>380</v>
      </c>
      <c r="B36" s="131">
        <v>23975963.289999999</v>
      </c>
      <c r="C36" s="131">
        <v>18556528.289999999</v>
      </c>
      <c r="D36" s="1">
        <f t="shared" si="6"/>
        <v>5419435</v>
      </c>
      <c r="E36" s="6">
        <f t="shared" si="7"/>
        <v>77.396382641858807</v>
      </c>
      <c r="F36" s="6">
        <f t="shared" si="8"/>
        <v>5.5809792327058387</v>
      </c>
    </row>
    <row r="37" spans="1:6" x14ac:dyDescent="0.3">
      <c r="A37" s="4" t="s">
        <v>207</v>
      </c>
      <c r="B37" s="3">
        <f>SUM(B28:B36)</f>
        <v>423639057.64999998</v>
      </c>
      <c r="C37" s="3">
        <f>SUM(C28:C36)</f>
        <v>299535357.66999996</v>
      </c>
      <c r="D37" s="3">
        <f t="shared" si="6"/>
        <v>124103699.98000002</v>
      </c>
      <c r="E37" s="133">
        <f t="shared" si="7"/>
        <v>70.705321490321268</v>
      </c>
      <c r="F37" s="133">
        <f t="shared" si="8"/>
        <v>98.612128918876124</v>
      </c>
    </row>
    <row r="38" spans="1:6" x14ac:dyDescent="0.3">
      <c r="A38" s="134" t="s">
        <v>381</v>
      </c>
      <c r="B38" s="135">
        <v>3501710949.4899998</v>
      </c>
      <c r="C38" s="134"/>
      <c r="D38" s="134"/>
      <c r="E38" s="134"/>
      <c r="F38" s="136">
        <f>B37/B38*100</f>
        <v>12.098059027736143</v>
      </c>
    </row>
    <row r="40" spans="1:6" x14ac:dyDescent="0.3">
      <c r="A40" s="13">
        <v>2020</v>
      </c>
      <c r="B40" s="13" t="s">
        <v>367</v>
      </c>
      <c r="C40" s="13" t="s">
        <v>368</v>
      </c>
      <c r="D40" s="13" t="s">
        <v>369</v>
      </c>
      <c r="E40" s="13" t="s">
        <v>370</v>
      </c>
      <c r="F40" s="13" t="s">
        <v>371</v>
      </c>
    </row>
    <row r="41" spans="1:6" x14ac:dyDescent="0.3">
      <c r="A41" t="s">
        <v>372</v>
      </c>
      <c r="B41" s="1">
        <v>163572437.09</v>
      </c>
      <c r="C41" s="1">
        <v>113781729.5</v>
      </c>
      <c r="D41" s="1">
        <f>B41-C41</f>
        <v>49790707.590000004</v>
      </c>
      <c r="E41" s="6">
        <f>IF(B41&gt;0,C41/B41*100,"-")</f>
        <v>69.56045378072811</v>
      </c>
      <c r="F41" s="6">
        <f>B41/B$11*100</f>
        <v>38.075399240502108</v>
      </c>
    </row>
    <row r="42" spans="1:6" x14ac:dyDescent="0.3">
      <c r="A42" t="s">
        <v>373</v>
      </c>
      <c r="B42" s="1">
        <v>68310228.390000001</v>
      </c>
      <c r="C42" s="1">
        <v>40531496.799999997</v>
      </c>
      <c r="D42" s="1">
        <f t="shared" ref="D42:D50" si="9">B42-C42</f>
        <v>27778731.590000004</v>
      </c>
      <c r="E42" s="6">
        <f t="shared" ref="E42:E50" si="10">IF(B42&gt;0,C42/B42*100,"-")</f>
        <v>59.334447791033064</v>
      </c>
      <c r="F42" s="6">
        <f t="shared" ref="F42:F50" si="11">B42/B$11*100</f>
        <v>15.900840413156256</v>
      </c>
    </row>
    <row r="43" spans="1:6" x14ac:dyDescent="0.3">
      <c r="A43" t="s">
        <v>374</v>
      </c>
      <c r="B43" s="1">
        <v>65259722.649999999</v>
      </c>
      <c r="C43" s="1">
        <v>43525996.75</v>
      </c>
      <c r="D43" s="1">
        <f t="shared" si="9"/>
        <v>21733725.899999999</v>
      </c>
      <c r="E43" s="6">
        <f t="shared" si="10"/>
        <v>66.696570231286444</v>
      </c>
      <c r="F43" s="6">
        <f t="shared" si="11"/>
        <v>15.190762199477529</v>
      </c>
    </row>
    <row r="44" spans="1:6" x14ac:dyDescent="0.3">
      <c r="A44" t="s">
        <v>375</v>
      </c>
      <c r="B44" s="1">
        <v>44758965.140000001</v>
      </c>
      <c r="C44" s="1">
        <v>17586493.710000001</v>
      </c>
      <c r="D44" s="1">
        <f t="shared" si="9"/>
        <v>27172471.43</v>
      </c>
      <c r="E44" s="6">
        <f t="shared" si="10"/>
        <v>39.291555680502938</v>
      </c>
      <c r="F44" s="6">
        <f t="shared" si="11"/>
        <v>10.418720278401986</v>
      </c>
    </row>
    <row r="45" spans="1:6" x14ac:dyDescent="0.3">
      <c r="A45" t="s">
        <v>376</v>
      </c>
      <c r="B45" s="1">
        <v>0</v>
      </c>
      <c r="C45" s="1">
        <v>0</v>
      </c>
      <c r="D45" s="1">
        <f t="shared" si="9"/>
        <v>0</v>
      </c>
      <c r="E45" s="14" t="str">
        <f t="shared" si="10"/>
        <v>-</v>
      </c>
      <c r="F45" s="6">
        <f t="shared" si="11"/>
        <v>0</v>
      </c>
    </row>
    <row r="46" spans="1:6" x14ac:dyDescent="0.3">
      <c r="A46" t="s">
        <v>377</v>
      </c>
      <c r="B46" s="1">
        <v>8049638.7599999998</v>
      </c>
      <c r="C46" s="1">
        <v>1074240.74</v>
      </c>
      <c r="D46" s="1">
        <f t="shared" si="9"/>
        <v>6975398.0199999996</v>
      </c>
      <c r="E46" s="6">
        <f t="shared" si="10"/>
        <v>13.345204325665913</v>
      </c>
      <c r="F46" s="6">
        <f t="shared" si="11"/>
        <v>1.8737460600417852</v>
      </c>
    </row>
    <row r="47" spans="1:6" x14ac:dyDescent="0.3">
      <c r="A47" t="s">
        <v>378</v>
      </c>
      <c r="B47" s="1">
        <v>27622089.18</v>
      </c>
      <c r="C47" s="1">
        <v>13637445.24</v>
      </c>
      <c r="D47" s="1">
        <f t="shared" si="9"/>
        <v>13984643.939999999</v>
      </c>
      <c r="E47" s="132">
        <f t="shared" si="10"/>
        <v>49.371519840991262</v>
      </c>
      <c r="F47" s="6">
        <f t="shared" si="11"/>
        <v>6.4297022902861087</v>
      </c>
    </row>
    <row r="48" spans="1:6" x14ac:dyDescent="0.3">
      <c r="A48" t="s">
        <v>379</v>
      </c>
      <c r="B48" s="1">
        <v>784673.71</v>
      </c>
      <c r="C48" s="1">
        <v>341455.9</v>
      </c>
      <c r="D48" s="1">
        <f t="shared" si="9"/>
        <v>443217.80999999994</v>
      </c>
      <c r="E48" s="132">
        <f t="shared" si="10"/>
        <v>43.515654424053537</v>
      </c>
      <c r="F48" s="6">
        <f t="shared" si="11"/>
        <v>0.18265158429679276</v>
      </c>
    </row>
    <row r="49" spans="1:8" x14ac:dyDescent="0.3">
      <c r="A49" t="s">
        <v>380</v>
      </c>
      <c r="B49" s="1">
        <v>23975383.300000001</v>
      </c>
      <c r="C49" s="1">
        <v>18062891.600000001</v>
      </c>
      <c r="D49" s="1">
        <f t="shared" si="9"/>
        <v>5912491.6999999993</v>
      </c>
      <c r="E49" s="6">
        <f t="shared" si="10"/>
        <v>75.339323563598668</v>
      </c>
      <c r="F49" s="6">
        <f t="shared" si="11"/>
        <v>5.5808442261534008</v>
      </c>
      <c r="H49" s="22"/>
    </row>
    <row r="50" spans="1:8" x14ac:dyDescent="0.3">
      <c r="A50" s="4" t="s">
        <v>207</v>
      </c>
      <c r="B50" s="3">
        <f>SUM(B41:B49)</f>
        <v>402333138.21999997</v>
      </c>
      <c r="C50" s="3">
        <f>SUM(C41:C49)</f>
        <v>248541750.24000004</v>
      </c>
      <c r="D50" s="3">
        <f t="shared" si="9"/>
        <v>153791387.97999993</v>
      </c>
      <c r="E50" s="133">
        <f t="shared" si="10"/>
        <v>61.775112867808268</v>
      </c>
      <c r="F50" s="133">
        <f t="shared" si="11"/>
        <v>93.652666292315956</v>
      </c>
      <c r="H50" s="22"/>
    </row>
    <row r="51" spans="1:8" x14ac:dyDescent="0.3">
      <c r="A51" s="134" t="s">
        <v>381</v>
      </c>
      <c r="B51" s="137">
        <v>3487050916.1500001</v>
      </c>
      <c r="C51" s="134"/>
      <c r="D51" s="134"/>
      <c r="E51" s="134"/>
      <c r="F51" s="136">
        <f>B50/B51*100</f>
        <v>11.53791980371224</v>
      </c>
      <c r="H51" s="22"/>
    </row>
    <row r="52" spans="1:8" x14ac:dyDescent="0.3">
      <c r="H52" s="107"/>
    </row>
    <row r="53" spans="1:8" x14ac:dyDescent="0.3">
      <c r="A53" s="13">
        <v>2019</v>
      </c>
      <c r="B53" s="13" t="s">
        <v>367</v>
      </c>
      <c r="C53" s="13" t="s">
        <v>368</v>
      </c>
      <c r="D53" s="13" t="s">
        <v>369</v>
      </c>
      <c r="H53" s="32"/>
    </row>
    <row r="54" spans="1:8" x14ac:dyDescent="0.3">
      <c r="A54" t="s">
        <v>372</v>
      </c>
      <c r="B54" s="1">
        <v>169419981.69</v>
      </c>
      <c r="C54" s="1">
        <v>123509418.41</v>
      </c>
      <c r="D54" s="1">
        <f>B54-C54</f>
        <v>45910563.280000001</v>
      </c>
      <c r="E54" s="6">
        <f>IF(B54&gt;0,C54/B54*100,"-")</f>
        <v>72.901329098237127</v>
      </c>
      <c r="F54" s="6">
        <f>B54/B$63*100</f>
        <v>42.249093538330897</v>
      </c>
    </row>
    <row r="55" spans="1:8" x14ac:dyDescent="0.3">
      <c r="A55" t="s">
        <v>373</v>
      </c>
      <c r="B55" s="1">
        <v>70310185.590000004</v>
      </c>
      <c r="C55" s="1">
        <v>47966812.130000003</v>
      </c>
      <c r="D55" s="1">
        <f t="shared" ref="D55:D63" si="12">B55-C55</f>
        <v>22343373.460000001</v>
      </c>
      <c r="E55" s="6">
        <f t="shared" ref="E55:E63" si="13">IF(B55&gt;0,C55/B55*100,"-")</f>
        <v>68.22171172994625</v>
      </c>
      <c r="F55" s="6">
        <f t="shared" ref="F55:F63" si="14">B55/B$63*100</f>
        <v>17.533596557251023</v>
      </c>
    </row>
    <row r="56" spans="1:8" x14ac:dyDescent="0.3">
      <c r="A56" t="s">
        <v>374</v>
      </c>
      <c r="B56" s="1">
        <v>75573545.480000004</v>
      </c>
      <c r="C56" s="1">
        <v>56668473.439999998</v>
      </c>
      <c r="D56" s="1">
        <f t="shared" si="12"/>
        <v>18905072.040000007</v>
      </c>
      <c r="E56" s="6">
        <f t="shared" si="13"/>
        <v>74.984537353744912</v>
      </c>
      <c r="F56" s="6">
        <f t="shared" si="14"/>
        <v>18.846146482592175</v>
      </c>
    </row>
    <row r="57" spans="1:8" x14ac:dyDescent="0.3">
      <c r="A57" t="s">
        <v>375</v>
      </c>
      <c r="B57" s="1">
        <v>43727967.210000001</v>
      </c>
      <c r="C57" s="1">
        <v>21592802.030000001</v>
      </c>
      <c r="D57" s="1">
        <f t="shared" si="12"/>
        <v>22135165.18</v>
      </c>
      <c r="E57" s="6">
        <f t="shared" si="13"/>
        <v>49.379844085370642</v>
      </c>
      <c r="F57" s="6">
        <f t="shared" si="14"/>
        <v>10.904658107429148</v>
      </c>
    </row>
    <row r="58" spans="1:8" x14ac:dyDescent="0.3">
      <c r="A58" t="s">
        <v>376</v>
      </c>
      <c r="B58" s="1">
        <v>0</v>
      </c>
      <c r="C58" s="1">
        <v>0</v>
      </c>
      <c r="D58" s="1">
        <f t="shared" si="12"/>
        <v>0</v>
      </c>
      <c r="E58" s="14" t="str">
        <f t="shared" si="13"/>
        <v>-</v>
      </c>
      <c r="F58" s="6">
        <f t="shared" si="14"/>
        <v>0</v>
      </c>
    </row>
    <row r="59" spans="1:8" x14ac:dyDescent="0.3">
      <c r="A59" t="s">
        <v>377</v>
      </c>
      <c r="B59" s="1">
        <v>2310322.0699999998</v>
      </c>
      <c r="C59" s="1">
        <v>2127313.0699999998</v>
      </c>
      <c r="D59" s="1">
        <f t="shared" si="12"/>
        <v>183009</v>
      </c>
      <c r="E59" s="6">
        <f t="shared" si="13"/>
        <v>92.078636897581987</v>
      </c>
      <c r="F59" s="6">
        <f t="shared" si="14"/>
        <v>0.57613636989822437</v>
      </c>
    </row>
    <row r="60" spans="1:8" x14ac:dyDescent="0.3">
      <c r="A60" t="s">
        <v>378</v>
      </c>
      <c r="B60" s="1">
        <v>14538891.76</v>
      </c>
      <c r="C60" s="1">
        <v>9531037.4499999993</v>
      </c>
      <c r="D60" s="1">
        <f t="shared" si="12"/>
        <v>5007854.3100000005</v>
      </c>
      <c r="E60" s="132">
        <f t="shared" si="13"/>
        <v>65.555460535322112</v>
      </c>
      <c r="F60" s="6">
        <f t="shared" si="14"/>
        <v>3.6256348972806234</v>
      </c>
    </row>
    <row r="61" spans="1:8" x14ac:dyDescent="0.3">
      <c r="A61" t="s">
        <v>379</v>
      </c>
      <c r="B61" s="1">
        <v>687870.22</v>
      </c>
      <c r="C61" s="1">
        <v>317407.81</v>
      </c>
      <c r="D61" s="1">
        <f t="shared" si="12"/>
        <v>370462.41</v>
      </c>
      <c r="E61" s="132">
        <f t="shared" si="13"/>
        <v>46.143560336134335</v>
      </c>
      <c r="F61" s="6">
        <f t="shared" si="14"/>
        <v>0.17153757766417951</v>
      </c>
    </row>
    <row r="62" spans="1:8" x14ac:dyDescent="0.3">
      <c r="A62" t="s">
        <v>380</v>
      </c>
      <c r="B62" s="1">
        <v>24433878.879999999</v>
      </c>
      <c r="C62" s="1">
        <v>20559370.469999999</v>
      </c>
      <c r="D62" s="1">
        <f t="shared" si="12"/>
        <v>3874508.41</v>
      </c>
      <c r="E62" s="6">
        <f t="shared" si="13"/>
        <v>84.142884439148858</v>
      </c>
      <c r="F62" s="6">
        <f t="shared" si="14"/>
        <v>6.0931964695537424</v>
      </c>
    </row>
    <row r="63" spans="1:8" x14ac:dyDescent="0.3">
      <c r="A63" s="4" t="s">
        <v>207</v>
      </c>
      <c r="B63" s="3">
        <f>SUM(B54:B62)</f>
        <v>401002642.89999998</v>
      </c>
      <c r="C63" s="3">
        <f>SUM(C54:C62)</f>
        <v>282272634.80999994</v>
      </c>
      <c r="D63" s="3">
        <f t="shared" si="12"/>
        <v>118730008.09000003</v>
      </c>
      <c r="E63" s="133">
        <f t="shared" si="13"/>
        <v>70.391714321042926</v>
      </c>
      <c r="F63" s="133">
        <f t="shared" si="14"/>
        <v>100</v>
      </c>
    </row>
    <row r="64" spans="1:8" x14ac:dyDescent="0.3">
      <c r="A64" s="134" t="s">
        <v>381</v>
      </c>
      <c r="B64" s="137">
        <v>3323756044.6999998</v>
      </c>
      <c r="C64" s="134"/>
      <c r="D64" s="134"/>
      <c r="E64" s="134"/>
      <c r="F64" s="136">
        <f>B63/B64*100</f>
        <v>12.064743546369217</v>
      </c>
    </row>
    <row r="66" spans="1:6" x14ac:dyDescent="0.3">
      <c r="A66" s="13">
        <v>2018</v>
      </c>
      <c r="B66" s="13" t="s">
        <v>367</v>
      </c>
      <c r="C66" s="13" t="s">
        <v>368</v>
      </c>
      <c r="D66" s="13" t="s">
        <v>369</v>
      </c>
    </row>
    <row r="67" spans="1:6" x14ac:dyDescent="0.3">
      <c r="A67" t="s">
        <v>372</v>
      </c>
      <c r="B67" s="1">
        <v>181476838.86000001</v>
      </c>
      <c r="C67" s="1">
        <v>132631165.5</v>
      </c>
      <c r="D67" s="1">
        <f>B67-C67</f>
        <v>48845673.360000014</v>
      </c>
      <c r="E67" s="6">
        <f>IF(B67&gt;0,C67/B67*100,"-")</f>
        <v>73.084348577571419</v>
      </c>
      <c r="F67" s="6">
        <f>B67/B$76*100</f>
        <v>41.11359553718696</v>
      </c>
    </row>
    <row r="68" spans="1:6" x14ac:dyDescent="0.3">
      <c r="A68" t="s">
        <v>373</v>
      </c>
      <c r="B68" s="1">
        <v>74224547.969999999</v>
      </c>
      <c r="C68" s="1">
        <v>53652578.039999999</v>
      </c>
      <c r="D68" s="1">
        <f>B68-C68</f>
        <v>20571969.93</v>
      </c>
      <c r="E68" s="6">
        <f t="shared" ref="E68:E76" si="15">IF(B68&gt;0,C68/B68*100,"-")</f>
        <v>72.28414252072676</v>
      </c>
      <c r="F68" s="6">
        <f t="shared" ref="F68:F76" si="16">B68/B$76*100</f>
        <v>16.815578579276949</v>
      </c>
    </row>
    <row r="69" spans="1:6" x14ac:dyDescent="0.3">
      <c r="A69" t="s">
        <v>374</v>
      </c>
      <c r="B69" s="1">
        <v>80565963.340000004</v>
      </c>
      <c r="C69" s="1">
        <v>61084629.810000002</v>
      </c>
      <c r="D69" s="1">
        <f t="shared" ref="D69:D76" si="17">B69-C69</f>
        <v>19481333.530000001</v>
      </c>
      <c r="E69" s="6">
        <f t="shared" si="15"/>
        <v>75.819399753484035</v>
      </c>
      <c r="F69" s="6">
        <f t="shared" si="16"/>
        <v>18.252226849619657</v>
      </c>
    </row>
    <row r="70" spans="1:6" x14ac:dyDescent="0.3">
      <c r="A70" t="s">
        <v>375</v>
      </c>
      <c r="B70" s="1">
        <v>48274965.57</v>
      </c>
      <c r="C70" s="1">
        <v>23505004.350000001</v>
      </c>
      <c r="D70" s="1">
        <f t="shared" si="17"/>
        <v>24769961.219999999</v>
      </c>
      <c r="E70" s="6">
        <f t="shared" si="15"/>
        <v>48.689841768850386</v>
      </c>
      <c r="F70" s="6">
        <f t="shared" si="16"/>
        <v>10.936698156549571</v>
      </c>
    </row>
    <row r="71" spans="1:6" x14ac:dyDescent="0.3">
      <c r="A71" t="s">
        <v>376</v>
      </c>
      <c r="B71" s="1">
        <v>0</v>
      </c>
      <c r="C71" s="1">
        <v>0</v>
      </c>
      <c r="D71" s="1">
        <f t="shared" si="17"/>
        <v>0</v>
      </c>
      <c r="E71" s="14" t="str">
        <f t="shared" si="15"/>
        <v>-</v>
      </c>
      <c r="F71" s="6">
        <f t="shared" si="16"/>
        <v>0</v>
      </c>
    </row>
    <row r="72" spans="1:6" x14ac:dyDescent="0.3">
      <c r="A72" t="s">
        <v>377</v>
      </c>
      <c r="B72" s="1">
        <v>132080</v>
      </c>
      <c r="C72" s="1">
        <v>0</v>
      </c>
      <c r="D72" s="1">
        <f t="shared" si="17"/>
        <v>132080</v>
      </c>
      <c r="E72" s="6">
        <f t="shared" si="15"/>
        <v>0</v>
      </c>
      <c r="F72" s="6">
        <f t="shared" si="16"/>
        <v>2.9922736877408561E-2</v>
      </c>
    </row>
    <row r="73" spans="1:6" x14ac:dyDescent="0.3">
      <c r="A73" t="s">
        <v>378</v>
      </c>
      <c r="B73" s="1">
        <v>26892901.52</v>
      </c>
      <c r="C73" s="1">
        <v>20267037.890000001</v>
      </c>
      <c r="D73" s="1">
        <f t="shared" si="17"/>
        <v>6625863.629999999</v>
      </c>
      <c r="E73" s="132">
        <f t="shared" si="15"/>
        <v>75.362035126360738</v>
      </c>
      <c r="F73" s="6">
        <f t="shared" si="16"/>
        <v>6.0925894613341969</v>
      </c>
    </row>
    <row r="74" spans="1:6" x14ac:dyDescent="0.3">
      <c r="A74" t="s">
        <v>379</v>
      </c>
      <c r="B74" s="1">
        <v>1587734.71</v>
      </c>
      <c r="C74" s="1">
        <v>353469.46</v>
      </c>
      <c r="D74" s="1">
        <f t="shared" si="17"/>
        <v>1234265.25</v>
      </c>
      <c r="E74" s="132">
        <f t="shared" si="15"/>
        <v>22.262501271386832</v>
      </c>
      <c r="F74" s="6">
        <f t="shared" si="16"/>
        <v>0.3597014533499287</v>
      </c>
    </row>
    <row r="75" spans="1:6" x14ac:dyDescent="0.3">
      <c r="A75" t="s">
        <v>380</v>
      </c>
      <c r="B75" s="1">
        <v>28248441.719999999</v>
      </c>
      <c r="C75" s="1">
        <v>21632979.25</v>
      </c>
      <c r="D75" s="1">
        <f t="shared" si="17"/>
        <v>6615462.4699999988</v>
      </c>
      <c r="E75" s="6">
        <f t="shared" si="15"/>
        <v>76.581141942012948</v>
      </c>
      <c r="F75" s="6">
        <f t="shared" si="16"/>
        <v>6.3996872258053488</v>
      </c>
    </row>
    <row r="76" spans="1:6" x14ac:dyDescent="0.3">
      <c r="A76" s="4" t="s">
        <v>207</v>
      </c>
      <c r="B76" s="3">
        <f>SUM(B67:B75)</f>
        <v>441403473.68999994</v>
      </c>
      <c r="C76" s="3">
        <f>SUM(C67:C75)</f>
        <v>313126864.29999995</v>
      </c>
      <c r="D76" s="3">
        <f t="shared" si="17"/>
        <v>128276609.38999999</v>
      </c>
      <c r="E76" s="133">
        <f t="shared" si="15"/>
        <v>70.938921636106258</v>
      </c>
      <c r="F76" s="133">
        <f t="shared" si="16"/>
        <v>100</v>
      </c>
    </row>
    <row r="77" spans="1:6" x14ac:dyDescent="0.3">
      <c r="A77" s="134" t="s">
        <v>381</v>
      </c>
      <c r="B77" s="137">
        <v>3349404249.4599996</v>
      </c>
      <c r="C77" s="134"/>
      <c r="D77" s="134"/>
      <c r="E77" s="134"/>
      <c r="F77" s="136">
        <f>B76/B77*100</f>
        <v>13.178566718578811</v>
      </c>
    </row>
    <row r="79" spans="1:6" x14ac:dyDescent="0.3">
      <c r="A79" s="13">
        <v>2017</v>
      </c>
      <c r="B79" s="13" t="s">
        <v>367</v>
      </c>
      <c r="C79" s="13" t="s">
        <v>368</v>
      </c>
      <c r="D79" s="13" t="s">
        <v>369</v>
      </c>
    </row>
    <row r="80" spans="1:6" x14ac:dyDescent="0.3">
      <c r="A80" t="s">
        <v>372</v>
      </c>
      <c r="B80" s="1">
        <v>168875407.62</v>
      </c>
      <c r="C80" s="1">
        <v>123728586.52</v>
      </c>
      <c r="D80" s="1">
        <f>B80-C80</f>
        <v>45146821.100000009</v>
      </c>
      <c r="E80" s="6">
        <f>IF(B80&gt;0,C80/B80*100,"-")</f>
        <v>73.266195631285484</v>
      </c>
      <c r="F80" s="6">
        <f>B80/B$89*100</f>
        <v>40.575535895692695</v>
      </c>
    </row>
    <row r="81" spans="1:6" x14ac:dyDescent="0.3">
      <c r="A81" t="s">
        <v>373</v>
      </c>
      <c r="B81" s="1">
        <v>76160657.459999993</v>
      </c>
      <c r="C81" s="1">
        <v>58086218.310000002</v>
      </c>
      <c r="D81" s="1">
        <f>B81-C81</f>
        <v>18074439.149999991</v>
      </c>
      <c r="E81" s="6">
        <f t="shared" ref="E81:E89" si="18">IF(B81&gt;0,C81/B81*100,"-")</f>
        <v>76.268010607060759</v>
      </c>
      <c r="F81" s="6">
        <f t="shared" ref="F81:F89" si="19">B81/B$89*100</f>
        <v>18.299049779713481</v>
      </c>
    </row>
    <row r="82" spans="1:6" x14ac:dyDescent="0.3">
      <c r="A82" t="s">
        <v>374</v>
      </c>
      <c r="B82" s="1">
        <v>84440316.480000004</v>
      </c>
      <c r="C82" s="1">
        <v>63614812.840000004</v>
      </c>
      <c r="D82" s="1">
        <f t="shared" ref="D82:D89" si="20">B82-C82</f>
        <v>20825503.640000001</v>
      </c>
      <c r="E82" s="6">
        <f t="shared" si="18"/>
        <v>75.337013753456745</v>
      </c>
      <c r="F82" s="6">
        <f t="shared" si="19"/>
        <v>20.288395691618295</v>
      </c>
    </row>
    <row r="83" spans="1:6" x14ac:dyDescent="0.3">
      <c r="A83" t="s">
        <v>375</v>
      </c>
      <c r="B83" s="1">
        <v>41361019</v>
      </c>
      <c r="C83" s="1">
        <v>20609004.25</v>
      </c>
      <c r="D83" s="1">
        <f t="shared" si="20"/>
        <v>20752014.75</v>
      </c>
      <c r="E83" s="6">
        <f t="shared" si="18"/>
        <v>49.827119225471691</v>
      </c>
      <c r="F83" s="6">
        <f t="shared" si="19"/>
        <v>9.937773265917329</v>
      </c>
    </row>
    <row r="84" spans="1:6" x14ac:dyDescent="0.3">
      <c r="A84" t="s">
        <v>376</v>
      </c>
      <c r="B84" s="1">
        <v>0</v>
      </c>
      <c r="C84" s="1">
        <v>0</v>
      </c>
      <c r="D84" s="1">
        <f t="shared" si="20"/>
        <v>0</v>
      </c>
      <c r="E84" s="14" t="str">
        <f t="shared" si="18"/>
        <v>-</v>
      </c>
      <c r="F84" s="6">
        <f t="shared" si="19"/>
        <v>0</v>
      </c>
    </row>
    <row r="85" spans="1:6" x14ac:dyDescent="0.3">
      <c r="A85" t="s">
        <v>377</v>
      </c>
      <c r="B85" s="1">
        <v>3711491.46</v>
      </c>
      <c r="C85" s="1">
        <v>0</v>
      </c>
      <c r="D85" s="1">
        <f t="shared" si="20"/>
        <v>3711491.46</v>
      </c>
      <c r="E85" s="6">
        <f t="shared" si="18"/>
        <v>0</v>
      </c>
      <c r="F85" s="6">
        <f t="shared" si="19"/>
        <v>0.89175657417600063</v>
      </c>
    </row>
    <row r="86" spans="1:6" x14ac:dyDescent="0.3">
      <c r="A86" t="s">
        <v>378</v>
      </c>
      <c r="B86" s="1">
        <v>14505889.24</v>
      </c>
      <c r="C86" s="1">
        <v>9201500.6999999993</v>
      </c>
      <c r="D86" s="1">
        <f t="shared" si="20"/>
        <v>5304388.540000001</v>
      </c>
      <c r="E86" s="132">
        <f t="shared" si="18"/>
        <v>63.432861975995614</v>
      </c>
      <c r="F86" s="6">
        <f t="shared" si="19"/>
        <v>3.4853164107883763</v>
      </c>
    </row>
    <row r="87" spans="1:6" x14ac:dyDescent="0.3">
      <c r="A87" t="s">
        <v>379</v>
      </c>
      <c r="B87" s="1">
        <v>433261</v>
      </c>
      <c r="C87" s="1">
        <v>46470.98</v>
      </c>
      <c r="D87" s="1">
        <f t="shared" si="20"/>
        <v>386790.02</v>
      </c>
      <c r="E87" s="132">
        <f t="shared" si="18"/>
        <v>10.725862701697132</v>
      </c>
      <c r="F87" s="6">
        <f t="shared" si="19"/>
        <v>0.10409921435844235</v>
      </c>
    </row>
    <row r="88" spans="1:6" x14ac:dyDescent="0.3">
      <c r="A88" t="s">
        <v>380</v>
      </c>
      <c r="B88" s="1">
        <v>26712024.829999998</v>
      </c>
      <c r="C88" s="1">
        <v>20125550.760000002</v>
      </c>
      <c r="D88" s="1">
        <f t="shared" si="20"/>
        <v>6586474.0699999966</v>
      </c>
      <c r="E88" s="6">
        <f t="shared" si="18"/>
        <v>75.342662670024197</v>
      </c>
      <c r="F88" s="6">
        <f t="shared" si="19"/>
        <v>6.4180731677353942</v>
      </c>
    </row>
    <row r="89" spans="1:6" x14ac:dyDescent="0.3">
      <c r="A89" s="4" t="s">
        <v>207</v>
      </c>
      <c r="B89" s="3">
        <f>SUM(B80:B88)</f>
        <v>416200067.08999997</v>
      </c>
      <c r="C89" s="3">
        <f>SUM(C80:C88)</f>
        <v>295412144.36000001</v>
      </c>
      <c r="D89" s="3">
        <f t="shared" si="20"/>
        <v>120787922.72999996</v>
      </c>
      <c r="E89" s="133">
        <f t="shared" si="18"/>
        <v>70.978399024649718</v>
      </c>
      <c r="F89" s="133">
        <f t="shared" si="19"/>
        <v>100</v>
      </c>
    </row>
    <row r="90" spans="1:6" x14ac:dyDescent="0.3">
      <c r="A90" s="134" t="s">
        <v>381</v>
      </c>
      <c r="B90" s="137">
        <v>3237838946.0599999</v>
      </c>
      <c r="C90" s="134"/>
      <c r="D90" s="134"/>
      <c r="E90" s="134"/>
      <c r="F90" s="136">
        <f>B89/B90*100</f>
        <v>12.854254767565187</v>
      </c>
    </row>
    <row r="92" spans="1:6" x14ac:dyDescent="0.3">
      <c r="A92" s="13">
        <v>2016</v>
      </c>
      <c r="B92" s="13" t="s">
        <v>367</v>
      </c>
      <c r="C92" s="13" t="s">
        <v>368</v>
      </c>
      <c r="D92" s="13" t="s">
        <v>369</v>
      </c>
    </row>
    <row r="93" spans="1:6" x14ac:dyDescent="0.3">
      <c r="A93" t="s">
        <v>372</v>
      </c>
      <c r="B93" s="1">
        <v>169408820.18000001</v>
      </c>
      <c r="C93" s="1">
        <v>114703193.81999999</v>
      </c>
      <c r="D93" s="1">
        <f>B93-C93</f>
        <v>54705626.360000014</v>
      </c>
      <c r="E93" s="6">
        <f>IF(B93&gt;0,C93/B93*100,"-")</f>
        <v>67.707923175502742</v>
      </c>
      <c r="F93" s="6">
        <f>B93/B$102*100</f>
        <v>39.647955967155838</v>
      </c>
    </row>
    <row r="94" spans="1:6" x14ac:dyDescent="0.3">
      <c r="A94" t="s">
        <v>373</v>
      </c>
      <c r="B94" s="1">
        <v>74984941.469999999</v>
      </c>
      <c r="C94" s="1">
        <v>53298105.240000002</v>
      </c>
      <c r="D94" s="1">
        <f>B94-C94</f>
        <v>21686836.229999997</v>
      </c>
      <c r="E94" s="6">
        <f t="shared" ref="E94:E102" si="21">IF(B94&gt;0,C94/B94*100,"-")</f>
        <v>71.078411471886696</v>
      </c>
      <c r="F94" s="6">
        <f t="shared" ref="F94:F102" si="22">B94/B$102*100</f>
        <v>17.549261333875361</v>
      </c>
    </row>
    <row r="95" spans="1:6" x14ac:dyDescent="0.3">
      <c r="A95" t="s">
        <v>374</v>
      </c>
      <c r="B95" s="1">
        <v>86749220.959999993</v>
      </c>
      <c r="C95" s="1">
        <v>56659942.409999996</v>
      </c>
      <c r="D95" s="1">
        <f t="shared" ref="D95:D102" si="23">B95-C95</f>
        <v>30089278.549999997</v>
      </c>
      <c r="E95" s="132">
        <f t="shared" si="21"/>
        <v>65.314641195597432</v>
      </c>
      <c r="F95" s="6">
        <f t="shared" si="22"/>
        <v>20.30253967386524</v>
      </c>
    </row>
    <row r="96" spans="1:6" x14ac:dyDescent="0.3">
      <c r="A96" t="s">
        <v>375</v>
      </c>
      <c r="B96" s="1">
        <v>50484544.700000003</v>
      </c>
      <c r="C96" s="1">
        <v>22578139.219999999</v>
      </c>
      <c r="D96" s="1">
        <f t="shared" si="23"/>
        <v>27906405.480000004</v>
      </c>
      <c r="E96" s="6">
        <f t="shared" si="21"/>
        <v>44.722873810526806</v>
      </c>
      <c r="F96" s="6">
        <f t="shared" si="22"/>
        <v>11.815258515824409</v>
      </c>
    </row>
    <row r="97" spans="1:9" x14ac:dyDescent="0.3">
      <c r="A97" t="s">
        <v>376</v>
      </c>
      <c r="B97" s="1">
        <v>0</v>
      </c>
      <c r="C97" s="1">
        <v>0</v>
      </c>
      <c r="D97" s="1">
        <f t="shared" si="23"/>
        <v>0</v>
      </c>
      <c r="E97" s="14" t="str">
        <f t="shared" si="21"/>
        <v>-</v>
      </c>
      <c r="F97" s="6">
        <f t="shared" si="22"/>
        <v>0</v>
      </c>
    </row>
    <row r="98" spans="1:9" x14ac:dyDescent="0.3">
      <c r="A98" t="s">
        <v>377</v>
      </c>
      <c r="B98" s="1">
        <v>2653353.71</v>
      </c>
      <c r="C98" s="1">
        <v>958952.29</v>
      </c>
      <c r="D98" s="1">
        <f t="shared" si="23"/>
        <v>1694401.42</v>
      </c>
      <c r="E98" s="6">
        <f t="shared" si="21"/>
        <v>36.141140413578711</v>
      </c>
      <c r="F98" s="6">
        <f t="shared" si="22"/>
        <v>0.62098331685205399</v>
      </c>
    </row>
    <row r="99" spans="1:9" x14ac:dyDescent="0.3">
      <c r="A99" t="s">
        <v>378</v>
      </c>
      <c r="B99" s="1">
        <v>15067624.710000001</v>
      </c>
      <c r="C99" s="1">
        <v>8459293.1199999992</v>
      </c>
      <c r="D99" s="1">
        <f t="shared" si="23"/>
        <v>6608331.5900000017</v>
      </c>
      <c r="E99" s="6">
        <f t="shared" si="21"/>
        <v>56.142180886585138</v>
      </c>
      <c r="F99" s="6">
        <f t="shared" si="22"/>
        <v>3.5263838116395609</v>
      </c>
    </row>
    <row r="100" spans="1:9" x14ac:dyDescent="0.3">
      <c r="A100" t="s">
        <v>379</v>
      </c>
      <c r="B100" s="1">
        <v>1021388</v>
      </c>
      <c r="C100" s="1">
        <v>182312.68</v>
      </c>
      <c r="D100" s="1">
        <f t="shared" si="23"/>
        <v>839075.32000000007</v>
      </c>
      <c r="E100" s="132">
        <f t="shared" si="21"/>
        <v>17.849502833399256</v>
      </c>
      <c r="F100" s="6">
        <f t="shared" si="22"/>
        <v>0.23904272756491474</v>
      </c>
    </row>
    <row r="101" spans="1:9" x14ac:dyDescent="0.3">
      <c r="A101" t="s">
        <v>380</v>
      </c>
      <c r="B101" s="1">
        <v>26912714.030000001</v>
      </c>
      <c r="C101" s="1">
        <v>19401614.32</v>
      </c>
      <c r="D101" s="1">
        <f t="shared" si="23"/>
        <v>7511099.7100000009</v>
      </c>
      <c r="E101" s="6">
        <f t="shared" si="21"/>
        <v>72.090887222941291</v>
      </c>
      <c r="F101" s="6">
        <f t="shared" si="22"/>
        <v>6.298574653222623</v>
      </c>
    </row>
    <row r="102" spans="1:9" x14ac:dyDescent="0.3">
      <c r="A102" s="4" t="s">
        <v>207</v>
      </c>
      <c r="B102" s="3">
        <f>SUM(B93:B101)</f>
        <v>427282607.75999999</v>
      </c>
      <c r="C102" s="3">
        <f>SUM(C93:C101)</f>
        <v>276241553.10000002</v>
      </c>
      <c r="D102" s="3">
        <f t="shared" si="23"/>
        <v>151041054.65999997</v>
      </c>
      <c r="E102" s="133">
        <f t="shared" si="21"/>
        <v>64.650783365177816</v>
      </c>
      <c r="F102" s="133">
        <f t="shared" si="22"/>
        <v>100</v>
      </c>
    </row>
    <row r="103" spans="1:9" x14ac:dyDescent="0.3">
      <c r="A103" s="134" t="s">
        <v>381</v>
      </c>
      <c r="B103" s="137">
        <v>3187020341.7799997</v>
      </c>
      <c r="C103" s="134"/>
      <c r="D103" s="134"/>
      <c r="E103" s="134"/>
      <c r="F103" s="136">
        <f>B102/B103*100</f>
        <v>13.406962050369472</v>
      </c>
    </row>
    <row r="105" spans="1:9" x14ac:dyDescent="0.3">
      <c r="B105" s="138">
        <v>2016</v>
      </c>
      <c r="C105" s="138">
        <v>2017</v>
      </c>
      <c r="D105" s="138">
        <v>2018</v>
      </c>
      <c r="E105" s="138">
        <v>2019</v>
      </c>
      <c r="F105" s="138">
        <v>2020</v>
      </c>
      <c r="G105" s="138">
        <v>2021</v>
      </c>
      <c r="H105" s="138">
        <v>2022</v>
      </c>
      <c r="I105" s="138">
        <v>2023</v>
      </c>
    </row>
    <row r="106" spans="1:9" x14ac:dyDescent="0.3">
      <c r="A106" t="s">
        <v>372</v>
      </c>
      <c r="B106" s="1">
        <f>B93</f>
        <v>169408820.18000001</v>
      </c>
      <c r="C106" s="1">
        <f>B80</f>
        <v>168875407.62</v>
      </c>
      <c r="D106" s="1">
        <f>B67</f>
        <v>181476838.86000001</v>
      </c>
      <c r="E106" s="1">
        <f>B54</f>
        <v>169419981.69</v>
      </c>
      <c r="F106" s="1">
        <f>B41</f>
        <v>163572437.09</v>
      </c>
      <c r="G106" s="1">
        <f>B28</f>
        <v>193796720.56</v>
      </c>
      <c r="H106" s="1">
        <f>B15</f>
        <v>195996388.81999999</v>
      </c>
      <c r="I106" s="1">
        <f>B2</f>
        <v>191475445.34999999</v>
      </c>
    </row>
    <row r="107" spans="1:9" x14ac:dyDescent="0.3">
      <c r="A107" t="s">
        <v>373</v>
      </c>
      <c r="B107" s="1">
        <f>B94</f>
        <v>74984941.469999999</v>
      </c>
      <c r="C107" s="1">
        <f>B81</f>
        <v>76160657.459999993</v>
      </c>
      <c r="D107" s="1">
        <f>B68</f>
        <v>74224547.969999999</v>
      </c>
      <c r="E107" s="1">
        <f>B55</f>
        <v>70310185.590000004</v>
      </c>
      <c r="F107" s="1">
        <f>B42</f>
        <v>68310228.390000001</v>
      </c>
      <c r="G107" s="1">
        <f t="shared" ref="G107" si="24">B29</f>
        <v>72213378.819999993</v>
      </c>
      <c r="H107" s="1">
        <f t="shared" ref="H107" si="25">B16</f>
        <v>72017957.579999998</v>
      </c>
      <c r="I107" s="1">
        <f>B3</f>
        <v>76588618.780000001</v>
      </c>
    </row>
    <row r="108" spans="1:9" x14ac:dyDescent="0.3">
      <c r="A108" t="s">
        <v>375</v>
      </c>
      <c r="B108" s="1">
        <f>B96</f>
        <v>50484544.700000003</v>
      </c>
      <c r="C108" s="1">
        <f>B83</f>
        <v>41361019</v>
      </c>
      <c r="D108" s="1">
        <f>B70</f>
        <v>48274965.57</v>
      </c>
      <c r="E108" s="1">
        <f>B57</f>
        <v>43727967.210000001</v>
      </c>
      <c r="F108" s="1">
        <f>B44</f>
        <v>44758965.140000001</v>
      </c>
      <c r="G108" s="1">
        <f>B31</f>
        <v>51824720.579999998</v>
      </c>
      <c r="H108" s="1">
        <f>B18</f>
        <v>50457131</v>
      </c>
      <c r="I108" s="1">
        <f>B5</f>
        <v>58577211.25</v>
      </c>
    </row>
    <row r="109" spans="1:9" x14ac:dyDescent="0.3">
      <c r="A109" t="s">
        <v>374</v>
      </c>
      <c r="B109" s="1">
        <f>B95</f>
        <v>86749220.959999993</v>
      </c>
      <c r="C109" s="1">
        <f>B82</f>
        <v>84440316.480000004</v>
      </c>
      <c r="D109" s="1">
        <f>B69</f>
        <v>80565963.340000004</v>
      </c>
      <c r="E109" s="1">
        <f>B56</f>
        <v>75573545.480000004</v>
      </c>
      <c r="F109" s="1">
        <f>B43</f>
        <v>65259722.649999999</v>
      </c>
      <c r="G109" s="1">
        <f>B30</f>
        <v>63273976.119999997</v>
      </c>
      <c r="H109" s="1">
        <f>B17</f>
        <v>58043402.700000003</v>
      </c>
      <c r="I109" s="1">
        <f>B4</f>
        <v>58384033.43</v>
      </c>
    </row>
    <row r="110" spans="1:9" x14ac:dyDescent="0.3">
      <c r="A110" t="s">
        <v>380</v>
      </c>
      <c r="B110" s="1">
        <f>B101</f>
        <v>26912714.030000001</v>
      </c>
      <c r="C110" s="1">
        <f>B88</f>
        <v>26712024.829999998</v>
      </c>
      <c r="D110" s="1">
        <f>B75</f>
        <v>28248441.719999999</v>
      </c>
      <c r="E110" s="1">
        <f>B62</f>
        <v>24433878.879999999</v>
      </c>
      <c r="F110" s="1">
        <f>B49</f>
        <v>23975383.300000001</v>
      </c>
      <c r="G110" s="1">
        <f>B36</f>
        <v>23975963.289999999</v>
      </c>
      <c r="H110" s="1">
        <f>B23</f>
        <v>29069863.510000002</v>
      </c>
      <c r="I110" s="1">
        <f>B10</f>
        <v>25564840.84</v>
      </c>
    </row>
    <row r="111" spans="1:9" x14ac:dyDescent="0.3">
      <c r="A111" t="s">
        <v>378</v>
      </c>
      <c r="B111" s="1">
        <f>B99</f>
        <v>15067624.710000001</v>
      </c>
      <c r="C111" s="1">
        <f>B86</f>
        <v>14505889.24</v>
      </c>
      <c r="D111" s="1">
        <f>B73</f>
        <v>26892901.52</v>
      </c>
      <c r="E111" s="1">
        <f>B60</f>
        <v>14538891.76</v>
      </c>
      <c r="F111" s="1">
        <f>B47</f>
        <v>27622089.18</v>
      </c>
      <c r="G111" s="1">
        <f>B34</f>
        <v>16408693.02</v>
      </c>
      <c r="H111" s="1">
        <f>B21</f>
        <v>18169496.120000001</v>
      </c>
      <c r="I111" s="1">
        <f>B8</f>
        <v>16188146.67</v>
      </c>
    </row>
    <row r="112" spans="1:9" x14ac:dyDescent="0.3">
      <c r="A112" t="s">
        <v>377</v>
      </c>
      <c r="B112" s="1">
        <f>B98</f>
        <v>2653353.71</v>
      </c>
      <c r="C112" s="1">
        <f>B85</f>
        <v>3711491.46</v>
      </c>
      <c r="D112" s="1">
        <f>B72</f>
        <v>132080</v>
      </c>
      <c r="E112" s="1">
        <f>B59</f>
        <v>2310322.0699999998</v>
      </c>
      <c r="F112" s="1">
        <f>B46</f>
        <v>8049638.7599999998</v>
      </c>
      <c r="G112" s="1">
        <f>B33</f>
        <v>897142</v>
      </c>
      <c r="H112" s="1">
        <f>B20</f>
        <v>15601856.77</v>
      </c>
      <c r="I112" s="1">
        <f>B7</f>
        <v>2490062.0499999998</v>
      </c>
    </row>
    <row r="113" spans="1:9" x14ac:dyDescent="0.3">
      <c r="A113" t="s">
        <v>379</v>
      </c>
      <c r="B113" s="1">
        <f>B100</f>
        <v>1021388</v>
      </c>
      <c r="C113" s="1">
        <f>B87</f>
        <v>433261</v>
      </c>
      <c r="D113" s="1">
        <f>B74</f>
        <v>1587734.71</v>
      </c>
      <c r="E113" s="1">
        <f>B61</f>
        <v>687870.22</v>
      </c>
      <c r="F113" s="1">
        <f>B48</f>
        <v>784673.71</v>
      </c>
      <c r="G113" s="1">
        <f>B35</f>
        <v>1230963.26</v>
      </c>
      <c r="H113" s="1">
        <f>B22</f>
        <v>898932.3</v>
      </c>
      <c r="I113" s="1">
        <f>B9</f>
        <v>298732.46999999997</v>
      </c>
    </row>
    <row r="114" spans="1:9" x14ac:dyDescent="0.3">
      <c r="A114" t="s">
        <v>376</v>
      </c>
      <c r="B114" s="1">
        <f>B97</f>
        <v>0</v>
      </c>
      <c r="C114" s="1">
        <f>B84</f>
        <v>0</v>
      </c>
      <c r="D114" s="1">
        <f>B71</f>
        <v>0</v>
      </c>
      <c r="E114" s="1">
        <f>B58</f>
        <v>0</v>
      </c>
      <c r="F114" s="1">
        <f>B45</f>
        <v>0</v>
      </c>
      <c r="G114" s="1">
        <f>B32</f>
        <v>17500</v>
      </c>
      <c r="H114" s="1">
        <f>B19</f>
        <v>47000</v>
      </c>
      <c r="I114" s="1">
        <f>B6</f>
        <v>34280</v>
      </c>
    </row>
    <row r="115" spans="1:9" x14ac:dyDescent="0.3">
      <c r="B115" s="1">
        <f t="shared" ref="B115:I115" si="26">SUM(B106:B114)</f>
        <v>427282607.75999999</v>
      </c>
      <c r="C115" s="1">
        <f t="shared" si="26"/>
        <v>416200067.08999997</v>
      </c>
      <c r="D115" s="1">
        <f t="shared" si="26"/>
        <v>441403473.69</v>
      </c>
      <c r="E115" s="1">
        <f t="shared" si="26"/>
        <v>401002642.90000004</v>
      </c>
      <c r="F115" s="1">
        <f t="shared" si="26"/>
        <v>402333138.21999997</v>
      </c>
      <c r="G115" s="1">
        <f t="shared" si="26"/>
        <v>423639057.64999998</v>
      </c>
      <c r="H115" s="1">
        <f t="shared" si="26"/>
        <v>440302028.79999995</v>
      </c>
      <c r="I115" s="1">
        <f t="shared" si="26"/>
        <v>429601370.84000003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I4" sqref="I4"/>
    </sheetView>
  </sheetViews>
  <sheetFormatPr defaultRowHeight="14.4" x14ac:dyDescent="0.3"/>
  <cols>
    <col min="1" max="1" width="40.77734375" bestFit="1" customWidth="1"/>
    <col min="2" max="9" width="12.5546875" bestFit="1" customWidth="1"/>
  </cols>
  <sheetData>
    <row r="1" spans="1:10" x14ac:dyDescent="0.3">
      <c r="B1" s="13">
        <v>2016</v>
      </c>
      <c r="C1" s="13">
        <v>2017</v>
      </c>
      <c r="D1" s="13">
        <v>2018</v>
      </c>
      <c r="E1" s="13">
        <v>2019</v>
      </c>
      <c r="F1" s="13">
        <v>2020</v>
      </c>
      <c r="G1" s="13">
        <v>2021</v>
      </c>
      <c r="H1" s="13">
        <v>2022</v>
      </c>
      <c r="I1" s="13">
        <v>2023</v>
      </c>
    </row>
    <row r="2" spans="1:10" x14ac:dyDescent="0.3">
      <c r="A2" s="5" t="s">
        <v>39</v>
      </c>
      <c r="B2" s="1">
        <v>88875129.930000007</v>
      </c>
      <c r="C2" s="1">
        <v>90675616.609999999</v>
      </c>
      <c r="D2" s="1">
        <v>94108788</v>
      </c>
      <c r="E2" s="1">
        <v>82531623.659999996</v>
      </c>
      <c r="F2" s="1">
        <v>81802193.459999993</v>
      </c>
      <c r="G2" s="131">
        <v>79168011.549999997</v>
      </c>
      <c r="H2" s="131">
        <v>82796299.25</v>
      </c>
      <c r="I2" s="131">
        <v>78864217.689999998</v>
      </c>
      <c r="J2" s="6">
        <f t="shared" ref="J2:J17" si="0">I2/I$15*100</f>
        <v>18.563724993347051</v>
      </c>
    </row>
    <row r="3" spans="1:10" x14ac:dyDescent="0.3">
      <c r="A3" s="5" t="s">
        <v>40</v>
      </c>
      <c r="B3" s="1">
        <v>2752180</v>
      </c>
      <c r="C3" s="1">
        <v>2781752.51</v>
      </c>
      <c r="D3" s="1">
        <v>2859839.81</v>
      </c>
      <c r="E3" s="1">
        <v>2875517.52</v>
      </c>
      <c r="F3" s="1">
        <v>2866767.43</v>
      </c>
      <c r="G3" s="131">
        <v>2870035.03</v>
      </c>
      <c r="H3" s="131">
        <v>2989881.79</v>
      </c>
      <c r="I3" s="131">
        <v>2835751.96</v>
      </c>
      <c r="J3" s="6">
        <f t="shared" si="0"/>
        <v>0.66750322360022485</v>
      </c>
    </row>
    <row r="4" spans="1:10" x14ac:dyDescent="0.3">
      <c r="A4" s="5" t="s">
        <v>41</v>
      </c>
      <c r="B4" s="1">
        <v>257507101.08000001</v>
      </c>
      <c r="C4" s="1">
        <v>255080975.56</v>
      </c>
      <c r="D4" s="1">
        <v>272620703.33999997</v>
      </c>
      <c r="E4" s="1">
        <v>264311534.16</v>
      </c>
      <c r="F4" s="1">
        <v>236575015.02000001</v>
      </c>
      <c r="G4" s="131">
        <v>270610238.43000001</v>
      </c>
      <c r="H4" s="131">
        <v>272010968.99000001</v>
      </c>
      <c r="I4" s="131">
        <v>277044253.31</v>
      </c>
      <c r="J4" s="6">
        <f t="shared" si="0"/>
        <v>65.213013963443501</v>
      </c>
    </row>
    <row r="5" spans="1:10" x14ac:dyDescent="0.3">
      <c r="A5" s="5" t="s">
        <v>42</v>
      </c>
      <c r="B5" s="1">
        <v>54795865.009999998</v>
      </c>
      <c r="C5" s="1">
        <v>48578389.700000003</v>
      </c>
      <c r="D5" s="1">
        <v>38956683.950000003</v>
      </c>
      <c r="E5" s="1">
        <v>34434117.479999997</v>
      </c>
      <c r="F5" s="1">
        <v>63199354.950000003</v>
      </c>
      <c r="G5" s="131">
        <v>53885358.060000002</v>
      </c>
      <c r="H5" s="131">
        <v>62189830.450000003</v>
      </c>
      <c r="I5" s="131">
        <v>51247886.469999999</v>
      </c>
      <c r="J5" s="6">
        <f t="shared" si="0"/>
        <v>12.063159932162526</v>
      </c>
    </row>
    <row r="6" spans="1:10" x14ac:dyDescent="0.3">
      <c r="A6" s="5" t="s">
        <v>43</v>
      </c>
      <c r="B6" s="1">
        <v>4607454.29</v>
      </c>
      <c r="C6" s="1">
        <v>4674712.46</v>
      </c>
      <c r="D6" s="1">
        <v>4697071.5</v>
      </c>
      <c r="E6" s="1">
        <v>4723406.29</v>
      </c>
      <c r="F6" s="1">
        <v>4729189.99</v>
      </c>
      <c r="G6" s="131">
        <v>4694910.04</v>
      </c>
      <c r="H6" s="131">
        <v>4623111.9000000004</v>
      </c>
      <c r="I6" s="131">
        <v>5483554.8200000003</v>
      </c>
      <c r="J6" s="6">
        <f t="shared" si="0"/>
        <v>1.2907654021822668</v>
      </c>
    </row>
    <row r="7" spans="1:10" x14ac:dyDescent="0.3">
      <c r="A7" s="5" t="s">
        <v>44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31">
        <v>0</v>
      </c>
      <c r="H7" s="131">
        <v>0</v>
      </c>
      <c r="I7" s="131">
        <v>0</v>
      </c>
      <c r="J7" s="6">
        <f t="shared" si="0"/>
        <v>0</v>
      </c>
    </row>
    <row r="8" spans="1:10" x14ac:dyDescent="0.3">
      <c r="A8" s="5" t="s">
        <v>45</v>
      </c>
      <c r="B8" s="1">
        <v>947981.4</v>
      </c>
      <c r="C8" s="1">
        <v>443858.28</v>
      </c>
      <c r="D8" s="1">
        <v>428702.8</v>
      </c>
      <c r="E8" s="1">
        <v>155408.1</v>
      </c>
      <c r="F8" s="1">
        <v>2701767.83</v>
      </c>
      <c r="G8" s="131">
        <v>173647.97</v>
      </c>
      <c r="H8" s="131">
        <v>84745.78</v>
      </c>
      <c r="I8" s="131">
        <v>226319.99</v>
      </c>
      <c r="J8" s="6">
        <f t="shared" si="0"/>
        <v>5.3273108868862662E-2</v>
      </c>
    </row>
    <row r="9" spans="1:10" x14ac:dyDescent="0.3">
      <c r="A9" s="5" t="s">
        <v>46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31">
        <v>0</v>
      </c>
      <c r="H9" s="131">
        <v>0</v>
      </c>
      <c r="I9" s="131">
        <v>0</v>
      </c>
      <c r="J9" s="6">
        <f t="shared" si="0"/>
        <v>0</v>
      </c>
    </row>
    <row r="10" spans="1:10" x14ac:dyDescent="0.3">
      <c r="A10" s="5" t="s">
        <v>47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31">
        <v>0</v>
      </c>
      <c r="H10" s="131">
        <v>0</v>
      </c>
      <c r="I10" s="131">
        <v>0</v>
      </c>
      <c r="J10" s="6">
        <f t="shared" si="0"/>
        <v>0</v>
      </c>
    </row>
    <row r="11" spans="1:10" x14ac:dyDescent="0.3">
      <c r="A11" s="5" t="s">
        <v>48</v>
      </c>
      <c r="B11" s="1">
        <v>10851421.48</v>
      </c>
      <c r="C11" s="1">
        <v>6310833.29</v>
      </c>
      <c r="D11" s="1">
        <v>21475107.030000001</v>
      </c>
      <c r="E11" s="1">
        <v>3976716.22</v>
      </c>
      <c r="F11" s="1">
        <v>5012795.93</v>
      </c>
      <c r="G11" s="131">
        <v>6043233.4000000004</v>
      </c>
      <c r="H11" s="131">
        <v>8079829.9199999999</v>
      </c>
      <c r="I11" s="131">
        <v>7912657.0499999998</v>
      </c>
      <c r="J11" s="6">
        <f t="shared" si="0"/>
        <v>1.8625479811422034</v>
      </c>
    </row>
    <row r="12" spans="1:10" x14ac:dyDescent="0.3">
      <c r="A12" s="5" t="s">
        <v>49</v>
      </c>
      <c r="B12" s="1">
        <v>0</v>
      </c>
      <c r="C12" s="1">
        <v>8024.27</v>
      </c>
      <c r="D12" s="1">
        <v>0</v>
      </c>
      <c r="E12" s="1">
        <v>0</v>
      </c>
      <c r="F12" s="1">
        <v>0</v>
      </c>
      <c r="G12" s="131">
        <v>954151.2</v>
      </c>
      <c r="H12" s="131">
        <v>999569.26</v>
      </c>
      <c r="I12" s="131">
        <v>1215061.3600000001</v>
      </c>
      <c r="J12" s="6">
        <f t="shared" si="0"/>
        <v>0.28601139525336816</v>
      </c>
    </row>
    <row r="13" spans="1:10" x14ac:dyDescent="0.3">
      <c r="A13" s="5" t="s">
        <v>50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31">
        <v>0</v>
      </c>
      <c r="H13" s="131">
        <v>0</v>
      </c>
      <c r="I13" s="131">
        <v>0</v>
      </c>
      <c r="J13" s="6">
        <f t="shared" si="0"/>
        <v>0</v>
      </c>
    </row>
    <row r="14" spans="1:10" x14ac:dyDescent="0.3">
      <c r="A14" s="5" t="s">
        <v>51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31">
        <v>0</v>
      </c>
      <c r="H14" s="131">
        <v>0</v>
      </c>
      <c r="I14" s="131">
        <v>0</v>
      </c>
      <c r="J14" s="6">
        <f t="shared" si="0"/>
        <v>0</v>
      </c>
    </row>
    <row r="15" spans="1:10" x14ac:dyDescent="0.3">
      <c r="A15" s="139" t="s">
        <v>382</v>
      </c>
      <c r="B15" s="3">
        <f t="shared" ref="B15:H15" si="1">SUM(B2:B14)</f>
        <v>420337133.19</v>
      </c>
      <c r="C15" s="3">
        <f t="shared" si="1"/>
        <v>408554162.67999995</v>
      </c>
      <c r="D15" s="3">
        <f t="shared" si="1"/>
        <v>435146896.42999995</v>
      </c>
      <c r="E15" s="3">
        <f t="shared" si="1"/>
        <v>393008323.43000007</v>
      </c>
      <c r="F15" s="3">
        <f t="shared" si="1"/>
        <v>396887084.61000001</v>
      </c>
      <c r="G15" s="3">
        <f t="shared" ref="G15" si="2">SUM(G2:G14)</f>
        <v>418399585.68000001</v>
      </c>
      <c r="H15" s="3">
        <f t="shared" si="1"/>
        <v>433774237.33999997</v>
      </c>
      <c r="I15" s="3">
        <f t="shared" ref="I15" si="3">SUM(I2:I14)</f>
        <v>424829702.64999998</v>
      </c>
      <c r="J15" s="6">
        <f t="shared" si="0"/>
        <v>100</v>
      </c>
    </row>
    <row r="16" spans="1:10" x14ac:dyDescent="0.3">
      <c r="A16" s="139" t="s">
        <v>383</v>
      </c>
      <c r="B16" s="3">
        <f t="shared" ref="B16:H16" si="4">SUM(B2:B9)</f>
        <v>409485711.70999998</v>
      </c>
      <c r="C16" s="3">
        <f t="shared" si="4"/>
        <v>402235305.11999995</v>
      </c>
      <c r="D16" s="3">
        <f t="shared" si="4"/>
        <v>413671789.39999998</v>
      </c>
      <c r="E16" s="3">
        <f t="shared" si="4"/>
        <v>389031607.21000004</v>
      </c>
      <c r="F16" s="3">
        <f t="shared" si="4"/>
        <v>391874288.68000001</v>
      </c>
      <c r="G16" s="3">
        <f t="shared" si="4"/>
        <v>411402201.08000004</v>
      </c>
      <c r="H16" s="3">
        <f t="shared" si="4"/>
        <v>424694838.15999997</v>
      </c>
      <c r="I16" s="3">
        <f t="shared" ref="I16" si="5">SUM(I2:I9)</f>
        <v>415701984.23999995</v>
      </c>
      <c r="J16" s="6">
        <f t="shared" si="0"/>
        <v>97.851440623604418</v>
      </c>
    </row>
    <row r="17" spans="1:10" x14ac:dyDescent="0.3">
      <c r="A17" s="139" t="s">
        <v>384</v>
      </c>
      <c r="B17" s="3">
        <f t="shared" ref="B17:H17" si="6">SUM(B10:B14)</f>
        <v>10851421.48</v>
      </c>
      <c r="C17" s="3">
        <f t="shared" si="6"/>
        <v>6318857.5599999996</v>
      </c>
      <c r="D17" s="3">
        <f t="shared" si="6"/>
        <v>21475107.030000001</v>
      </c>
      <c r="E17" s="3">
        <f t="shared" si="6"/>
        <v>3976716.22</v>
      </c>
      <c r="F17" s="3">
        <f t="shared" si="6"/>
        <v>5012795.93</v>
      </c>
      <c r="G17" s="3">
        <f t="shared" si="6"/>
        <v>6997384.6000000006</v>
      </c>
      <c r="H17" s="3">
        <f t="shared" si="6"/>
        <v>9079399.1799999997</v>
      </c>
      <c r="I17" s="3">
        <f t="shared" ref="I17" si="7">SUM(I10:I14)</f>
        <v>9127718.4100000001</v>
      </c>
      <c r="J17" s="6">
        <f t="shared" si="0"/>
        <v>2.1485593763955717</v>
      </c>
    </row>
    <row r="18" spans="1:10" x14ac:dyDescent="0.3">
      <c r="A18" s="140" t="s">
        <v>385</v>
      </c>
      <c r="B18" s="141">
        <f>B16/B15*100</f>
        <v>97.418400464016358</v>
      </c>
      <c r="C18" s="141">
        <f t="shared" ref="C18:H18" si="8">C16/C15*100</f>
        <v>98.453361111645492</v>
      </c>
      <c r="D18" s="141">
        <f t="shared" si="8"/>
        <v>95.064860348037755</v>
      </c>
      <c r="E18" s="141">
        <f t="shared" si="8"/>
        <v>98.988134351635864</v>
      </c>
      <c r="F18" s="141">
        <f t="shared" si="8"/>
        <v>98.736971767442157</v>
      </c>
      <c r="G18" s="141">
        <f t="shared" si="8"/>
        <v>98.327583286530384</v>
      </c>
      <c r="H18" s="141">
        <f t="shared" si="8"/>
        <v>97.90688372004827</v>
      </c>
      <c r="I18" s="141">
        <f t="shared" ref="I18" si="9">I16/I15*100</f>
        <v>97.851440623604418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topLeftCell="B1" workbookViewId="0">
      <selection activeCell="K2" sqref="K2:K23"/>
    </sheetView>
  </sheetViews>
  <sheetFormatPr defaultRowHeight="14.4" x14ac:dyDescent="0.3"/>
  <cols>
    <col min="1" max="1" width="36.44140625" bestFit="1" customWidth="1"/>
    <col min="2" max="2" width="14.88671875" bestFit="1" customWidth="1"/>
    <col min="3" max="3" width="12.6640625" bestFit="1" customWidth="1"/>
    <col min="4" max="11" width="13.5546875" bestFit="1" customWidth="1"/>
  </cols>
  <sheetData>
    <row r="1" spans="1:11" x14ac:dyDescent="0.3">
      <c r="A1" s="46"/>
      <c r="B1" s="73">
        <v>2014</v>
      </c>
      <c r="C1" s="73">
        <v>2015</v>
      </c>
      <c r="D1" s="73">
        <v>2016</v>
      </c>
      <c r="E1" s="73">
        <v>2017</v>
      </c>
      <c r="F1" s="73">
        <v>2018</v>
      </c>
      <c r="G1" s="73">
        <v>2019</v>
      </c>
      <c r="H1" s="73">
        <v>2020</v>
      </c>
      <c r="I1" s="73">
        <v>2021</v>
      </c>
      <c r="J1" s="73">
        <v>2022</v>
      </c>
      <c r="K1" s="73">
        <v>2023</v>
      </c>
    </row>
    <row r="2" spans="1:11" x14ac:dyDescent="0.3">
      <c r="A2" t="s">
        <v>5</v>
      </c>
      <c r="B2" s="1">
        <v>755165246.26999998</v>
      </c>
      <c r="C2" s="1">
        <v>1021662651.45</v>
      </c>
      <c r="D2" s="1">
        <v>1209905386.22</v>
      </c>
      <c r="E2" s="1">
        <v>1141161235.97</v>
      </c>
      <c r="F2" s="1">
        <v>1531257919.29</v>
      </c>
      <c r="G2" s="1">
        <v>1859291766.8299999</v>
      </c>
      <c r="H2" s="1">
        <v>2041599161.47</v>
      </c>
      <c r="I2" s="1">
        <v>2412003102.8499999</v>
      </c>
      <c r="J2" s="1">
        <v>2774757152.0500002</v>
      </c>
      <c r="K2" s="1">
        <v>2703674550.4000001</v>
      </c>
    </row>
    <row r="3" spans="1:11" x14ac:dyDescent="0.3">
      <c r="A3" t="s">
        <v>6</v>
      </c>
      <c r="B3" s="1">
        <v>2882554645.2399998</v>
      </c>
      <c r="C3" s="1">
        <v>3089434233.2199998</v>
      </c>
      <c r="D3" s="1">
        <v>3201933505.4000001</v>
      </c>
      <c r="E3" s="1">
        <v>3453994339.8299999</v>
      </c>
      <c r="F3" s="1">
        <v>3626890458.7600002</v>
      </c>
      <c r="G3" s="1">
        <v>3785781227.02</v>
      </c>
      <c r="H3" s="1">
        <v>3610116011.7199998</v>
      </c>
      <c r="I3" s="1">
        <v>3425668572.1900001</v>
      </c>
      <c r="J3" s="1">
        <v>3288569149.8699999</v>
      </c>
      <c r="K3" s="1">
        <v>3219686659.6999998</v>
      </c>
    </row>
    <row r="4" spans="1:11" x14ac:dyDescent="0.3">
      <c r="A4" t="s">
        <v>7</v>
      </c>
      <c r="B4" s="1">
        <v>1084793901.76</v>
      </c>
      <c r="C4" s="1">
        <v>1051013280.3</v>
      </c>
      <c r="D4" s="1">
        <v>1131894908.6500001</v>
      </c>
      <c r="E4" s="1">
        <v>994134161.87</v>
      </c>
      <c r="F4" s="1">
        <v>1040089749.11</v>
      </c>
      <c r="G4" s="1">
        <v>1070054815.74</v>
      </c>
      <c r="H4" s="1">
        <v>1086194215.72</v>
      </c>
      <c r="I4" s="1">
        <v>1032004991.03</v>
      </c>
      <c r="J4" s="1">
        <v>1193152248.1700001</v>
      </c>
      <c r="K4" s="1">
        <v>970821986.95000005</v>
      </c>
    </row>
    <row r="5" spans="1:11" x14ac:dyDescent="0.3">
      <c r="A5" t="s">
        <v>8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29625546.219999999</v>
      </c>
      <c r="I5" s="1">
        <v>30756228.289999999</v>
      </c>
      <c r="J5" s="1">
        <v>32050516.98</v>
      </c>
      <c r="K5" s="1">
        <v>35728104.020000003</v>
      </c>
    </row>
    <row r="6" spans="1:11" x14ac:dyDescent="0.3">
      <c r="A6" t="s">
        <v>9</v>
      </c>
      <c r="B6" s="1">
        <v>819058061.04999995</v>
      </c>
      <c r="C6" s="1">
        <v>799962660.75999999</v>
      </c>
      <c r="D6" s="1">
        <v>755539293.55999994</v>
      </c>
      <c r="E6" s="1">
        <v>812487068.52999997</v>
      </c>
      <c r="F6" s="1">
        <v>1065643655.16</v>
      </c>
      <c r="G6" s="1">
        <v>1273282117.8399999</v>
      </c>
      <c r="H6" s="1">
        <v>1207430340.8299999</v>
      </c>
      <c r="I6" s="1">
        <v>1037982298.12</v>
      </c>
      <c r="J6" s="1">
        <v>1195325366.8800001</v>
      </c>
      <c r="K6" s="1">
        <v>1361279520.5</v>
      </c>
    </row>
    <row r="7" spans="1:11" x14ac:dyDescent="0.3">
      <c r="A7" s="4" t="s">
        <v>0</v>
      </c>
      <c r="B7" s="3">
        <f>B2+B3-B4-B5-B6</f>
        <v>1733867928.7</v>
      </c>
      <c r="C7" s="3">
        <f>C2+C3-C4-C5-C6</f>
        <v>2260120943.6099997</v>
      </c>
      <c r="D7" s="3">
        <f>D2+D3-D4-D5-D6</f>
        <v>2524404689.4099998</v>
      </c>
      <c r="E7" s="3">
        <f>E2+E3-E4-E5-E6</f>
        <v>2788534345.4000006</v>
      </c>
      <c r="F7" s="3">
        <f>F2+F3-F4-F5-F6</f>
        <v>3052414973.7800002</v>
      </c>
      <c r="G7" s="3">
        <f t="shared" ref="G7" si="0">G2+G3-G4-G5-G6</f>
        <v>3301736060.2700005</v>
      </c>
      <c r="H7" s="3">
        <f t="shared" ref="H7:K7" si="1">H2+H3-H4-H5-H6</f>
        <v>3328465070.4199991</v>
      </c>
      <c r="I7" s="3">
        <f t="shared" ref="I7:J7" si="2">I2+I3-I4-I5-I6</f>
        <v>3736928157.6000004</v>
      </c>
      <c r="J7" s="3">
        <f t="shared" si="2"/>
        <v>3642798169.8900003</v>
      </c>
      <c r="K7" s="3">
        <f t="shared" si="1"/>
        <v>3555531598.6300001</v>
      </c>
    </row>
    <row r="8" spans="1:11" x14ac:dyDescent="0.3">
      <c r="A8" t="s">
        <v>10</v>
      </c>
      <c r="B8" s="1">
        <v>1021865323</v>
      </c>
      <c r="C8" s="1">
        <v>1350846000</v>
      </c>
      <c r="D8" s="1">
        <v>1594960000</v>
      </c>
      <c r="E8" s="1">
        <v>1849686187.6099999</v>
      </c>
      <c r="F8" s="1">
        <v>2020000000</v>
      </c>
      <c r="G8" s="1">
        <v>2100000000</v>
      </c>
      <c r="H8" s="1">
        <v>2050000000</v>
      </c>
      <c r="I8" s="1">
        <v>2000000000</v>
      </c>
      <c r="J8" s="1">
        <v>1860000000</v>
      </c>
      <c r="K8" s="1">
        <v>1670000000</v>
      </c>
    </row>
    <row r="9" spans="1:11" x14ac:dyDescent="0.3">
      <c r="A9" t="s">
        <v>11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x14ac:dyDescent="0.3">
      <c r="A10" t="s">
        <v>12</v>
      </c>
      <c r="B10" s="1">
        <v>0</v>
      </c>
      <c r="C10" s="1">
        <v>0</v>
      </c>
      <c r="D10" s="1">
        <v>0</v>
      </c>
      <c r="E10" s="1">
        <v>1206110</v>
      </c>
      <c r="F10" s="1">
        <v>3458940</v>
      </c>
      <c r="G10" s="1">
        <v>3469182</v>
      </c>
      <c r="H10" s="1">
        <v>3469182</v>
      </c>
      <c r="I10" s="1">
        <v>3469182</v>
      </c>
      <c r="J10" s="1">
        <v>2716701</v>
      </c>
      <c r="K10" s="1">
        <v>2370104</v>
      </c>
    </row>
    <row r="11" spans="1:11" x14ac:dyDescent="0.3">
      <c r="A11" t="s">
        <v>13</v>
      </c>
      <c r="B11" s="1">
        <v>0</v>
      </c>
      <c r="C11" s="1">
        <v>0</v>
      </c>
      <c r="D11" s="1">
        <v>0</v>
      </c>
      <c r="E11" s="1">
        <v>15000000</v>
      </c>
      <c r="F11" s="1">
        <v>25000000</v>
      </c>
      <c r="G11" s="1">
        <v>30000000</v>
      </c>
      <c r="H11" s="1">
        <v>70000000</v>
      </c>
      <c r="I11" s="1">
        <v>100000000</v>
      </c>
      <c r="J11" s="1">
        <v>150000000</v>
      </c>
      <c r="K11" s="1">
        <v>150000000</v>
      </c>
    </row>
    <row r="12" spans="1:11" x14ac:dyDescent="0.3">
      <c r="A12" t="s">
        <v>14</v>
      </c>
      <c r="B12" s="1">
        <v>17413675</v>
      </c>
      <c r="C12" s="1">
        <v>60276810</v>
      </c>
      <c r="D12" s="1">
        <v>64276810</v>
      </c>
      <c r="E12" s="1">
        <v>87607510</v>
      </c>
      <c r="F12" s="1">
        <v>90000000</v>
      </c>
      <c r="G12" s="1">
        <v>123892670</v>
      </c>
      <c r="H12" s="1">
        <v>133910280</v>
      </c>
      <c r="I12" s="1">
        <v>245751570</v>
      </c>
      <c r="J12" s="1">
        <v>284763520</v>
      </c>
      <c r="K12" s="1">
        <v>408775920</v>
      </c>
    </row>
    <row r="13" spans="1:11" x14ac:dyDescent="0.3">
      <c r="A13" s="4" t="s">
        <v>1</v>
      </c>
      <c r="B13" s="3">
        <f>SUM(B8:B12)</f>
        <v>1039278998</v>
      </c>
      <c r="C13" s="3">
        <f>SUM(C8:C12)</f>
        <v>1411122810</v>
      </c>
      <c r="D13" s="3">
        <f>SUM(D8:D12)</f>
        <v>1659236810</v>
      </c>
      <c r="E13" s="3">
        <f>SUM(E8:E12)</f>
        <v>1953499807.6099999</v>
      </c>
      <c r="F13" s="3">
        <f>SUM(F8:F12)</f>
        <v>2138458940</v>
      </c>
      <c r="G13" s="3">
        <f t="shared" ref="G13" si="3">SUM(G8:G12)</f>
        <v>2257361852</v>
      </c>
      <c r="H13" s="3">
        <f t="shared" ref="H13:K13" si="4">SUM(H8:H12)</f>
        <v>2257379462</v>
      </c>
      <c r="I13" s="3">
        <f t="shared" ref="I13:J13" si="5">SUM(I8:I12)</f>
        <v>2349220752</v>
      </c>
      <c r="J13" s="3">
        <f t="shared" si="5"/>
        <v>2297480221</v>
      </c>
      <c r="K13" s="3">
        <f t="shared" si="4"/>
        <v>2231146024</v>
      </c>
    </row>
    <row r="14" spans="1:11" x14ac:dyDescent="0.3">
      <c r="A14" t="s">
        <v>16</v>
      </c>
      <c r="B14" s="1"/>
      <c r="C14" s="1">
        <v>503293997.5</v>
      </c>
      <c r="D14" s="1">
        <v>493716717.85000002</v>
      </c>
      <c r="E14" s="1">
        <v>495786232.77999997</v>
      </c>
      <c r="F14" s="1">
        <v>530527046.26999998</v>
      </c>
      <c r="G14" s="1">
        <v>588481127.84000003</v>
      </c>
      <c r="H14" s="1">
        <v>581305224.75999999</v>
      </c>
      <c r="I14" s="1">
        <v>653111721.60000002</v>
      </c>
      <c r="J14" s="1">
        <v>595929225.88999999</v>
      </c>
      <c r="K14" s="1">
        <v>570459957.70000005</v>
      </c>
    </row>
    <row r="15" spans="1:11" x14ac:dyDescent="0.3">
      <c r="A15" t="s">
        <v>15</v>
      </c>
      <c r="B15" s="1"/>
      <c r="C15" s="1">
        <v>12259451.699999999</v>
      </c>
      <c r="D15" s="1">
        <v>15096908.970000001</v>
      </c>
      <c r="E15" s="1">
        <v>23482288.829999998</v>
      </c>
      <c r="F15" s="1">
        <v>25700010.23</v>
      </c>
      <c r="G15" s="1">
        <v>47221864.810000002</v>
      </c>
      <c r="H15" s="1">
        <v>128130338.73999999</v>
      </c>
      <c r="I15" s="1">
        <v>153776736.16</v>
      </c>
      <c r="J15" s="1">
        <v>212573414.63999999</v>
      </c>
      <c r="K15" s="1">
        <v>193542159.47</v>
      </c>
    </row>
    <row r="16" spans="1:11" x14ac:dyDescent="0.3">
      <c r="A16" t="s">
        <v>17</v>
      </c>
      <c r="B16" s="1"/>
      <c r="C16" s="1">
        <v>5314052.2</v>
      </c>
      <c r="D16" s="1">
        <v>3924326.38</v>
      </c>
      <c r="E16" s="1">
        <v>5456758.0700000003</v>
      </c>
      <c r="F16" s="1">
        <v>2990866.41</v>
      </c>
      <c r="G16" s="1">
        <v>3032902.4</v>
      </c>
      <c r="H16" s="1">
        <v>2161187.36</v>
      </c>
      <c r="I16" s="1">
        <v>7858769.8399999999</v>
      </c>
      <c r="J16" s="1">
        <v>3156829.73</v>
      </c>
      <c r="K16" s="1">
        <v>7315256.6100000003</v>
      </c>
    </row>
    <row r="17" spans="1:11" x14ac:dyDescent="0.3">
      <c r="A17" t="s">
        <v>18</v>
      </c>
      <c r="B17" s="1"/>
      <c r="C17" s="1">
        <v>100746321.04000001</v>
      </c>
      <c r="D17" s="1">
        <v>129473120.75</v>
      </c>
      <c r="E17" s="1">
        <v>145597480.40000001</v>
      </c>
      <c r="F17" s="1">
        <v>145576225.19</v>
      </c>
      <c r="G17" s="1">
        <v>107596661.48999999</v>
      </c>
      <c r="H17" s="1">
        <v>69820027.719999999</v>
      </c>
      <c r="I17" s="1">
        <v>67421599.799999997</v>
      </c>
      <c r="J17" s="1">
        <v>51911197.159999996</v>
      </c>
      <c r="K17" s="1">
        <v>47266124.719999999</v>
      </c>
    </row>
    <row r="18" spans="1:11" x14ac:dyDescent="0.3">
      <c r="A18" t="s">
        <v>19</v>
      </c>
      <c r="B18" s="1"/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3">
      <c r="A19" s="4" t="s">
        <v>2</v>
      </c>
      <c r="B19" s="3">
        <v>538040533.32000005</v>
      </c>
      <c r="C19" s="3">
        <f t="shared" ref="C19:D19" si="6">SUM(C14:C18)</f>
        <v>621613822.43999994</v>
      </c>
      <c r="D19" s="3">
        <f t="shared" si="6"/>
        <v>642211073.95000005</v>
      </c>
      <c r="E19" s="3">
        <f>SUM(E14:E18)</f>
        <v>670322760.07999992</v>
      </c>
      <c r="F19" s="3">
        <f>SUM(F14:F18)</f>
        <v>704794148.0999999</v>
      </c>
      <c r="G19" s="3">
        <f t="shared" ref="G19:K19" si="7">SUM(G14:G18)</f>
        <v>746332556.54000008</v>
      </c>
      <c r="H19" s="3">
        <f t="shared" si="7"/>
        <v>781416778.58000004</v>
      </c>
      <c r="I19" s="3">
        <f t="shared" si="7"/>
        <v>882168827.39999998</v>
      </c>
      <c r="J19" s="3">
        <f t="shared" ref="J19" si="8">SUM(J14:J18)</f>
        <v>863570667.41999996</v>
      </c>
      <c r="K19" s="3">
        <f t="shared" si="7"/>
        <v>818583498.50000012</v>
      </c>
    </row>
    <row r="20" spans="1:11" x14ac:dyDescent="0.3">
      <c r="A20" s="4" t="s">
        <v>3</v>
      </c>
      <c r="B20" s="3">
        <v>137233630.37</v>
      </c>
      <c r="C20" s="3">
        <v>153996603.91999999</v>
      </c>
      <c r="D20" s="3">
        <v>213339017.34999999</v>
      </c>
      <c r="E20" s="3">
        <v>164711777.71000001</v>
      </c>
      <c r="F20" s="3">
        <v>85333143.109999999</v>
      </c>
      <c r="G20" s="3">
        <v>136040203.06999999</v>
      </c>
      <c r="H20" s="3">
        <v>66948174.049999997</v>
      </c>
      <c r="I20" s="3">
        <v>170844182.86000001</v>
      </c>
      <c r="J20" s="3">
        <v>116347996.70999999</v>
      </c>
      <c r="K20" s="3">
        <v>196523957.37</v>
      </c>
    </row>
    <row r="21" spans="1:11" x14ac:dyDescent="0.3">
      <c r="A21" s="74" t="s">
        <v>4</v>
      </c>
      <c r="B21" s="42">
        <f t="shared" ref="B21:C21" si="9">B7-B13-B19-B20</f>
        <v>19314767.00999999</v>
      </c>
      <c r="C21" s="42">
        <f t="shared" si="9"/>
        <v>73387707.249999732</v>
      </c>
      <c r="D21" s="42">
        <f>D7-D13-D19-D20</f>
        <v>9617788.1099998057</v>
      </c>
      <c r="E21" s="42">
        <f>E7-E13-E19-E20</f>
        <v>7.4505805969238281E-7</v>
      </c>
      <c r="F21" s="42">
        <f>F7-F13-F19-F20</f>
        <v>123828742.57000031</v>
      </c>
      <c r="G21" s="42">
        <f t="shared" ref="G21:K21" si="10">G7-G13-G19-G20</f>
        <v>162001448.66000038</v>
      </c>
      <c r="H21" s="42">
        <f t="shared" si="10"/>
        <v>222720655.78999907</v>
      </c>
      <c r="I21" s="42">
        <f t="shared" ref="I21:J21" si="11">I7-I13-I19-I20</f>
        <v>334694395.34000039</v>
      </c>
      <c r="J21" s="42">
        <f t="shared" si="11"/>
        <v>365399284.76000041</v>
      </c>
      <c r="K21" s="42">
        <f t="shared" si="10"/>
        <v>309278118.75999999</v>
      </c>
    </row>
    <row r="22" spans="1:11" x14ac:dyDescent="0.3">
      <c r="A22" t="s">
        <v>355</v>
      </c>
      <c r="B22" s="1"/>
      <c r="C22" s="1"/>
      <c r="D22" s="1">
        <v>-97658927.390000001</v>
      </c>
      <c r="E22" s="1">
        <v>-113748882.61</v>
      </c>
      <c r="F22" s="1">
        <v>-114674597.67</v>
      </c>
      <c r="G22" s="1">
        <v>-203365068.00999999</v>
      </c>
      <c r="H22" s="1">
        <v>-336175785.02999997</v>
      </c>
      <c r="I22" s="1">
        <v>-201676479.09999999</v>
      </c>
      <c r="J22" s="1">
        <v>-287224929.06999999</v>
      </c>
      <c r="K22" s="1">
        <v>-499078903.86000001</v>
      </c>
    </row>
    <row r="23" spans="1:11" x14ac:dyDescent="0.3">
      <c r="A23" t="s">
        <v>356</v>
      </c>
      <c r="B23" s="6">
        <f>B8/B3*100</f>
        <v>35.449989636360222</v>
      </c>
      <c r="C23" s="6">
        <f>C8/C3*100</f>
        <v>43.724704849666423</v>
      </c>
      <c r="D23" s="6">
        <f>D8/D3*100</f>
        <v>49.81240232847216</v>
      </c>
      <c r="E23" s="6">
        <f>E8/E3*100</f>
        <v>53.552090872883085</v>
      </c>
      <c r="F23" s="6">
        <f>F8/F3*100</f>
        <v>55.695092613594376</v>
      </c>
      <c r="G23" s="6">
        <f t="shared" ref="G23" si="12">G8/G3*100</f>
        <v>55.470717246200394</v>
      </c>
      <c r="H23" s="6">
        <f t="shared" ref="H23:K23" si="13">H8/H3*100</f>
        <v>56.784878750289799</v>
      </c>
      <c r="I23" s="6">
        <f t="shared" ref="I23:J23" si="14">I8/I3*100</f>
        <v>58.382764060605474</v>
      </c>
      <c r="J23" s="6">
        <f t="shared" si="14"/>
        <v>56.559552657529721</v>
      </c>
      <c r="K23" s="6">
        <f t="shared" si="13"/>
        <v>51.868401385233099</v>
      </c>
    </row>
  </sheetData>
  <conditionalFormatting sqref="F21">
    <cfRule type="cellIs" dxfId="189" priority="22" operator="greaterThan">
      <formula>0</formula>
    </cfRule>
  </conditionalFormatting>
  <conditionalFormatting sqref="B21:E21">
    <cfRule type="cellIs" dxfId="188" priority="21" operator="greaterThan">
      <formula>0</formula>
    </cfRule>
  </conditionalFormatting>
  <conditionalFormatting sqref="B21:F21">
    <cfRule type="cellIs" dxfId="187" priority="19" operator="greaterThan">
      <formula>0</formula>
    </cfRule>
    <cfRule type="cellIs" dxfId="186" priority="20" operator="lessThan">
      <formula>0</formula>
    </cfRule>
  </conditionalFormatting>
  <conditionalFormatting sqref="F21">
    <cfRule type="cellIs" dxfId="185" priority="18" operator="greaterThan">
      <formula>0</formula>
    </cfRule>
  </conditionalFormatting>
  <conditionalFormatting sqref="B21:E21">
    <cfRule type="cellIs" dxfId="184" priority="17" operator="greaterThan">
      <formula>0</formula>
    </cfRule>
  </conditionalFormatting>
  <conditionalFormatting sqref="G21 K21">
    <cfRule type="cellIs" dxfId="183" priority="16" operator="greaterThan">
      <formula>0</formula>
    </cfRule>
  </conditionalFormatting>
  <conditionalFormatting sqref="G21 K21">
    <cfRule type="cellIs" dxfId="182" priority="14" operator="greaterThan">
      <formula>0</formula>
    </cfRule>
    <cfRule type="cellIs" dxfId="181" priority="15" operator="lessThan">
      <formula>0</formula>
    </cfRule>
  </conditionalFormatting>
  <conditionalFormatting sqref="G21 K21">
    <cfRule type="cellIs" dxfId="180" priority="13" operator="greaterThan">
      <formula>0</formula>
    </cfRule>
  </conditionalFormatting>
  <conditionalFormatting sqref="H21">
    <cfRule type="cellIs" dxfId="179" priority="12" operator="greaterThan">
      <formula>0</formula>
    </cfRule>
  </conditionalFormatting>
  <conditionalFormatting sqref="H21">
    <cfRule type="cellIs" dxfId="178" priority="10" operator="greaterThan">
      <formula>0</formula>
    </cfRule>
    <cfRule type="cellIs" dxfId="177" priority="11" operator="lessThan">
      <formula>0</formula>
    </cfRule>
  </conditionalFormatting>
  <conditionalFormatting sqref="H21">
    <cfRule type="cellIs" dxfId="176" priority="9" operator="greaterThan">
      <formula>0</formula>
    </cfRule>
  </conditionalFormatting>
  <conditionalFormatting sqref="I21">
    <cfRule type="cellIs" dxfId="175" priority="8" operator="greaterThan">
      <formula>0</formula>
    </cfRule>
  </conditionalFormatting>
  <conditionalFormatting sqref="I21">
    <cfRule type="cellIs" dxfId="174" priority="6" operator="greaterThan">
      <formula>0</formula>
    </cfRule>
    <cfRule type="cellIs" dxfId="173" priority="7" operator="lessThan">
      <formula>0</formula>
    </cfRule>
  </conditionalFormatting>
  <conditionalFormatting sqref="I21">
    <cfRule type="cellIs" dxfId="172" priority="5" operator="greaterThan">
      <formula>0</formula>
    </cfRule>
  </conditionalFormatting>
  <conditionalFormatting sqref="J21">
    <cfRule type="cellIs" dxfId="171" priority="4" operator="greaterThan">
      <formula>0</formula>
    </cfRule>
  </conditionalFormatting>
  <conditionalFormatting sqref="J21">
    <cfRule type="cellIs" dxfId="170" priority="2" operator="greaterThan">
      <formula>0</formula>
    </cfRule>
    <cfRule type="cellIs" dxfId="169" priority="3" operator="lessThan">
      <formula>0</formula>
    </cfRule>
  </conditionalFormatting>
  <conditionalFormatting sqref="J21">
    <cfRule type="cellIs" dxfId="168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pane xSplit="2" ySplit="1" topLeftCell="G2" activePane="bottomRight" state="frozen"/>
      <selection pane="topRight" activeCell="C1" sqref="C1"/>
      <selection pane="bottomLeft" activeCell="A2" sqref="A2"/>
      <selection pane="bottomRight" activeCell="L2" sqref="L2:L29"/>
    </sheetView>
  </sheetViews>
  <sheetFormatPr defaultRowHeight="14.4" x14ac:dyDescent="0.3"/>
  <cols>
    <col min="1" max="1" width="65.33203125" bestFit="1" customWidth="1"/>
    <col min="2" max="2" width="10.88671875" customWidth="1"/>
    <col min="3" max="12" width="12.6640625" bestFit="1" customWidth="1"/>
    <col min="13" max="13" width="12.33203125" bestFit="1" customWidth="1"/>
  </cols>
  <sheetData>
    <row r="1" spans="1:13" x14ac:dyDescent="0.3">
      <c r="C1" s="13">
        <v>2014</v>
      </c>
      <c r="D1" s="13">
        <v>2015</v>
      </c>
      <c r="E1" s="13">
        <v>2016</v>
      </c>
      <c r="F1" s="13">
        <v>2017</v>
      </c>
      <c r="G1" s="13">
        <v>2018</v>
      </c>
      <c r="H1" s="13">
        <v>2019</v>
      </c>
      <c r="I1" s="13">
        <v>2020</v>
      </c>
      <c r="J1" s="13">
        <v>2021</v>
      </c>
      <c r="K1" s="13">
        <v>2022</v>
      </c>
      <c r="L1" s="13">
        <v>2023</v>
      </c>
      <c r="M1" s="13" t="s">
        <v>266</v>
      </c>
    </row>
    <row r="2" spans="1:13" x14ac:dyDescent="0.3">
      <c r="A2" t="s">
        <v>236</v>
      </c>
      <c r="B2" s="30" t="s">
        <v>260</v>
      </c>
      <c r="C2" s="1">
        <v>1299177217.47</v>
      </c>
      <c r="D2" s="1">
        <v>1380118182.8800001</v>
      </c>
      <c r="E2" s="1">
        <v>1354026508.6900001</v>
      </c>
      <c r="F2" s="1">
        <v>1397168638.3699999</v>
      </c>
      <c r="G2" s="1">
        <v>1410831104.0999999</v>
      </c>
      <c r="H2" s="1">
        <v>1423602356.95</v>
      </c>
      <c r="I2" s="1">
        <v>1326376123.9100001</v>
      </c>
      <c r="J2" s="1">
        <v>1357910935.5799999</v>
      </c>
      <c r="K2" s="1">
        <v>1408188841.52</v>
      </c>
      <c r="L2" s="1">
        <v>1453454891</v>
      </c>
      <c r="M2" s="1">
        <f>L2-K2</f>
        <v>45266049.480000019</v>
      </c>
    </row>
    <row r="3" spans="1:13" x14ac:dyDescent="0.3">
      <c r="A3" t="s">
        <v>237</v>
      </c>
      <c r="B3" s="30" t="s">
        <v>260</v>
      </c>
      <c r="C3" s="1">
        <v>15828223.029999999</v>
      </c>
      <c r="D3" s="1">
        <v>1127651.05</v>
      </c>
      <c r="E3" s="1">
        <v>12479376.65</v>
      </c>
      <c r="F3" s="1">
        <v>17687361.699999999</v>
      </c>
      <c r="G3" s="1">
        <v>10714887.93</v>
      </c>
      <c r="H3" s="1">
        <v>10932652.199999999</v>
      </c>
      <c r="I3" s="1">
        <v>13824596.24</v>
      </c>
      <c r="J3" s="1">
        <v>17760936.629999999</v>
      </c>
      <c r="K3" s="1">
        <v>20863994.02</v>
      </c>
      <c r="L3" s="1">
        <v>18532208.91</v>
      </c>
      <c r="M3" s="1">
        <f t="shared" ref="M3:M29" si="0">L3-K3</f>
        <v>-2331785.1099999994</v>
      </c>
    </row>
    <row r="4" spans="1:13" x14ac:dyDescent="0.3">
      <c r="A4" t="s">
        <v>238</v>
      </c>
      <c r="B4" s="30" t="s">
        <v>260</v>
      </c>
      <c r="C4" s="1">
        <f>520943686.97+76492254.78</f>
        <v>597435941.75</v>
      </c>
      <c r="D4" s="1">
        <v>563334520.99000001</v>
      </c>
      <c r="E4" s="1">
        <v>496929666.06</v>
      </c>
      <c r="F4" s="1">
        <v>512933050.10000002</v>
      </c>
      <c r="G4" s="1">
        <v>559284023.07000005</v>
      </c>
      <c r="H4" s="1">
        <v>538362884.97000003</v>
      </c>
      <c r="I4" s="1">
        <v>1093250071.49</v>
      </c>
      <c r="J4" s="1">
        <v>1098616049.8800001</v>
      </c>
      <c r="K4" s="1">
        <v>764456667.85000002</v>
      </c>
      <c r="L4" s="1">
        <v>672532267.00999999</v>
      </c>
      <c r="M4" s="1">
        <f t="shared" si="0"/>
        <v>-91924400.840000033</v>
      </c>
    </row>
    <row r="5" spans="1:13" x14ac:dyDescent="0.3">
      <c r="A5" t="s">
        <v>239</v>
      </c>
      <c r="B5" s="30" t="s">
        <v>260</v>
      </c>
      <c r="C5" s="1">
        <f>809437175.12+184391436.44</f>
        <v>993828611.55999994</v>
      </c>
      <c r="D5" s="1">
        <v>737561450.61000001</v>
      </c>
      <c r="E5" s="1">
        <v>710701000.78999996</v>
      </c>
      <c r="F5" s="1">
        <v>667393750.22000003</v>
      </c>
      <c r="G5" s="1">
        <v>745628070.47000003</v>
      </c>
      <c r="H5" s="1">
        <v>757786127.04999995</v>
      </c>
      <c r="I5" s="1">
        <v>418708739.62</v>
      </c>
      <c r="J5" s="1">
        <v>510351225.23000002</v>
      </c>
      <c r="K5" s="1">
        <v>647397113.13</v>
      </c>
      <c r="L5" s="1">
        <v>727709037.76999998</v>
      </c>
      <c r="M5" s="1">
        <f t="shared" si="0"/>
        <v>80311924.639999986</v>
      </c>
    </row>
    <row r="6" spans="1:13" x14ac:dyDescent="0.3">
      <c r="A6" t="s">
        <v>240</v>
      </c>
      <c r="B6" s="30" t="s">
        <v>260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f t="shared" si="0"/>
        <v>0</v>
      </c>
    </row>
    <row r="7" spans="1:13" x14ac:dyDescent="0.3">
      <c r="A7" t="s">
        <v>241</v>
      </c>
      <c r="B7" s="30" t="s">
        <v>260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f t="shared" si="0"/>
        <v>0</v>
      </c>
    </row>
    <row r="8" spans="1:13" x14ac:dyDescent="0.3">
      <c r="A8" t="s">
        <v>242</v>
      </c>
      <c r="B8" s="30" t="s">
        <v>260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f t="shared" si="0"/>
        <v>0</v>
      </c>
    </row>
    <row r="9" spans="1:13" x14ac:dyDescent="0.3">
      <c r="A9" s="36" t="s">
        <v>243</v>
      </c>
      <c r="B9" s="37" t="s">
        <v>260</v>
      </c>
      <c r="C9" s="38">
        <v>130449477.34</v>
      </c>
      <c r="D9" s="38">
        <v>634884498.69000006</v>
      </c>
      <c r="E9" s="38">
        <v>540482441.96000004</v>
      </c>
      <c r="F9" s="38">
        <v>513701412.64999998</v>
      </c>
      <c r="G9" s="38">
        <v>518939218.80000001</v>
      </c>
      <c r="H9" s="38">
        <v>500482548.69</v>
      </c>
      <c r="I9" s="38">
        <v>372612455.99000001</v>
      </c>
      <c r="J9" s="38">
        <v>374582183.88999999</v>
      </c>
      <c r="K9" s="38">
        <v>517849792.45999998</v>
      </c>
      <c r="L9" s="1">
        <v>565516540.69000006</v>
      </c>
      <c r="M9" s="1">
        <f t="shared" si="0"/>
        <v>47666748.230000079</v>
      </c>
    </row>
    <row r="10" spans="1:13" x14ac:dyDescent="0.3">
      <c r="A10" s="39" t="s">
        <v>264</v>
      </c>
      <c r="B10" s="40" t="s">
        <v>260</v>
      </c>
      <c r="C10" s="12">
        <f>SUM(C2:C9)</f>
        <v>3036719471.1500001</v>
      </c>
      <c r="D10" s="12">
        <f>SUM(D2:D9)</f>
        <v>3317026304.2200003</v>
      </c>
      <c r="E10" s="12">
        <f>SUM(E2:E9)</f>
        <v>3114618994.1500001</v>
      </c>
      <c r="F10" s="12">
        <f t="shared" ref="F10:G10" si="1">SUM(F2:F9)</f>
        <v>3108884213.0400004</v>
      </c>
      <c r="G10" s="12">
        <f t="shared" si="1"/>
        <v>3245397304.3699999</v>
      </c>
      <c r="H10" s="12">
        <f t="shared" ref="H10:L10" si="2">SUM(H2:H9)</f>
        <v>3231166569.8600001</v>
      </c>
      <c r="I10" s="12">
        <f t="shared" ref="I10:K10" si="3">SUM(I2:I9)</f>
        <v>3224771987.25</v>
      </c>
      <c r="J10" s="12">
        <f t="shared" si="3"/>
        <v>3359221331.21</v>
      </c>
      <c r="K10" s="12">
        <f t="shared" si="3"/>
        <v>3358756408.98</v>
      </c>
      <c r="L10" s="12">
        <f t="shared" si="2"/>
        <v>3437744945.3800001</v>
      </c>
      <c r="M10" s="12">
        <f t="shared" si="0"/>
        <v>78988536.400000095</v>
      </c>
    </row>
    <row r="11" spans="1:13" x14ac:dyDescent="0.3">
      <c r="A11" t="s">
        <v>244</v>
      </c>
      <c r="B11" s="30" t="s">
        <v>261</v>
      </c>
      <c r="C11" s="1">
        <v>9757973.5199999996</v>
      </c>
      <c r="D11" s="1">
        <v>9945982.9399999995</v>
      </c>
      <c r="E11" s="1">
        <v>7936408.1500000004</v>
      </c>
      <c r="F11" s="1">
        <v>9047858.1999999993</v>
      </c>
      <c r="G11" s="1">
        <v>8548894.5800000001</v>
      </c>
      <c r="H11" s="1">
        <v>6011502.96</v>
      </c>
      <c r="I11" s="1">
        <v>11306796.119999999</v>
      </c>
      <c r="J11" s="1">
        <v>8478244.5999999996</v>
      </c>
      <c r="K11" s="1">
        <v>8490180.2799999993</v>
      </c>
      <c r="L11" s="1">
        <v>8730190.0299999993</v>
      </c>
      <c r="M11" s="1">
        <f t="shared" si="0"/>
        <v>240009.75</v>
      </c>
    </row>
    <row r="12" spans="1:13" x14ac:dyDescent="0.3">
      <c r="A12" t="s">
        <v>245</v>
      </c>
      <c r="B12" s="30" t="s">
        <v>261</v>
      </c>
      <c r="C12" s="1">
        <v>1625626470.5799999</v>
      </c>
      <c r="D12" s="1">
        <v>1818212206.6900001</v>
      </c>
      <c r="E12" s="1">
        <v>1769452778.3099999</v>
      </c>
      <c r="F12" s="1">
        <v>1741783645.76</v>
      </c>
      <c r="G12" s="1">
        <v>1778376126.4400001</v>
      </c>
      <c r="H12" s="1">
        <v>1787152759.98</v>
      </c>
      <c r="I12" s="1">
        <v>1711102936.96</v>
      </c>
      <c r="J12" s="1">
        <v>1873097381.23</v>
      </c>
      <c r="K12" s="1">
        <v>1993415334.49</v>
      </c>
      <c r="L12" s="1">
        <v>1981582977.0999999</v>
      </c>
      <c r="M12" s="1">
        <f t="shared" si="0"/>
        <v>-11832357.390000105</v>
      </c>
    </row>
    <row r="13" spans="1:13" x14ac:dyDescent="0.3">
      <c r="A13" t="s">
        <v>246</v>
      </c>
      <c r="B13" s="30" t="s">
        <v>261</v>
      </c>
      <c r="C13" s="1">
        <v>11631563.699999999</v>
      </c>
      <c r="D13" s="1">
        <v>11743664.119999999</v>
      </c>
      <c r="E13" s="1">
        <v>10350379.800000001</v>
      </c>
      <c r="F13" s="1">
        <v>11311738.380000001</v>
      </c>
      <c r="G13" s="1">
        <v>11931105.73</v>
      </c>
      <c r="H13" s="1">
        <v>12080499.279999999</v>
      </c>
      <c r="I13" s="1">
        <v>11630608.560000001</v>
      </c>
      <c r="J13" s="1">
        <v>13348215.91</v>
      </c>
      <c r="K13" s="1">
        <v>13806096.039999999</v>
      </c>
      <c r="L13" s="1">
        <v>13519115.27</v>
      </c>
      <c r="M13" s="1">
        <f t="shared" si="0"/>
        <v>-286980.76999999955</v>
      </c>
    </row>
    <row r="14" spans="1:13" x14ac:dyDescent="0.3">
      <c r="A14" t="s">
        <v>247</v>
      </c>
      <c r="B14" s="30" t="s">
        <v>261</v>
      </c>
      <c r="C14" s="1">
        <f>132913754.14+922600+56757072.46</f>
        <v>190593426.59999999</v>
      </c>
      <c r="D14" s="1">
        <v>173517413.94</v>
      </c>
      <c r="E14" s="1">
        <v>159406326.22999999</v>
      </c>
      <c r="F14" s="1">
        <v>160947531.30000001</v>
      </c>
      <c r="G14" s="1">
        <v>154691695.90000001</v>
      </c>
      <c r="H14" s="1">
        <v>150297870.90000001</v>
      </c>
      <c r="I14" s="1">
        <v>179839290.16999999</v>
      </c>
      <c r="J14" s="1">
        <v>229486215.19999999</v>
      </c>
      <c r="K14" s="1">
        <v>246600662.75999999</v>
      </c>
      <c r="L14" s="1">
        <v>288149846.56999999</v>
      </c>
      <c r="M14" s="1">
        <f t="shared" si="0"/>
        <v>41549183.810000002</v>
      </c>
    </row>
    <row r="15" spans="1:13" x14ac:dyDescent="0.3">
      <c r="A15" t="s">
        <v>248</v>
      </c>
      <c r="B15" s="30" t="s">
        <v>261</v>
      </c>
      <c r="C15" s="1">
        <v>598835678.77999997</v>
      </c>
      <c r="D15" s="1">
        <v>599131212.64999998</v>
      </c>
      <c r="E15" s="1">
        <v>589982819.69000006</v>
      </c>
      <c r="F15" s="1">
        <v>572629076.53999996</v>
      </c>
      <c r="G15" s="1">
        <v>590301968.11000001</v>
      </c>
      <c r="H15" s="1">
        <v>585317051.60000002</v>
      </c>
      <c r="I15" s="1">
        <v>572676083.95000005</v>
      </c>
      <c r="J15" s="1">
        <v>571122542.78999996</v>
      </c>
      <c r="K15" s="1">
        <v>576301289.38999999</v>
      </c>
      <c r="L15" s="1">
        <v>595359308.47000003</v>
      </c>
      <c r="M15" s="1">
        <f t="shared" si="0"/>
        <v>19058019.080000043</v>
      </c>
    </row>
    <row r="16" spans="1:13" x14ac:dyDescent="0.3">
      <c r="A16" t="s">
        <v>249</v>
      </c>
      <c r="B16" s="30" t="s">
        <v>261</v>
      </c>
      <c r="C16" s="1">
        <v>261728635.80000001</v>
      </c>
      <c r="D16" s="1">
        <v>291798977.08999997</v>
      </c>
      <c r="E16" s="1">
        <v>307316568.02999997</v>
      </c>
      <c r="F16" s="1">
        <v>702439942.63999999</v>
      </c>
      <c r="G16" s="1">
        <v>591721875.36000001</v>
      </c>
      <c r="H16" s="1">
        <v>588036474.55999994</v>
      </c>
      <c r="I16" s="1">
        <v>637194755.92999995</v>
      </c>
      <c r="J16" s="1">
        <v>572556787.19000006</v>
      </c>
      <c r="K16" s="1">
        <v>637008924.83000004</v>
      </c>
      <c r="L16" s="1">
        <v>856954819.69000006</v>
      </c>
      <c r="M16" s="1">
        <f t="shared" si="0"/>
        <v>219945894.86000001</v>
      </c>
    </row>
    <row r="17" spans="1:13" x14ac:dyDescent="0.3">
      <c r="A17" t="s">
        <v>250</v>
      </c>
      <c r="B17" s="30" t="s">
        <v>261</v>
      </c>
      <c r="C17" s="1">
        <v>358361</v>
      </c>
      <c r="D17" s="1">
        <v>1031081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f t="shared" si="0"/>
        <v>0</v>
      </c>
    </row>
    <row r="18" spans="1:13" x14ac:dyDescent="0.3">
      <c r="A18" t="s">
        <v>251</v>
      </c>
      <c r="B18" s="30" t="s">
        <v>261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31010242</v>
      </c>
      <c r="I18" s="1">
        <v>40000000</v>
      </c>
      <c r="J18" s="1">
        <v>30000000</v>
      </c>
      <c r="K18" s="1">
        <v>50000000</v>
      </c>
      <c r="L18" s="1">
        <v>20000000</v>
      </c>
      <c r="M18" s="1">
        <f t="shared" si="0"/>
        <v>-30000000</v>
      </c>
    </row>
    <row r="19" spans="1:13" x14ac:dyDescent="0.3">
      <c r="A19" t="s">
        <v>14</v>
      </c>
      <c r="B19" s="30" t="s">
        <v>261</v>
      </c>
      <c r="C19" s="1">
        <v>323173726.35000002</v>
      </c>
      <c r="D19" s="1">
        <v>328980677</v>
      </c>
      <c r="E19" s="1">
        <v>244114000</v>
      </c>
      <c r="F19" s="1">
        <v>0</v>
      </c>
      <c r="G19" s="1">
        <v>28458940</v>
      </c>
      <c r="H19" s="1">
        <v>7892670</v>
      </c>
      <c r="I19" s="1">
        <v>10017610</v>
      </c>
      <c r="J19" s="1">
        <v>24341290</v>
      </c>
      <c r="K19" s="1">
        <v>15948730</v>
      </c>
      <c r="L19" s="1">
        <v>15949900</v>
      </c>
      <c r="M19" s="1">
        <f t="shared" si="0"/>
        <v>1170</v>
      </c>
    </row>
    <row r="20" spans="1:13" x14ac:dyDescent="0.3">
      <c r="A20" s="36" t="s">
        <v>252</v>
      </c>
      <c r="B20" s="37" t="s">
        <v>261</v>
      </c>
      <c r="C20" s="38">
        <v>3727178.37</v>
      </c>
      <c r="D20" s="38">
        <v>13409791.279999999</v>
      </c>
      <c r="E20" s="38">
        <v>24834672.350000001</v>
      </c>
      <c r="F20" s="38">
        <v>12668913.460000001</v>
      </c>
      <c r="G20" s="38">
        <v>16512902.9</v>
      </c>
      <c r="H20" s="38">
        <v>21045065.77</v>
      </c>
      <c r="I20" s="38">
        <v>20905378.559999999</v>
      </c>
      <c r="J20" s="38">
        <v>23326369.829999998</v>
      </c>
      <c r="K20" s="38">
        <v>18617745.34</v>
      </c>
      <c r="L20" s="1">
        <v>20027101.989999998</v>
      </c>
      <c r="M20" s="1">
        <f t="shared" si="0"/>
        <v>1409356.6499999985</v>
      </c>
    </row>
    <row r="21" spans="1:13" x14ac:dyDescent="0.3">
      <c r="A21" s="39" t="s">
        <v>265</v>
      </c>
      <c r="B21" s="40" t="s">
        <v>261</v>
      </c>
      <c r="C21" s="12">
        <f>SUM(C11:C20)</f>
        <v>3025433014.6999998</v>
      </c>
      <c r="D21" s="12">
        <f>SUM(D11:D20)</f>
        <v>3247771006.7100005</v>
      </c>
      <c r="E21" s="12">
        <f>SUM(E11:E20)</f>
        <v>3113393952.5599999</v>
      </c>
      <c r="F21" s="12">
        <f t="shared" ref="F21:G21" si="4">SUM(F11:F20)</f>
        <v>3210828706.2800002</v>
      </c>
      <c r="G21" s="12">
        <f t="shared" si="4"/>
        <v>3180543509.0200005</v>
      </c>
      <c r="H21" s="12">
        <f t="shared" ref="H21:L21" si="5">SUM(H11:H20)</f>
        <v>3188844137.0500002</v>
      </c>
      <c r="I21" s="12">
        <f t="shared" ref="I21:K21" si="6">SUM(I11:I20)</f>
        <v>3194673460.25</v>
      </c>
      <c r="J21" s="12">
        <f t="shared" si="6"/>
        <v>3345757046.75</v>
      </c>
      <c r="K21" s="12">
        <f t="shared" si="6"/>
        <v>3560188963.1299996</v>
      </c>
      <c r="L21" s="12">
        <f t="shared" si="5"/>
        <v>3800273259.1199994</v>
      </c>
      <c r="M21" s="12">
        <f t="shared" si="0"/>
        <v>240084295.98999977</v>
      </c>
    </row>
    <row r="22" spans="1:13" x14ac:dyDescent="0.3">
      <c r="A22" t="s">
        <v>253</v>
      </c>
      <c r="B22" s="30" t="s">
        <v>260</v>
      </c>
      <c r="C22" s="1">
        <v>78320104.760000005</v>
      </c>
      <c r="D22" s="1">
        <v>90940062.859999999</v>
      </c>
      <c r="E22" s="1">
        <v>100589822.18000001</v>
      </c>
      <c r="F22" s="1">
        <v>138837906.5</v>
      </c>
      <c r="G22" s="1">
        <v>123947519.23</v>
      </c>
      <c r="H22" s="1">
        <v>183970859.75999999</v>
      </c>
      <c r="I22" s="1">
        <v>96159564.560000002</v>
      </c>
      <c r="J22" s="1">
        <v>97175891.819999993</v>
      </c>
      <c r="K22" s="1">
        <v>113977271.28</v>
      </c>
      <c r="L22" s="1">
        <v>163294252.03999999</v>
      </c>
      <c r="M22" s="1">
        <f t="shared" si="0"/>
        <v>49316980.75999999</v>
      </c>
    </row>
    <row r="23" spans="1:13" x14ac:dyDescent="0.3">
      <c r="A23" t="s">
        <v>254</v>
      </c>
      <c r="B23" s="30" t="s">
        <v>261</v>
      </c>
      <c r="C23" s="1">
        <v>120495364.45</v>
      </c>
      <c r="D23" s="1">
        <v>117061732.11</v>
      </c>
      <c r="E23" s="1">
        <v>120899663.13</v>
      </c>
      <c r="F23" s="1">
        <v>119921157.89</v>
      </c>
      <c r="G23" s="1">
        <v>122483759.52</v>
      </c>
      <c r="H23" s="1">
        <v>121668222.06</v>
      </c>
      <c r="I23" s="1">
        <v>119316181.5</v>
      </c>
      <c r="J23" s="1">
        <v>118264732.64</v>
      </c>
      <c r="K23" s="1">
        <v>118895197.59999999</v>
      </c>
      <c r="L23" s="1">
        <v>135840074.94</v>
      </c>
      <c r="M23" s="1">
        <f t="shared" si="0"/>
        <v>16944877.340000004</v>
      </c>
    </row>
    <row r="24" spans="1:13" x14ac:dyDescent="0.3">
      <c r="A24" t="s">
        <v>255</v>
      </c>
      <c r="B24" s="30" t="s">
        <v>260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-10117432.98</v>
      </c>
      <c r="K24" s="1">
        <v>-12086402.039999999</v>
      </c>
      <c r="L24" s="1">
        <v>-2068262.1</v>
      </c>
      <c r="M24" s="1">
        <f t="shared" si="0"/>
        <v>10018139.939999999</v>
      </c>
    </row>
    <row r="25" spans="1:13" x14ac:dyDescent="0.3">
      <c r="A25" t="s">
        <v>256</v>
      </c>
      <c r="B25" s="30" t="s">
        <v>260</v>
      </c>
      <c r="C25" s="1">
        <v>190884283.25</v>
      </c>
      <c r="D25" s="1">
        <v>137031936.13</v>
      </c>
      <c r="E25" s="1">
        <v>121628060.83</v>
      </c>
      <c r="F25" s="1">
        <v>159316710.24000001</v>
      </c>
      <c r="G25" s="1">
        <v>75693898.920000002</v>
      </c>
      <c r="H25" s="1">
        <v>249101855.91999999</v>
      </c>
      <c r="I25" s="1">
        <v>110945499.53</v>
      </c>
      <c r="J25" s="1">
        <v>237613889.16999999</v>
      </c>
      <c r="K25" s="1">
        <v>343755712.85000002</v>
      </c>
      <c r="L25" s="1">
        <v>469050543.88999999</v>
      </c>
      <c r="M25" s="1">
        <f t="shared" si="0"/>
        <v>125294831.03999996</v>
      </c>
    </row>
    <row r="26" spans="1:13" x14ac:dyDescent="0.3">
      <c r="A26" t="s">
        <v>257</v>
      </c>
      <c r="B26" s="30" t="s">
        <v>261</v>
      </c>
      <c r="C26" s="1">
        <v>163855225.50999999</v>
      </c>
      <c r="D26" s="1">
        <v>68714566.25</v>
      </c>
      <c r="E26" s="1">
        <v>182237705.00999999</v>
      </c>
      <c r="F26" s="1">
        <v>54380055.640000001</v>
      </c>
      <c r="G26" s="1">
        <v>18018306.050000001</v>
      </c>
      <c r="H26" s="1">
        <v>37946283.340000004</v>
      </c>
      <c r="I26" s="1">
        <v>69234141.870000005</v>
      </c>
      <c r="J26" s="1">
        <v>19330753.420000002</v>
      </c>
      <c r="K26" s="1">
        <v>156248674.40000001</v>
      </c>
      <c r="L26" s="1">
        <v>106964712.3</v>
      </c>
      <c r="M26" s="1">
        <f t="shared" si="0"/>
        <v>-49283962.100000009</v>
      </c>
    </row>
    <row r="27" spans="1:13" x14ac:dyDescent="0.3">
      <c r="A27" t="s">
        <v>258</v>
      </c>
      <c r="B27" s="30" t="s">
        <v>261</v>
      </c>
      <c r="C27" s="1">
        <v>33985118.82</v>
      </c>
      <c r="D27" s="1">
        <v>35497498.600000001</v>
      </c>
      <c r="E27" s="1">
        <v>35169560.960000001</v>
      </c>
      <c r="F27" s="1">
        <v>34598943.090000004</v>
      </c>
      <c r="G27" s="1">
        <v>35232079.719999999</v>
      </c>
      <c r="H27" s="1">
        <v>34315085.329999998</v>
      </c>
      <c r="I27" s="1">
        <v>33250620.23</v>
      </c>
      <c r="J27" s="1">
        <v>33143038.510000002</v>
      </c>
      <c r="K27" s="1">
        <v>35354877.619999997</v>
      </c>
      <c r="L27" s="1">
        <v>34872910.700000003</v>
      </c>
      <c r="M27" s="1">
        <f t="shared" si="0"/>
        <v>-481966.91999999434</v>
      </c>
    </row>
    <row r="28" spans="1:13" x14ac:dyDescent="0.3">
      <c r="A28" s="11" t="s">
        <v>259</v>
      </c>
      <c r="B28" s="40" t="s">
        <v>262</v>
      </c>
      <c r="C28" s="42">
        <f t="shared" ref="C28:H28" si="7">SUM(C2:C9)-SUM(C11:C20)+C22-C23+C24+C25-C26-C27</f>
        <v>-37844864.319999702</v>
      </c>
      <c r="D28" s="42">
        <f t="shared" si="7"/>
        <v>75953499.539999753</v>
      </c>
      <c r="E28" s="42">
        <f t="shared" si="7"/>
        <v>-114864004.49999982</v>
      </c>
      <c r="F28" s="42">
        <f t="shared" si="7"/>
        <v>-12690033.119999766</v>
      </c>
      <c r="G28" s="42">
        <f t="shared" si="7"/>
        <v>88761068.209999457</v>
      </c>
      <c r="H28" s="42">
        <f t="shared" si="7"/>
        <v>281465557.75999993</v>
      </c>
      <c r="I28" s="42">
        <f t="shared" ref="I28:L28" si="8">SUM(I2:I9)-SUM(I11:I20)+I22-I23+I24+I25-I26-I27</f>
        <v>15402647.489999998</v>
      </c>
      <c r="J28" s="42">
        <f t="shared" ref="J28" si="9">SUM(J2:J9)-SUM(J11:J20)+J22-J23+J24+J25-J26-J27</f>
        <v>167398107.90000004</v>
      </c>
      <c r="K28" s="42">
        <f t="shared" ref="K28" si="10">SUM(K2:K9)-SUM(K11:K20)+K22-K23+K24+K25-K26-K27</f>
        <v>-66284721.679999582</v>
      </c>
      <c r="L28" s="42">
        <f t="shared" si="8"/>
        <v>-9929477.8499993086</v>
      </c>
      <c r="M28" s="42">
        <f t="shared" si="0"/>
        <v>56355243.830000274</v>
      </c>
    </row>
    <row r="29" spans="1:13" x14ac:dyDescent="0.3">
      <c r="A29" s="76" t="s">
        <v>386</v>
      </c>
      <c r="B29" s="142"/>
      <c r="C29" s="143">
        <f>C10-SUM(C11:C15)+C17</f>
        <v>600632718.97000027</v>
      </c>
      <c r="D29" s="143">
        <f t="shared" ref="D29:L29" si="11">D10-SUM(D11:D15)+D17</f>
        <v>705506904.88000011</v>
      </c>
      <c r="E29" s="143">
        <f t="shared" si="11"/>
        <v>577490281.96999979</v>
      </c>
      <c r="F29" s="143">
        <f t="shared" si="11"/>
        <v>613164362.86000013</v>
      </c>
      <c r="G29" s="143">
        <f t="shared" si="11"/>
        <v>701547513.60999966</v>
      </c>
      <c r="H29" s="143">
        <f t="shared" si="11"/>
        <v>690306885.13999987</v>
      </c>
      <c r="I29" s="143">
        <f t="shared" si="11"/>
        <v>738216271.48999977</v>
      </c>
      <c r="J29" s="143">
        <f t="shared" si="11"/>
        <v>663688731.48000002</v>
      </c>
      <c r="K29" s="143">
        <f t="shared" ref="K29" si="12">K10-SUM(K11:K15)+K17</f>
        <v>520142846.02000046</v>
      </c>
      <c r="L29" s="143">
        <f t="shared" si="11"/>
        <v>550403507.94000053</v>
      </c>
      <c r="M29" s="143">
        <f t="shared" si="0"/>
        <v>30260661.920000076</v>
      </c>
    </row>
  </sheetData>
  <conditionalFormatting sqref="E28:G28">
    <cfRule type="cellIs" dxfId="167" priority="23" operator="greaterThan">
      <formula>0</formula>
    </cfRule>
  </conditionalFormatting>
  <conditionalFormatting sqref="D28">
    <cfRule type="cellIs" dxfId="166" priority="22" operator="greaterThan">
      <formula>0</formula>
    </cfRule>
  </conditionalFormatting>
  <conditionalFormatting sqref="C28">
    <cfRule type="cellIs" dxfId="165" priority="21" operator="greaterThan">
      <formula>0</formula>
    </cfRule>
  </conditionalFormatting>
  <conditionalFormatting sqref="E28:G28">
    <cfRule type="cellIs" dxfId="164" priority="20" operator="greaterThan">
      <formula>0</formula>
    </cfRule>
  </conditionalFormatting>
  <conditionalFormatting sqref="D28">
    <cfRule type="cellIs" dxfId="163" priority="19" operator="greaterThan">
      <formula>0</formula>
    </cfRule>
  </conditionalFormatting>
  <conditionalFormatting sqref="C28">
    <cfRule type="cellIs" dxfId="162" priority="18" operator="greaterThan">
      <formula>0</formula>
    </cfRule>
  </conditionalFormatting>
  <conditionalFormatting sqref="H28 L28">
    <cfRule type="cellIs" dxfId="161" priority="17" operator="greaterThan">
      <formula>0</formula>
    </cfRule>
  </conditionalFormatting>
  <conditionalFormatting sqref="H28 L28">
    <cfRule type="cellIs" dxfId="160" priority="16" operator="greaterThan">
      <formula>0</formula>
    </cfRule>
  </conditionalFormatting>
  <conditionalFormatting sqref="M28">
    <cfRule type="cellIs" dxfId="159" priority="15" operator="greaterThan">
      <formula>0</formula>
    </cfRule>
  </conditionalFormatting>
  <conditionalFormatting sqref="I28">
    <cfRule type="cellIs" dxfId="158" priority="14" operator="greaterThan">
      <formula>0</formula>
    </cfRule>
  </conditionalFormatting>
  <conditionalFormatting sqref="I28">
    <cfRule type="cellIs" dxfId="157" priority="13" operator="greaterThan">
      <formula>0</formula>
    </cfRule>
  </conditionalFormatting>
  <conditionalFormatting sqref="J28">
    <cfRule type="cellIs" dxfId="156" priority="12" operator="greaterThan">
      <formula>0</formula>
    </cfRule>
  </conditionalFormatting>
  <conditionalFormatting sqref="J28">
    <cfRule type="cellIs" dxfId="155" priority="11" operator="greaterThan">
      <formula>0</formula>
    </cfRule>
  </conditionalFormatting>
  <conditionalFormatting sqref="C29:J29 L29:M29">
    <cfRule type="cellIs" dxfId="154" priority="10" operator="greaterThan">
      <formula>0</formula>
    </cfRule>
  </conditionalFormatting>
  <conditionalFormatting sqref="C29:J29 L29">
    <cfRule type="cellIs" dxfId="153" priority="9" operator="greaterThan">
      <formula>0</formula>
    </cfRule>
  </conditionalFormatting>
  <conditionalFormatting sqref="C29:J29 L29">
    <cfRule type="cellIs" dxfId="152" priority="8" operator="greaterThan">
      <formula>0</formula>
    </cfRule>
  </conditionalFormatting>
  <conditionalFormatting sqref="C29:J29 L29">
    <cfRule type="cellIs" dxfId="151" priority="7" operator="greaterThan">
      <formula>0</formula>
    </cfRule>
  </conditionalFormatting>
  <conditionalFormatting sqref="K28">
    <cfRule type="cellIs" dxfId="150" priority="6" operator="greaterThan">
      <formula>0</formula>
    </cfRule>
  </conditionalFormatting>
  <conditionalFormatting sqref="K28">
    <cfRule type="cellIs" dxfId="149" priority="5" operator="greaterThan">
      <formula>0</formula>
    </cfRule>
  </conditionalFormatting>
  <conditionalFormatting sqref="K29">
    <cfRule type="cellIs" dxfId="148" priority="4" operator="greaterThan">
      <formula>0</formula>
    </cfRule>
  </conditionalFormatting>
  <conditionalFormatting sqref="K29">
    <cfRule type="cellIs" dxfId="147" priority="3" operator="greaterThan">
      <formula>0</formula>
    </cfRule>
  </conditionalFormatting>
  <conditionalFormatting sqref="K29">
    <cfRule type="cellIs" dxfId="146" priority="2" operator="greaterThan">
      <formula>0</formula>
    </cfRule>
  </conditionalFormatting>
  <conditionalFormatting sqref="K29">
    <cfRule type="cellIs" dxfId="14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topLeftCell="B1" workbookViewId="0">
      <selection activeCell="M1" sqref="M1:Q1048576"/>
    </sheetView>
  </sheetViews>
  <sheetFormatPr defaultRowHeight="14.4" x14ac:dyDescent="0.3"/>
  <cols>
    <col min="1" max="1" width="50.6640625" bestFit="1" customWidth="1"/>
    <col min="2" max="11" width="13.33203125" bestFit="1" customWidth="1"/>
    <col min="12" max="12" width="12.33203125" bestFit="1" customWidth="1"/>
  </cols>
  <sheetData>
    <row r="1" spans="1:12" x14ac:dyDescent="0.3">
      <c r="A1" s="46"/>
      <c r="B1" s="47">
        <v>2014</v>
      </c>
      <c r="C1" s="47">
        <v>2015</v>
      </c>
      <c r="D1" s="47">
        <v>2016</v>
      </c>
      <c r="E1" s="47">
        <v>2017</v>
      </c>
      <c r="F1" s="47">
        <v>2018</v>
      </c>
      <c r="G1" s="47">
        <v>2019</v>
      </c>
      <c r="H1" s="47">
        <v>2020</v>
      </c>
      <c r="I1" s="47">
        <v>2021</v>
      </c>
      <c r="J1" s="47">
        <v>2022</v>
      </c>
      <c r="K1" s="47">
        <v>2023</v>
      </c>
      <c r="L1" s="47" t="s">
        <v>266</v>
      </c>
    </row>
    <row r="2" spans="1:12" x14ac:dyDescent="0.3">
      <c r="A2" s="75" t="s">
        <v>347</v>
      </c>
      <c r="B2" s="68">
        <f>Conto_economico!C10</f>
        <v>3036719471.1500001</v>
      </c>
      <c r="C2" s="68">
        <f>Conto_economico!D10</f>
        <v>3317026304.2200003</v>
      </c>
      <c r="D2" s="68">
        <f>Conto_economico!E10</f>
        <v>3114618994.1500001</v>
      </c>
      <c r="E2" s="68">
        <f>Conto_economico!F10</f>
        <v>3108884213.0400004</v>
      </c>
      <c r="F2" s="68">
        <f>Conto_economico!G10</f>
        <v>3245397304.3699999</v>
      </c>
      <c r="G2" s="68">
        <f>Conto_economico!H10</f>
        <v>3231166569.8600001</v>
      </c>
      <c r="H2" s="68">
        <f>Conto_economico!I10</f>
        <v>3224771987.25</v>
      </c>
      <c r="I2" s="68">
        <f>Conto_economico!J10</f>
        <v>3359221331.21</v>
      </c>
      <c r="J2" s="68">
        <f>Conto_economico!K10</f>
        <v>3358756408.98</v>
      </c>
      <c r="K2" s="68">
        <f>Conto_economico!L10</f>
        <v>3437744945.3800001</v>
      </c>
      <c r="L2" s="68">
        <f t="shared" ref="L2:L16" si="0">K2-J2</f>
        <v>78988536.400000095</v>
      </c>
    </row>
    <row r="3" spans="1:12" x14ac:dyDescent="0.3">
      <c r="A3" s="75" t="s">
        <v>342</v>
      </c>
      <c r="B3" s="68">
        <f>Conto_economico!C2</f>
        <v>1299177217.47</v>
      </c>
      <c r="C3" s="68">
        <f>Conto_economico!D2</f>
        <v>1380118182.8800001</v>
      </c>
      <c r="D3" s="68">
        <f>Conto_economico!E2</f>
        <v>1354026508.6900001</v>
      </c>
      <c r="E3" s="68">
        <f>Conto_economico!F2</f>
        <v>1397168638.3699999</v>
      </c>
      <c r="F3" s="68">
        <f>Conto_economico!G2</f>
        <v>1410831104.0999999</v>
      </c>
      <c r="G3" s="68">
        <f>Conto_economico!H2</f>
        <v>1423602356.95</v>
      </c>
      <c r="H3" s="68">
        <f>Conto_economico!I2</f>
        <v>1326376123.9100001</v>
      </c>
      <c r="I3" s="68">
        <f>Conto_economico!J2</f>
        <v>1357910935.5799999</v>
      </c>
      <c r="J3" s="68">
        <f>Conto_economico!K2</f>
        <v>1408188841.52</v>
      </c>
      <c r="K3" s="68">
        <f>Conto_economico!L2</f>
        <v>1453454891</v>
      </c>
      <c r="L3" s="68">
        <f t="shared" si="0"/>
        <v>45266049.480000019</v>
      </c>
    </row>
    <row r="4" spans="1:12" x14ac:dyDescent="0.3">
      <c r="A4" s="75" t="s">
        <v>343</v>
      </c>
      <c r="B4" s="68">
        <f>Conto_economico!C4</f>
        <v>597435941.75</v>
      </c>
      <c r="C4" s="68">
        <f>Conto_economico!D4</f>
        <v>563334520.99000001</v>
      </c>
      <c r="D4" s="68">
        <f>Conto_economico!E4</f>
        <v>496929666.06</v>
      </c>
      <c r="E4" s="68">
        <f>Conto_economico!F4</f>
        <v>512933050.10000002</v>
      </c>
      <c r="F4" s="68">
        <f>Conto_economico!G4</f>
        <v>559284023.07000005</v>
      </c>
      <c r="G4" s="68">
        <f>Conto_economico!H4</f>
        <v>538362884.97000003</v>
      </c>
      <c r="H4" s="68">
        <f>Conto_economico!I4</f>
        <v>1093250071.49</v>
      </c>
      <c r="I4" s="68">
        <f>Conto_economico!J4</f>
        <v>1098616049.8800001</v>
      </c>
      <c r="J4" s="68">
        <f>Conto_economico!K4</f>
        <v>764456667.85000002</v>
      </c>
      <c r="K4" s="68">
        <f>Conto_economico!L4</f>
        <v>672532267.00999999</v>
      </c>
      <c r="L4" s="68">
        <f t="shared" si="0"/>
        <v>-91924400.840000033</v>
      </c>
    </row>
    <row r="5" spans="1:12" x14ac:dyDescent="0.3">
      <c r="A5" s="75" t="s">
        <v>348</v>
      </c>
      <c r="B5" s="69">
        <f>Conto_economico!C21</f>
        <v>3025433014.6999998</v>
      </c>
      <c r="C5" s="69">
        <f>Conto_economico!D21</f>
        <v>3247771006.7100005</v>
      </c>
      <c r="D5" s="69">
        <f>Conto_economico!E21</f>
        <v>3113393952.5599999</v>
      </c>
      <c r="E5" s="69">
        <f>Conto_economico!F21</f>
        <v>3210828706.2800002</v>
      </c>
      <c r="F5" s="69">
        <f>Conto_economico!G21</f>
        <v>3180543509.0200005</v>
      </c>
      <c r="G5" s="69">
        <f>Conto_economico!H21</f>
        <v>3188844137.0500002</v>
      </c>
      <c r="H5" s="69">
        <f>Conto_economico!I21</f>
        <v>3194673460.25</v>
      </c>
      <c r="I5" s="69">
        <f>Conto_economico!J21</f>
        <v>3345757046.75</v>
      </c>
      <c r="J5" s="69">
        <f>Conto_economico!K21</f>
        <v>3560188963.1299996</v>
      </c>
      <c r="K5" s="69">
        <f>Conto_economico!L21</f>
        <v>3800273259.1199994</v>
      </c>
      <c r="L5" s="68">
        <f t="shared" si="0"/>
        <v>240084295.98999977</v>
      </c>
    </row>
    <row r="6" spans="1:12" x14ac:dyDescent="0.3">
      <c r="A6" s="75" t="s">
        <v>344</v>
      </c>
      <c r="B6" s="68">
        <f>Conto_economico!C12</f>
        <v>1625626470.5799999</v>
      </c>
      <c r="C6" s="68">
        <f>Conto_economico!D12</f>
        <v>1818212206.6900001</v>
      </c>
      <c r="D6" s="68">
        <f>Conto_economico!E12</f>
        <v>1769452778.3099999</v>
      </c>
      <c r="E6" s="68">
        <f>Conto_economico!F12</f>
        <v>1741783645.76</v>
      </c>
      <c r="F6" s="68">
        <f>Conto_economico!G12</f>
        <v>1778376126.4400001</v>
      </c>
      <c r="G6" s="68">
        <f>Conto_economico!H12</f>
        <v>1787152759.98</v>
      </c>
      <c r="H6" s="68">
        <f>Conto_economico!I12</f>
        <v>1711102936.96</v>
      </c>
      <c r="I6" s="68">
        <f>Conto_economico!J12</f>
        <v>1873097381.23</v>
      </c>
      <c r="J6" s="68">
        <f>Conto_economico!K12</f>
        <v>1993415334.49</v>
      </c>
      <c r="K6" s="68">
        <f>Conto_economico!L12</f>
        <v>1981582977.0999999</v>
      </c>
      <c r="L6" s="68">
        <f t="shared" si="0"/>
        <v>-11832357.390000105</v>
      </c>
    </row>
    <row r="7" spans="1:12" x14ac:dyDescent="0.3">
      <c r="A7" s="75" t="s">
        <v>345</v>
      </c>
      <c r="B7" s="68">
        <f>Conto_economico!C15</f>
        <v>598835678.77999997</v>
      </c>
      <c r="C7" s="68">
        <f>Conto_economico!D15</f>
        <v>599131212.64999998</v>
      </c>
      <c r="D7" s="68">
        <f>Conto_economico!E15</f>
        <v>589982819.69000006</v>
      </c>
      <c r="E7" s="68">
        <f>Conto_economico!F15</f>
        <v>572629076.53999996</v>
      </c>
      <c r="F7" s="68">
        <f>Conto_economico!G15</f>
        <v>590301968.11000001</v>
      </c>
      <c r="G7" s="68">
        <f>Conto_economico!H15</f>
        <v>585317051.60000002</v>
      </c>
      <c r="H7" s="68">
        <f>Conto_economico!I15</f>
        <v>572676083.95000005</v>
      </c>
      <c r="I7" s="68">
        <f>Conto_economico!J15</f>
        <v>571122542.78999996</v>
      </c>
      <c r="J7" s="68">
        <f>Conto_economico!K15</f>
        <v>576301289.38999999</v>
      </c>
      <c r="K7" s="68">
        <f>Conto_economico!L15</f>
        <v>595359308.47000003</v>
      </c>
      <c r="L7" s="68">
        <f t="shared" si="0"/>
        <v>19058019.080000043</v>
      </c>
    </row>
    <row r="8" spans="1:12" x14ac:dyDescent="0.3">
      <c r="A8" s="75" t="s">
        <v>346</v>
      </c>
      <c r="B8" s="68">
        <f>Conto_economico!C16</f>
        <v>261728635.80000001</v>
      </c>
      <c r="C8" s="68">
        <f>Conto_economico!D16</f>
        <v>291798977.08999997</v>
      </c>
      <c r="D8" s="68">
        <f>Conto_economico!E16</f>
        <v>307316568.02999997</v>
      </c>
      <c r="E8" s="68">
        <f>Conto_economico!F16</f>
        <v>702439942.63999999</v>
      </c>
      <c r="F8" s="68">
        <f>Conto_economico!G16</f>
        <v>591721875.36000001</v>
      </c>
      <c r="G8" s="68">
        <f>Conto_economico!H16</f>
        <v>588036474.55999994</v>
      </c>
      <c r="H8" s="68">
        <f>Conto_economico!I16</f>
        <v>637194755.92999995</v>
      </c>
      <c r="I8" s="68">
        <f>Conto_economico!J16</f>
        <v>572556787.19000006</v>
      </c>
      <c r="J8" s="68">
        <f>Conto_economico!K16</f>
        <v>637008924.83000004</v>
      </c>
      <c r="K8" s="68">
        <f>Conto_economico!L16</f>
        <v>856954819.69000006</v>
      </c>
      <c r="L8" s="68">
        <f t="shared" si="0"/>
        <v>219945894.86000001</v>
      </c>
    </row>
    <row r="9" spans="1:12" x14ac:dyDescent="0.3">
      <c r="A9" s="52" t="s">
        <v>386</v>
      </c>
      <c r="B9" s="70">
        <f>Conto_economico!C$29</f>
        <v>600632718.97000027</v>
      </c>
      <c r="C9" s="70">
        <f>Conto_economico!D$29</f>
        <v>705506904.88000011</v>
      </c>
      <c r="D9" s="70">
        <f>Conto_economico!E$29</f>
        <v>577490281.96999979</v>
      </c>
      <c r="E9" s="70">
        <f>Conto_economico!F$29</f>
        <v>613164362.86000013</v>
      </c>
      <c r="F9" s="70">
        <f>Conto_economico!G$29</f>
        <v>701547513.60999966</v>
      </c>
      <c r="G9" s="70">
        <f>Conto_economico!H$29</f>
        <v>690306885.13999987</v>
      </c>
      <c r="H9" s="70">
        <f>Conto_economico!I$29</f>
        <v>738216271.48999977</v>
      </c>
      <c r="I9" s="70">
        <f>Conto_economico!J$29</f>
        <v>663688731.48000002</v>
      </c>
      <c r="J9" s="70">
        <f>Conto_economico!K$29</f>
        <v>520142846.02000046</v>
      </c>
      <c r="K9" s="70">
        <f>Conto_economico!L$29</f>
        <v>550403507.94000053</v>
      </c>
      <c r="L9" s="70">
        <f t="shared" si="0"/>
        <v>30260661.920000076</v>
      </c>
    </row>
    <row r="10" spans="1:12" x14ac:dyDescent="0.3">
      <c r="A10" s="52" t="s">
        <v>307</v>
      </c>
      <c r="B10" s="70">
        <f>B2-B5</f>
        <v>11286456.450000286</v>
      </c>
      <c r="C10" s="70">
        <f>C2-C5</f>
        <v>69255297.509999752</v>
      </c>
      <c r="D10" s="70">
        <f t="shared" ref="D10:F10" si="1">D2-D5</f>
        <v>1225041.5900001526</v>
      </c>
      <c r="E10" s="70">
        <f t="shared" si="1"/>
        <v>-101944493.23999977</v>
      </c>
      <c r="F10" s="70">
        <f t="shared" si="1"/>
        <v>64853795.349999428</v>
      </c>
      <c r="G10" s="70">
        <f t="shared" ref="G10:K10" si="2">G2-G5</f>
        <v>42322432.809999943</v>
      </c>
      <c r="H10" s="70">
        <f t="shared" ref="H10:J10" si="3">H2-H5</f>
        <v>30098527</v>
      </c>
      <c r="I10" s="70">
        <f t="shared" si="3"/>
        <v>13464284.460000038</v>
      </c>
      <c r="J10" s="70">
        <f t="shared" si="3"/>
        <v>-201432554.14999962</v>
      </c>
      <c r="K10" s="70">
        <f t="shared" si="2"/>
        <v>-362528313.73999929</v>
      </c>
      <c r="L10" s="70">
        <f t="shared" si="0"/>
        <v>-161095759.58999968</v>
      </c>
    </row>
    <row r="11" spans="1:12" x14ac:dyDescent="0.3">
      <c r="A11" s="75" t="s">
        <v>308</v>
      </c>
      <c r="B11" s="68">
        <f>Conto_economico!C22-Conto_economico!C23</f>
        <v>-42175259.689999998</v>
      </c>
      <c r="C11" s="68">
        <f>Conto_economico!D22-Conto_economico!D23</f>
        <v>-26121669.25</v>
      </c>
      <c r="D11" s="68">
        <f>Conto_economico!E22-Conto_economico!E23</f>
        <v>-20309840.949999988</v>
      </c>
      <c r="E11" s="68">
        <f>Conto_economico!F22-Conto_economico!F23</f>
        <v>18916748.609999999</v>
      </c>
      <c r="F11" s="68">
        <f>Conto_economico!G22-Conto_economico!G23</f>
        <v>1463759.7100000083</v>
      </c>
      <c r="G11" s="68">
        <f>Conto_economico!H22-Conto_economico!H23</f>
        <v>62302637.699999988</v>
      </c>
      <c r="H11" s="68">
        <f>Conto_economico!I22-Conto_economico!I23</f>
        <v>-23156616.939999998</v>
      </c>
      <c r="I11" s="68">
        <f>Conto_economico!J22-Conto_economico!J23</f>
        <v>-21088840.820000008</v>
      </c>
      <c r="J11" s="68">
        <f>Conto_economico!K22-Conto_economico!K23</f>
        <v>-4917926.3199999928</v>
      </c>
      <c r="K11" s="68">
        <f>Conto_economico!L22-Conto_economico!L23</f>
        <v>27454177.099999994</v>
      </c>
      <c r="L11" s="68">
        <f t="shared" si="0"/>
        <v>32372103.419999987</v>
      </c>
    </row>
    <row r="12" spans="1:12" x14ac:dyDescent="0.3">
      <c r="A12" s="75" t="s">
        <v>309</v>
      </c>
      <c r="B12" s="69">
        <f>Conto_economico!C25-Conto_economico!C26</f>
        <v>27029057.74000001</v>
      </c>
      <c r="C12" s="69">
        <f>Conto_economico!D25-Conto_economico!D26</f>
        <v>68317369.879999995</v>
      </c>
      <c r="D12" s="69">
        <f>Conto_economico!E25-Conto_economico!E26</f>
        <v>-60609644.179999992</v>
      </c>
      <c r="E12" s="69">
        <f>Conto_economico!F25-Conto_economico!F26</f>
        <v>104936654.60000001</v>
      </c>
      <c r="F12" s="69">
        <f>Conto_economico!G25-Conto_economico!G26</f>
        <v>57675592.870000005</v>
      </c>
      <c r="G12" s="69">
        <f>Conto_economico!H25-Conto_economico!H26</f>
        <v>211155572.57999998</v>
      </c>
      <c r="H12" s="69">
        <f>Conto_economico!I25-Conto_economico!I26</f>
        <v>41711357.659999996</v>
      </c>
      <c r="I12" s="69">
        <f>Conto_economico!J25-Conto_economico!J26</f>
        <v>218283135.75</v>
      </c>
      <c r="J12" s="69">
        <f>Conto_economico!K25-Conto_economico!K26</f>
        <v>187507038.45000002</v>
      </c>
      <c r="K12" s="69">
        <f>Conto_economico!L25-Conto_economico!L26</f>
        <v>362085831.58999997</v>
      </c>
      <c r="L12" s="68">
        <f t="shared" si="0"/>
        <v>174578793.13999996</v>
      </c>
    </row>
    <row r="13" spans="1:12" x14ac:dyDescent="0.3">
      <c r="A13" s="75" t="s">
        <v>255</v>
      </c>
      <c r="B13" s="69">
        <f>Conto_economico!C24</f>
        <v>0</v>
      </c>
      <c r="C13" s="69">
        <f>Conto_economico!D24</f>
        <v>0</v>
      </c>
      <c r="D13" s="69">
        <f>Conto_economico!E24</f>
        <v>0</v>
      </c>
      <c r="E13" s="69">
        <f>Conto_economico!F24</f>
        <v>0</v>
      </c>
      <c r="F13" s="69">
        <f>Conto_economico!G24</f>
        <v>0</v>
      </c>
      <c r="G13" s="69">
        <f>Conto_economico!H24</f>
        <v>0</v>
      </c>
      <c r="H13" s="69">
        <f>Conto_economico!I24</f>
        <v>0</v>
      </c>
      <c r="I13" s="69">
        <f>Conto_economico!J24</f>
        <v>-10117432.98</v>
      </c>
      <c r="J13" s="69">
        <f>Conto_economico!K24</f>
        <v>-12086402.039999999</v>
      </c>
      <c r="K13" s="69">
        <f>Conto_economico!L24</f>
        <v>-2068262.1</v>
      </c>
      <c r="L13" s="68">
        <f t="shared" si="0"/>
        <v>10018139.939999999</v>
      </c>
    </row>
    <row r="14" spans="1:12" x14ac:dyDescent="0.3">
      <c r="A14" s="52" t="s">
        <v>310</v>
      </c>
      <c r="B14" s="70">
        <f>SUM(B10:B13)</f>
        <v>-3859745.499999702</v>
      </c>
      <c r="C14" s="70">
        <f>SUM(C10:C13)</f>
        <v>111450998.13999975</v>
      </c>
      <c r="D14" s="70">
        <f t="shared" ref="D14:F14" si="4">SUM(D10:D13)</f>
        <v>-79694443.539999828</v>
      </c>
      <c r="E14" s="70">
        <f t="shared" si="4"/>
        <v>21908909.970000237</v>
      </c>
      <c r="F14" s="70">
        <f t="shared" si="4"/>
        <v>123993147.92999944</v>
      </c>
      <c r="G14" s="70">
        <f t="shared" ref="G14:K14" si="5">SUM(G10:G13)</f>
        <v>315780643.08999991</v>
      </c>
      <c r="H14" s="70">
        <f t="shared" ref="H14:J14" si="6">SUM(H10:H13)</f>
        <v>48653267.719999999</v>
      </c>
      <c r="I14" s="70">
        <f t="shared" si="6"/>
        <v>200541146.41000006</v>
      </c>
      <c r="J14" s="70">
        <f t="shared" si="6"/>
        <v>-30929844.059999593</v>
      </c>
      <c r="K14" s="70">
        <f t="shared" si="5"/>
        <v>24943432.850000702</v>
      </c>
      <c r="L14" s="70">
        <f t="shared" si="0"/>
        <v>55873276.910000294</v>
      </c>
    </row>
    <row r="15" spans="1:12" x14ac:dyDescent="0.3">
      <c r="A15" s="75" t="s">
        <v>258</v>
      </c>
      <c r="B15" s="68">
        <f>Conto_economico!C27</f>
        <v>33985118.82</v>
      </c>
      <c r="C15" s="68">
        <f>Conto_economico!D27</f>
        <v>35497498.600000001</v>
      </c>
      <c r="D15" s="68">
        <f>Conto_economico!E27</f>
        <v>35169560.960000001</v>
      </c>
      <c r="E15" s="68">
        <f>Conto_economico!F27</f>
        <v>34598943.090000004</v>
      </c>
      <c r="F15" s="68">
        <f>Conto_economico!G27</f>
        <v>35232079.719999999</v>
      </c>
      <c r="G15" s="68">
        <f>Conto_economico!H27</f>
        <v>34315085.329999998</v>
      </c>
      <c r="H15" s="68">
        <f>Conto_economico!I27</f>
        <v>33250620.23</v>
      </c>
      <c r="I15" s="68">
        <f>Conto_economico!J27</f>
        <v>33143038.510000002</v>
      </c>
      <c r="J15" s="68">
        <f>Conto_economico!K27</f>
        <v>35354877.619999997</v>
      </c>
      <c r="K15" s="68">
        <f>Conto_economico!L27</f>
        <v>34872910.700000003</v>
      </c>
      <c r="L15" s="68">
        <f t="shared" si="0"/>
        <v>-481966.91999999434</v>
      </c>
    </row>
    <row r="16" spans="1:12" x14ac:dyDescent="0.3">
      <c r="A16" s="74" t="s">
        <v>259</v>
      </c>
      <c r="B16" s="71">
        <f>B14-B15</f>
        <v>-37844864.319999702</v>
      </c>
      <c r="C16" s="71">
        <f>C14-C15</f>
        <v>75953499.539999753</v>
      </c>
      <c r="D16" s="71">
        <f t="shared" ref="D16:F16" si="7">D14-D15</f>
        <v>-114864004.49999982</v>
      </c>
      <c r="E16" s="71">
        <f t="shared" si="7"/>
        <v>-12690033.119999766</v>
      </c>
      <c r="F16" s="71">
        <f t="shared" si="7"/>
        <v>88761068.209999442</v>
      </c>
      <c r="G16" s="71">
        <f t="shared" ref="G16:K16" si="8">G14-G15</f>
        <v>281465557.75999993</v>
      </c>
      <c r="H16" s="71">
        <f t="shared" ref="H16:J16" si="9">H14-H15</f>
        <v>15402647.489999998</v>
      </c>
      <c r="I16" s="71">
        <f t="shared" si="9"/>
        <v>167398107.90000007</v>
      </c>
      <c r="J16" s="71">
        <f t="shared" si="9"/>
        <v>-66284721.67999959</v>
      </c>
      <c r="K16" s="71">
        <f t="shared" si="8"/>
        <v>-9929477.8499993011</v>
      </c>
      <c r="L16" s="71">
        <f t="shared" si="0"/>
        <v>56355243.830000289</v>
      </c>
    </row>
  </sheetData>
  <conditionalFormatting sqref="C16:F16">
    <cfRule type="cellIs" dxfId="144" priority="28" operator="greaterThan">
      <formula>0</formula>
    </cfRule>
  </conditionalFormatting>
  <conditionalFormatting sqref="C10:F10">
    <cfRule type="cellIs" dxfId="143" priority="27" operator="lessThan">
      <formula>0</formula>
    </cfRule>
  </conditionalFormatting>
  <conditionalFormatting sqref="C14:F14">
    <cfRule type="cellIs" dxfId="142" priority="26" operator="lessThan">
      <formula>0</formula>
    </cfRule>
  </conditionalFormatting>
  <conditionalFormatting sqref="B16">
    <cfRule type="cellIs" dxfId="141" priority="25" operator="greaterThan">
      <formula>0</formula>
    </cfRule>
  </conditionalFormatting>
  <conditionalFormatting sqref="B10">
    <cfRule type="cellIs" dxfId="140" priority="24" operator="lessThan">
      <formula>0</formula>
    </cfRule>
  </conditionalFormatting>
  <conditionalFormatting sqref="B14">
    <cfRule type="cellIs" dxfId="139" priority="23" operator="lessThan">
      <formula>0</formula>
    </cfRule>
  </conditionalFormatting>
  <conditionalFormatting sqref="G16 K16">
    <cfRule type="cellIs" dxfId="138" priority="22" operator="greaterThan">
      <formula>0</formula>
    </cfRule>
  </conditionalFormatting>
  <conditionalFormatting sqref="G10 K10">
    <cfRule type="cellIs" dxfId="137" priority="21" operator="lessThan">
      <formula>0</formula>
    </cfRule>
  </conditionalFormatting>
  <conditionalFormatting sqref="G14 K14">
    <cfRule type="cellIs" dxfId="136" priority="20" operator="lessThan">
      <formula>0</formula>
    </cfRule>
  </conditionalFormatting>
  <conditionalFormatting sqref="L16">
    <cfRule type="cellIs" dxfId="135" priority="19" operator="greaterThan">
      <formula>0</formula>
    </cfRule>
  </conditionalFormatting>
  <conditionalFormatting sqref="L10">
    <cfRule type="cellIs" dxfId="134" priority="18" operator="lessThan">
      <formula>0</formula>
    </cfRule>
  </conditionalFormatting>
  <conditionalFormatting sqref="L14">
    <cfRule type="cellIs" dxfId="133" priority="17" operator="lessThan">
      <formula>0</formula>
    </cfRule>
  </conditionalFormatting>
  <conditionalFormatting sqref="H16">
    <cfRule type="cellIs" dxfId="132" priority="16" operator="greaterThan">
      <formula>0</formula>
    </cfRule>
  </conditionalFormatting>
  <conditionalFormatting sqref="H10">
    <cfRule type="cellIs" dxfId="131" priority="15" operator="lessThan">
      <formula>0</formula>
    </cfRule>
  </conditionalFormatting>
  <conditionalFormatting sqref="H14">
    <cfRule type="cellIs" dxfId="130" priority="14" operator="lessThan">
      <formula>0</formula>
    </cfRule>
  </conditionalFormatting>
  <conditionalFormatting sqref="I16">
    <cfRule type="cellIs" dxfId="129" priority="13" operator="greaterThan">
      <formula>0</formula>
    </cfRule>
  </conditionalFormatting>
  <conditionalFormatting sqref="I10">
    <cfRule type="cellIs" dxfId="128" priority="12" operator="lessThan">
      <formula>0</formula>
    </cfRule>
  </conditionalFormatting>
  <conditionalFormatting sqref="I14">
    <cfRule type="cellIs" dxfId="127" priority="11" operator="lessThan">
      <formula>0</formula>
    </cfRule>
  </conditionalFormatting>
  <conditionalFormatting sqref="B9:I9 K9">
    <cfRule type="cellIs" dxfId="126" priority="9" operator="lessThan">
      <formula>0</formula>
    </cfRule>
  </conditionalFormatting>
  <conditionalFormatting sqref="L9">
    <cfRule type="cellIs" dxfId="125" priority="7" operator="lessThan">
      <formula>0</formula>
    </cfRule>
  </conditionalFormatting>
  <conditionalFormatting sqref="J16">
    <cfRule type="cellIs" dxfId="124" priority="4" operator="greaterThan">
      <formula>0</formula>
    </cfRule>
  </conditionalFormatting>
  <conditionalFormatting sqref="J10">
    <cfRule type="cellIs" dxfId="123" priority="3" operator="lessThan">
      <formula>0</formula>
    </cfRule>
  </conditionalFormatting>
  <conditionalFormatting sqref="J14">
    <cfRule type="cellIs" dxfId="122" priority="2" operator="lessThan">
      <formula>0</formula>
    </cfRule>
  </conditionalFormatting>
  <conditionalFormatting sqref="J9">
    <cfRule type="cellIs" dxfId="121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Entrate_Uscite</vt:lpstr>
      <vt:lpstr>Tav_Entrate</vt:lpstr>
      <vt:lpstr>Tav_Uscite</vt:lpstr>
      <vt:lpstr>Tav_Saldi</vt:lpstr>
      <vt:lpstr>Missione12_Programmi</vt:lpstr>
      <vt:lpstr>Missione12_Macroaggregati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2024-12-27T11:52:50Z</dcterms:modified>
</cp:coreProperties>
</file>