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4" activeTab="8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W53" i="2"/>
  <c r="X52" i="2"/>
  <c r="W52" i="2"/>
  <c r="W51" i="2"/>
  <c r="X50" i="2"/>
  <c r="W50" i="2"/>
  <c r="X49" i="2"/>
  <c r="W49" i="2"/>
  <c r="X48" i="2"/>
  <c r="X54" i="2" s="1"/>
  <c r="X55" i="2" s="1"/>
  <c r="W48" i="2"/>
  <c r="W54" i="2" s="1"/>
  <c r="W55" i="2" s="1"/>
  <c r="X16" i="2"/>
  <c r="W16" i="2"/>
  <c r="X15" i="2"/>
  <c r="W15" i="2"/>
  <c r="X14" i="2"/>
  <c r="X20" i="2" s="1"/>
  <c r="X21" i="2" s="1"/>
  <c r="W14" i="2"/>
  <c r="W20" i="2" s="1"/>
  <c r="W21" i="2" s="1"/>
  <c r="I27" i="5"/>
  <c r="I28" i="5" s="1"/>
  <c r="I26" i="5"/>
  <c r="I13" i="5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2" i="10"/>
  <c r="H15" i="10"/>
  <c r="H13" i="10"/>
  <c r="H12" i="10"/>
  <c r="H11" i="10"/>
  <c r="H9" i="10"/>
  <c r="H8" i="10"/>
  <c r="H7" i="10"/>
  <c r="H6" i="10"/>
  <c r="H5" i="10"/>
  <c r="H4" i="10"/>
  <c r="H3" i="10"/>
  <c r="H2" i="10"/>
  <c r="H10" i="10" s="1"/>
  <c r="H14" i="10" s="1"/>
  <c r="H16" i="10" s="1"/>
  <c r="K27" i="6"/>
  <c r="K26" i="6"/>
  <c r="K25" i="6"/>
  <c r="K24" i="6"/>
  <c r="K23" i="6"/>
  <c r="K22" i="6"/>
  <c r="K20" i="6"/>
  <c r="K19" i="6"/>
  <c r="K18" i="6"/>
  <c r="K17" i="6"/>
  <c r="K16" i="6"/>
  <c r="K15" i="6"/>
  <c r="K14" i="6"/>
  <c r="K13" i="6"/>
  <c r="K12" i="6"/>
  <c r="K11" i="6"/>
  <c r="K9" i="6"/>
  <c r="K8" i="6"/>
  <c r="K7" i="6"/>
  <c r="K6" i="6"/>
  <c r="K5" i="6"/>
  <c r="K4" i="6"/>
  <c r="K3" i="6"/>
  <c r="K2" i="6"/>
  <c r="I21" i="6"/>
  <c r="I10" i="6"/>
  <c r="I29" i="6" s="1"/>
  <c r="I23" i="1"/>
  <c r="I19" i="1"/>
  <c r="I13" i="1"/>
  <c r="I7" i="1"/>
  <c r="I21" i="1" s="1"/>
  <c r="I28" i="6" l="1"/>
  <c r="K28" i="8"/>
  <c r="K26" i="8"/>
  <c r="K25" i="8"/>
  <c r="K23" i="8"/>
  <c r="K18" i="8"/>
  <c r="K17" i="8"/>
  <c r="K16" i="8"/>
  <c r="K13" i="8"/>
  <c r="K7" i="8"/>
  <c r="K18" i="7"/>
  <c r="K13" i="7"/>
  <c r="K6" i="7"/>
  <c r="H6" i="9"/>
  <c r="H5" i="9"/>
  <c r="H4" i="9"/>
  <c r="H3" i="9"/>
  <c r="H2" i="9"/>
  <c r="H29" i="8"/>
  <c r="H28" i="8"/>
  <c r="H26" i="8"/>
  <c r="H25" i="8"/>
  <c r="H24" i="8"/>
  <c r="H23" i="8"/>
  <c r="H22" i="8"/>
  <c r="H27" i="8" s="1"/>
  <c r="H19" i="8"/>
  <c r="H18" i="8"/>
  <c r="H17" i="8"/>
  <c r="H16" i="8"/>
  <c r="H14" i="8"/>
  <c r="H13" i="8"/>
  <c r="H12" i="8"/>
  <c r="H11" i="8"/>
  <c r="H15" i="8" s="1"/>
  <c r="H9" i="8"/>
  <c r="H8" i="8"/>
  <c r="H7" i="8"/>
  <c r="H6" i="8"/>
  <c r="H5" i="8"/>
  <c r="H4" i="8"/>
  <c r="H3" i="8"/>
  <c r="H2" i="8"/>
  <c r="H19" i="7"/>
  <c r="H18" i="7"/>
  <c r="H17" i="7"/>
  <c r="H14" i="7"/>
  <c r="H15" i="7" s="1"/>
  <c r="H13" i="7"/>
  <c r="H12" i="7"/>
  <c r="H10" i="7"/>
  <c r="H9" i="7"/>
  <c r="H8" i="7"/>
  <c r="H7" i="7"/>
  <c r="H6" i="7"/>
  <c r="H11" i="7" s="1"/>
  <c r="H4" i="7"/>
  <c r="H3" i="7"/>
  <c r="H2" i="7"/>
  <c r="AA57" i="2"/>
  <c r="Z57" i="2"/>
  <c r="AA55" i="2"/>
  <c r="Z55" i="2"/>
  <c r="AA54" i="2"/>
  <c r="Z54" i="2"/>
  <c r="AA53" i="2"/>
  <c r="Z53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10" i="8" l="1"/>
  <c r="H20" i="8"/>
  <c r="H30" i="8"/>
  <c r="H31" i="8" s="1"/>
  <c r="H21" i="8"/>
  <c r="H5" i="7"/>
  <c r="H20" i="7" s="1"/>
  <c r="H21" i="7" s="1"/>
  <c r="H16" i="7"/>
  <c r="T53" i="2" l="1"/>
  <c r="V53" i="2" s="1"/>
  <c r="V52" i="2"/>
  <c r="U52" i="2"/>
  <c r="T52" i="2"/>
  <c r="T51" i="2"/>
  <c r="V51" i="2" s="1"/>
  <c r="V50" i="2"/>
  <c r="U50" i="2"/>
  <c r="T50" i="2"/>
  <c r="V49" i="2"/>
  <c r="U49" i="2"/>
  <c r="T49" i="2"/>
  <c r="U48" i="2"/>
  <c r="U61" i="2" s="1"/>
  <c r="T48" i="2"/>
  <c r="V48" i="2" s="1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19" i="2"/>
  <c r="V18" i="2"/>
  <c r="V17" i="2"/>
  <c r="V16" i="2"/>
  <c r="U16" i="2"/>
  <c r="T16" i="2"/>
  <c r="U15" i="2"/>
  <c r="U57" i="2" s="1"/>
  <c r="T15" i="2"/>
  <c r="T57" i="2" s="1"/>
  <c r="U14" i="2"/>
  <c r="U56" i="2" s="1"/>
  <c r="T14" i="2"/>
  <c r="V14" i="2" s="1"/>
  <c r="V13" i="2"/>
  <c r="V12" i="2"/>
  <c r="V11" i="2"/>
  <c r="V10" i="2"/>
  <c r="V9" i="2"/>
  <c r="V8" i="2"/>
  <c r="V7" i="2"/>
  <c r="V6" i="2"/>
  <c r="V5" i="2"/>
  <c r="V4" i="2"/>
  <c r="V3" i="2"/>
  <c r="T54" i="2" l="1"/>
  <c r="U54" i="2"/>
  <c r="U55" i="2" s="1"/>
  <c r="V15" i="2"/>
  <c r="U20" i="2"/>
  <c r="U21" i="2" s="1"/>
  <c r="U59" i="2" s="1"/>
  <c r="T58" i="2"/>
  <c r="U58" i="2"/>
  <c r="T20" i="2"/>
  <c r="T56" i="2"/>
  <c r="U60" i="2"/>
  <c r="E4" i="13"/>
  <c r="T21" i="2" l="1"/>
  <c r="V20" i="2"/>
  <c r="T55" i="2"/>
  <c r="V55" i="2" s="1"/>
  <c r="V54" i="2"/>
  <c r="G3" i="13"/>
  <c r="G4" i="13"/>
  <c r="V21" i="2" l="1"/>
  <c r="T59" i="2"/>
  <c r="C9" i="10"/>
  <c r="D9" i="10"/>
  <c r="E9" i="10"/>
  <c r="F9" i="10"/>
  <c r="G9" i="10"/>
  <c r="B9" i="10"/>
  <c r="H29" i="6"/>
  <c r="G29" i="6"/>
  <c r="F29" i="6"/>
  <c r="E29" i="6"/>
  <c r="D29" i="6"/>
  <c r="C29" i="6"/>
  <c r="J9" i="12" l="1"/>
  <c r="J8" i="12"/>
  <c r="J7" i="12"/>
  <c r="J6" i="12"/>
  <c r="J5" i="12"/>
  <c r="J4" i="12"/>
  <c r="J3" i="12"/>
  <c r="J2" i="12"/>
  <c r="G29" i="8"/>
  <c r="G28" i="8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15" i="8" l="1"/>
  <c r="G5" i="7"/>
  <c r="G15" i="7"/>
  <c r="G27" i="8"/>
  <c r="G10" i="8"/>
  <c r="G20" i="8"/>
  <c r="G11" i="7"/>
  <c r="G16" i="7" s="1"/>
  <c r="G21" i="8" l="1"/>
  <c r="G30" i="8"/>
  <c r="G31" i="8" s="1"/>
  <c r="G20" i="7"/>
  <c r="G21" i="7" s="1"/>
  <c r="R54" i="2"/>
  <c r="R55" i="2" s="1"/>
  <c r="S53" i="2"/>
  <c r="Q53" i="2"/>
  <c r="R52" i="2"/>
  <c r="Q52" i="2"/>
  <c r="S52" i="2" s="1"/>
  <c r="R51" i="2"/>
  <c r="Q51" i="2"/>
  <c r="S51" i="2" s="1"/>
  <c r="S50" i="2"/>
  <c r="R50" i="2"/>
  <c r="Q50" i="2"/>
  <c r="R49" i="2"/>
  <c r="Q49" i="2"/>
  <c r="S49" i="2" s="1"/>
  <c r="S48" i="2"/>
  <c r="R48" i="2"/>
  <c r="R61" i="2" s="1"/>
  <c r="Q48" i="2"/>
  <c r="Q54" i="2" s="1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R20" i="2"/>
  <c r="S19" i="2"/>
  <c r="S18" i="2"/>
  <c r="S17" i="2"/>
  <c r="R16" i="2"/>
  <c r="Q16" i="2"/>
  <c r="R15" i="2"/>
  <c r="Q15" i="2"/>
  <c r="R14" i="2"/>
  <c r="Q14" i="2"/>
  <c r="S13" i="2"/>
  <c r="S12" i="2"/>
  <c r="S11" i="2"/>
  <c r="S10" i="2"/>
  <c r="S9" i="2"/>
  <c r="S8" i="2"/>
  <c r="S7" i="2"/>
  <c r="S6" i="2"/>
  <c r="S5" i="2"/>
  <c r="S4" i="2"/>
  <c r="S3" i="2"/>
  <c r="R57" i="2" l="1"/>
  <c r="Q57" i="2"/>
  <c r="S15" i="2"/>
  <c r="R21" i="2"/>
  <c r="S16" i="2"/>
  <c r="G4" i="9"/>
  <c r="Q56" i="2"/>
  <c r="G2" i="9" s="1"/>
  <c r="R56" i="2"/>
  <c r="Q55" i="2"/>
  <c r="S55" i="2" s="1"/>
  <c r="S54" i="2"/>
  <c r="Q20" i="2"/>
  <c r="Q58" i="2"/>
  <c r="G5" i="9" s="1"/>
  <c r="R58" i="2"/>
  <c r="S14" i="2"/>
  <c r="R60" i="2"/>
  <c r="H27" i="5"/>
  <c r="H28" i="5" s="1"/>
  <c r="H26" i="5"/>
  <c r="H13" i="5"/>
  <c r="G15" i="10"/>
  <c r="G13" i="10"/>
  <c r="G12" i="10"/>
  <c r="G11" i="10"/>
  <c r="G8" i="10"/>
  <c r="G7" i="10"/>
  <c r="G6" i="10"/>
  <c r="G5" i="10"/>
  <c r="G4" i="10"/>
  <c r="G3" i="10"/>
  <c r="G2" i="10"/>
  <c r="G10" i="10" s="1"/>
  <c r="G14" i="10" s="1"/>
  <c r="G16" i="10" s="1"/>
  <c r="H21" i="6"/>
  <c r="H10" i="6"/>
  <c r="H28" i="6" s="1"/>
  <c r="H23" i="1"/>
  <c r="H19" i="1"/>
  <c r="H13" i="1"/>
  <c r="H7" i="1"/>
  <c r="H21" i="1" s="1"/>
  <c r="R59" i="2" l="1"/>
  <c r="G3" i="9"/>
  <c r="Q21" i="2"/>
  <c r="S20" i="2"/>
  <c r="S21" i="2" l="1"/>
  <c r="Q59" i="2"/>
  <c r="G6" i="9" s="1"/>
  <c r="B28" i="5"/>
  <c r="C28" i="5"/>
  <c r="D28" i="5"/>
  <c r="G6" i="13" l="1"/>
  <c r="G7" i="13"/>
  <c r="G8" i="13"/>
  <c r="G9" i="13"/>
  <c r="G10" i="13"/>
  <c r="G11" i="13"/>
  <c r="G5" i="13"/>
  <c r="I9" i="12" l="1"/>
  <c r="I8" i="12"/>
  <c r="I7" i="12"/>
  <c r="I6" i="12"/>
  <c r="I5" i="12"/>
  <c r="I4" i="12"/>
  <c r="I3" i="12"/>
  <c r="I2" i="12"/>
  <c r="F29" i="8"/>
  <c r="F28" i="8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F27" i="8" l="1"/>
  <c r="F10" i="8"/>
  <c r="F15" i="8"/>
  <c r="F5" i="7"/>
  <c r="F20" i="8"/>
  <c r="F15" i="7"/>
  <c r="F11" i="7"/>
  <c r="F16" i="7" s="1"/>
  <c r="F30" i="8" l="1"/>
  <c r="F21" i="8"/>
  <c r="F20" i="7"/>
  <c r="F21" i="7" s="1"/>
  <c r="F31" i="8"/>
  <c r="N53" i="2"/>
  <c r="P53" i="2" s="1"/>
  <c r="O52" i="2"/>
  <c r="N52" i="2"/>
  <c r="P52" i="2" s="1"/>
  <c r="O51" i="2"/>
  <c r="P51" i="2" s="1"/>
  <c r="N51" i="2"/>
  <c r="O50" i="2"/>
  <c r="N50" i="2"/>
  <c r="P50" i="2" s="1"/>
  <c r="O49" i="2"/>
  <c r="N49" i="2"/>
  <c r="N54" i="2" s="1"/>
  <c r="P48" i="2"/>
  <c r="O48" i="2"/>
  <c r="O61" i="2" s="1"/>
  <c r="N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P15" i="2"/>
  <c r="O15" i="2"/>
  <c r="N15" i="2"/>
  <c r="O14" i="2"/>
  <c r="N14" i="2"/>
  <c r="P13" i="2"/>
  <c r="P12" i="2"/>
  <c r="P11" i="2"/>
  <c r="P10" i="2"/>
  <c r="P9" i="2"/>
  <c r="P8" i="2"/>
  <c r="P7" i="2"/>
  <c r="P6" i="2"/>
  <c r="P5" i="2"/>
  <c r="P4" i="2"/>
  <c r="P3" i="2"/>
  <c r="G27" i="5"/>
  <c r="G26" i="5"/>
  <c r="G13" i="5"/>
  <c r="F15" i="10"/>
  <c r="F13" i="10"/>
  <c r="F12" i="10"/>
  <c r="F11" i="10"/>
  <c r="F8" i="10"/>
  <c r="F7" i="10"/>
  <c r="F6" i="10"/>
  <c r="F5" i="10"/>
  <c r="F4" i="10"/>
  <c r="F3" i="10"/>
  <c r="G21" i="6"/>
  <c r="G10" i="6"/>
  <c r="G28" i="6" s="1"/>
  <c r="N56" i="2" l="1"/>
  <c r="F2" i="9" s="1"/>
  <c r="O57" i="2"/>
  <c r="P16" i="2"/>
  <c r="F4" i="9"/>
  <c r="O56" i="2"/>
  <c r="N57" i="2"/>
  <c r="O20" i="2"/>
  <c r="F2" i="10"/>
  <c r="F10" i="10" s="1"/>
  <c r="F14" i="10" s="1"/>
  <c r="F16" i="10" s="1"/>
  <c r="N55" i="2"/>
  <c r="P54" i="2"/>
  <c r="O54" i="2"/>
  <c r="O55" i="2" s="1"/>
  <c r="P49" i="2"/>
  <c r="N20" i="2"/>
  <c r="N58" i="2"/>
  <c r="F5" i="9" s="1"/>
  <c r="O58" i="2"/>
  <c r="P14" i="2"/>
  <c r="O60" i="2"/>
  <c r="G28" i="5"/>
  <c r="G23" i="1"/>
  <c r="G19" i="1"/>
  <c r="G13" i="1"/>
  <c r="G7" i="1"/>
  <c r="G21" i="1" s="1"/>
  <c r="O21" i="2" l="1"/>
  <c r="F3" i="9"/>
  <c r="O59" i="2"/>
  <c r="P20" i="2"/>
  <c r="N21" i="2"/>
  <c r="P55" i="2"/>
  <c r="J27" i="5"/>
  <c r="F27" i="5"/>
  <c r="E27" i="5"/>
  <c r="D27" i="5"/>
  <c r="C27" i="5"/>
  <c r="B27" i="5"/>
  <c r="P21" i="2" l="1"/>
  <c r="N59" i="2"/>
  <c r="F6" i="9" s="1"/>
  <c r="H9" i="12" l="1"/>
  <c r="H8" i="12"/>
  <c r="H7" i="12"/>
  <c r="H6" i="12"/>
  <c r="H5" i="12"/>
  <c r="H4" i="12"/>
  <c r="H3" i="12"/>
  <c r="H2" i="12"/>
  <c r="E4" i="9"/>
  <c r="E29" i="8"/>
  <c r="E28" i="8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E10" i="8" l="1"/>
  <c r="E15" i="8"/>
  <c r="E20" i="8"/>
  <c r="E27" i="8"/>
  <c r="E5" i="7"/>
  <c r="E15" i="7"/>
  <c r="E11" i="7"/>
  <c r="E20" i="7" l="1"/>
  <c r="E21" i="7" s="1"/>
  <c r="E30" i="8"/>
  <c r="E21" i="8"/>
  <c r="E16" i="7"/>
  <c r="L61" i="2"/>
  <c r="L60" i="2"/>
  <c r="L58" i="2"/>
  <c r="K58" i="2"/>
  <c r="L57" i="2"/>
  <c r="K57" i="2"/>
  <c r="L56" i="2"/>
  <c r="K56" i="2"/>
  <c r="K55" i="2"/>
  <c r="L54" i="2"/>
  <c r="K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J26" i="5"/>
  <c r="J13" i="5"/>
  <c r="I15" i="10"/>
  <c r="I13" i="10"/>
  <c r="I12" i="10"/>
  <c r="I11" i="10"/>
  <c r="I8" i="10"/>
  <c r="I7" i="10"/>
  <c r="I6" i="10"/>
  <c r="I4" i="10"/>
  <c r="I3" i="10"/>
  <c r="J21" i="6"/>
  <c r="K21" i="6" s="1"/>
  <c r="J10" i="6"/>
  <c r="K10" i="6" l="1"/>
  <c r="J29" i="6"/>
  <c r="I5" i="10"/>
  <c r="I2" i="10"/>
  <c r="L55" i="2"/>
  <c r="M54" i="2"/>
  <c r="E3" i="9"/>
  <c r="K59" i="2"/>
  <c r="E6" i="9" s="1"/>
  <c r="E2" i="9"/>
  <c r="E5" i="9"/>
  <c r="E31" i="8"/>
  <c r="M55" i="2"/>
  <c r="J28" i="5"/>
  <c r="J28" i="6"/>
  <c r="K28" i="6" s="1"/>
  <c r="J23" i="1"/>
  <c r="J19" i="1"/>
  <c r="J13" i="1"/>
  <c r="J7" i="1"/>
  <c r="L9" i="12"/>
  <c r="L8" i="12"/>
  <c r="L7" i="12"/>
  <c r="L6" i="12"/>
  <c r="L5" i="12"/>
  <c r="L4" i="12"/>
  <c r="L3" i="12"/>
  <c r="L2" i="12"/>
  <c r="K4" i="9"/>
  <c r="I4" i="9"/>
  <c r="J4" i="9" s="1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X61" i="2"/>
  <c r="X60" i="2"/>
  <c r="X58" i="2"/>
  <c r="AA58" i="2" s="1"/>
  <c r="W58" i="2"/>
  <c r="Z58" i="2" s="1"/>
  <c r="X57" i="2"/>
  <c r="K3" i="9" s="1"/>
  <c r="W57" i="2"/>
  <c r="I3" i="9" s="1"/>
  <c r="J3" i="9" s="1"/>
  <c r="X56" i="2"/>
  <c r="AA56" i="2" s="1"/>
  <c r="W56" i="2"/>
  <c r="Z56" i="2" s="1"/>
  <c r="K29" i="6" l="1"/>
  <c r="I9" i="10"/>
  <c r="I2" i="9"/>
  <c r="J2" i="9" s="1"/>
  <c r="I5" i="9"/>
  <c r="J5" i="9" s="1"/>
  <c r="K5" i="9"/>
  <c r="I10" i="10"/>
  <c r="K2" i="9"/>
  <c r="L59" i="2"/>
  <c r="D27" i="8"/>
  <c r="J21" i="1"/>
  <c r="D5" i="7"/>
  <c r="D10" i="8"/>
  <c r="D20" i="8"/>
  <c r="D15" i="8"/>
  <c r="D11" i="7"/>
  <c r="D15" i="7"/>
  <c r="I14" i="10" l="1"/>
  <c r="D20" i="7"/>
  <c r="D21" i="8"/>
  <c r="D16" i="7"/>
  <c r="I16" i="10" l="1"/>
  <c r="D21" i="7"/>
  <c r="H53" i="2"/>
  <c r="D29" i="8" s="1"/>
  <c r="I52" i="2"/>
  <c r="H52" i="2"/>
  <c r="H51" i="2"/>
  <c r="J51" i="2" s="1"/>
  <c r="I50" i="2"/>
  <c r="H50" i="2"/>
  <c r="I49" i="2"/>
  <c r="H49" i="2"/>
  <c r="J49" i="2" s="1"/>
  <c r="I48" i="2"/>
  <c r="H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I16" i="2"/>
  <c r="H16" i="2"/>
  <c r="I15" i="2"/>
  <c r="I57" i="2" s="1"/>
  <c r="H15" i="2"/>
  <c r="I14" i="2"/>
  <c r="J14" i="2" s="1"/>
  <c r="H14" i="2"/>
  <c r="J13" i="2"/>
  <c r="J12" i="2"/>
  <c r="J11" i="2"/>
  <c r="J10" i="2"/>
  <c r="J9" i="2"/>
  <c r="J8" i="2"/>
  <c r="J7" i="2"/>
  <c r="J6" i="2"/>
  <c r="J5" i="2"/>
  <c r="J4" i="2"/>
  <c r="J3" i="2"/>
  <c r="C23" i="1"/>
  <c r="D23" i="1"/>
  <c r="E23" i="1"/>
  <c r="F23" i="1"/>
  <c r="B23" i="1"/>
  <c r="J53" i="2" l="1"/>
  <c r="I58" i="2"/>
  <c r="I56" i="2"/>
  <c r="I60" i="2"/>
  <c r="J52" i="2"/>
  <c r="D28" i="8"/>
  <c r="D30" i="8" s="1"/>
  <c r="D31" i="8" s="1"/>
  <c r="J16" i="2"/>
  <c r="D4" i="9"/>
  <c r="H57" i="2"/>
  <c r="D3" i="9" s="1"/>
  <c r="H20" i="2"/>
  <c r="H56" i="2"/>
  <c r="D2" i="9" s="1"/>
  <c r="H58" i="2"/>
  <c r="D5" i="9" s="1"/>
  <c r="I54" i="2"/>
  <c r="I55" i="2" s="1"/>
  <c r="I61" i="2"/>
  <c r="J50" i="2"/>
  <c r="H21" i="2"/>
  <c r="J15" i="2"/>
  <c r="I20" i="2"/>
  <c r="I21" i="2" s="1"/>
  <c r="I59" i="2" s="1"/>
  <c r="J48" i="2"/>
  <c r="H54" i="2"/>
  <c r="J21" i="2" l="1"/>
  <c r="H55" i="2"/>
  <c r="J55" i="2" s="1"/>
  <c r="J54" i="2"/>
  <c r="J20" i="2"/>
  <c r="H59" i="2" l="1"/>
  <c r="D6" i="9" s="1"/>
  <c r="F26" i="5"/>
  <c r="F13" i="5"/>
  <c r="E15" i="10"/>
  <c r="E13" i="10"/>
  <c r="E12" i="10"/>
  <c r="E11" i="10"/>
  <c r="E7" i="10"/>
  <c r="E6" i="10"/>
  <c r="E4" i="10"/>
  <c r="E3" i="10"/>
  <c r="D3" i="10"/>
  <c r="D6" i="10"/>
  <c r="D7" i="10"/>
  <c r="D11" i="10"/>
  <c r="D12" i="10"/>
  <c r="D13" i="10"/>
  <c r="D15" i="10"/>
  <c r="F10" i="6"/>
  <c r="F19" i="1"/>
  <c r="F13" i="1"/>
  <c r="F7" i="1"/>
  <c r="E2" i="10" l="1"/>
  <c r="F21" i="6"/>
  <c r="F28" i="6" s="1"/>
  <c r="E8" i="10"/>
  <c r="F28" i="5"/>
  <c r="F21" i="1"/>
  <c r="B24" i="5"/>
  <c r="B23" i="5"/>
  <c r="B21" i="5"/>
  <c r="B15" i="5"/>
  <c r="C24" i="5"/>
  <c r="C23" i="5"/>
  <c r="C21" i="5"/>
  <c r="C15" i="5"/>
  <c r="B5" i="5"/>
  <c r="C5" i="5"/>
  <c r="C14" i="6"/>
  <c r="C5" i="6"/>
  <c r="C4" i="6"/>
  <c r="B12" i="1"/>
  <c r="E53" i="2"/>
  <c r="F52" i="2"/>
  <c r="E52" i="2"/>
  <c r="E51" i="2"/>
  <c r="F50" i="2"/>
  <c r="E50" i="2"/>
  <c r="F49" i="2"/>
  <c r="E49" i="2"/>
  <c r="F48" i="2"/>
  <c r="F61" i="2" s="1"/>
  <c r="E48" i="2"/>
  <c r="F16" i="2"/>
  <c r="E16" i="2"/>
  <c r="C4" i="9" s="1"/>
  <c r="F15" i="2"/>
  <c r="E15" i="2"/>
  <c r="F14" i="2"/>
  <c r="E14" i="2"/>
  <c r="B53" i="2"/>
  <c r="C52" i="2"/>
  <c r="B52" i="2"/>
  <c r="C51" i="2"/>
  <c r="B51" i="2"/>
  <c r="C50" i="2"/>
  <c r="B50" i="2"/>
  <c r="C49" i="2"/>
  <c r="B49" i="2"/>
  <c r="C48" i="2"/>
  <c r="B48" i="2"/>
  <c r="C16" i="2"/>
  <c r="B16" i="2"/>
  <c r="B4" i="9" s="1"/>
  <c r="C15" i="2"/>
  <c r="B15" i="2"/>
  <c r="C14" i="2"/>
  <c r="B14" i="2"/>
  <c r="C12" i="1"/>
  <c r="F20" i="2" l="1"/>
  <c r="F21" i="2" s="1"/>
  <c r="F57" i="2"/>
  <c r="C60" i="2"/>
  <c r="C58" i="2"/>
  <c r="C56" i="2"/>
  <c r="E20" i="2"/>
  <c r="E21" i="2" s="1"/>
  <c r="E58" i="2"/>
  <c r="C5" i="9" s="1"/>
  <c r="E56" i="2"/>
  <c r="C2" i="9" s="1"/>
  <c r="B20" i="2"/>
  <c r="B21" i="2" s="1"/>
  <c r="B56" i="2"/>
  <c r="B2" i="9" s="1"/>
  <c r="B58" i="2"/>
  <c r="B5" i="9" s="1"/>
  <c r="B57" i="2"/>
  <c r="B3" i="9" s="1"/>
  <c r="F60" i="2"/>
  <c r="F56" i="2"/>
  <c r="F58" i="2"/>
  <c r="C57" i="2"/>
  <c r="C61" i="2"/>
  <c r="E57" i="2"/>
  <c r="C3" i="9" s="1"/>
  <c r="E5" i="10"/>
  <c r="C20" i="2"/>
  <c r="C21" i="2" s="1"/>
  <c r="D12" i="1"/>
  <c r="E10" i="10" l="1"/>
  <c r="D16" i="6"/>
  <c r="D14" i="6"/>
  <c r="D5" i="6"/>
  <c r="D4" i="6"/>
  <c r="E16" i="6"/>
  <c r="D8" i="10" s="1"/>
  <c r="E14" i="6"/>
  <c r="E5" i="6"/>
  <c r="E4" i="6"/>
  <c r="D4" i="10" s="1"/>
  <c r="E13" i="1"/>
  <c r="E14" i="10" l="1"/>
  <c r="B13" i="1"/>
  <c r="B19" i="1"/>
  <c r="E16" i="10" l="1"/>
  <c r="B7" i="1"/>
  <c r="B21" i="1" l="1"/>
  <c r="D21" i="6" l="1"/>
  <c r="E21" i="6"/>
  <c r="D5" i="10" s="1"/>
  <c r="C21" i="6"/>
  <c r="E10" i="6"/>
  <c r="D2" i="10" s="1"/>
  <c r="D10" i="6"/>
  <c r="C10" i="6"/>
  <c r="D10" i="10" l="1"/>
  <c r="B26" i="5"/>
  <c r="B13" i="5"/>
  <c r="D19" i="1"/>
  <c r="C19" i="1"/>
  <c r="E19" i="1"/>
  <c r="C13" i="1"/>
  <c r="D13" i="1"/>
  <c r="C7" i="1"/>
  <c r="D7" i="1"/>
  <c r="E7" i="1"/>
  <c r="D14" i="10" l="1"/>
  <c r="E26" i="5"/>
  <c r="D26" i="5"/>
  <c r="C26" i="5"/>
  <c r="E13" i="5"/>
  <c r="D13" i="5"/>
  <c r="C13" i="5"/>
  <c r="D28" i="6"/>
  <c r="E28" i="6"/>
  <c r="C28" i="6"/>
  <c r="D16" i="10" l="1"/>
  <c r="E28" i="5"/>
  <c r="C21" i="1"/>
  <c r="D21" i="1"/>
  <c r="E21" i="1"/>
  <c r="B6" i="10" l="1"/>
  <c r="C6" i="10"/>
  <c r="B7" i="10"/>
  <c r="C7" i="10"/>
  <c r="B8" i="10"/>
  <c r="C8" i="10"/>
  <c r="B3" i="10"/>
  <c r="C3" i="10"/>
  <c r="B4" i="10"/>
  <c r="C4" i="10"/>
  <c r="G6" i="12" l="1"/>
  <c r="F2" i="12"/>
  <c r="G2" i="12"/>
  <c r="F3" i="12"/>
  <c r="G3" i="12"/>
  <c r="F4" i="12"/>
  <c r="G4" i="12"/>
  <c r="F5" i="12"/>
  <c r="G5" i="12"/>
  <c r="F6" i="12"/>
  <c r="F7" i="12"/>
  <c r="G7" i="12"/>
  <c r="F8" i="12"/>
  <c r="G8" i="12"/>
  <c r="F9" i="12"/>
  <c r="G9" i="12"/>
  <c r="E9" i="12"/>
  <c r="E8" i="12"/>
  <c r="E7" i="12"/>
  <c r="E6" i="12"/>
  <c r="E5" i="12"/>
  <c r="E4" i="12"/>
  <c r="E3" i="12"/>
  <c r="E2" i="12"/>
  <c r="B11" i="10"/>
  <c r="C11" i="10"/>
  <c r="B12" i="10"/>
  <c r="C12" i="10"/>
  <c r="B13" i="10"/>
  <c r="C13" i="10"/>
  <c r="B15" i="10"/>
  <c r="C15" i="10"/>
  <c r="L2" i="8" l="1"/>
  <c r="L3" i="8"/>
  <c r="L4" i="8"/>
  <c r="L5" i="8"/>
  <c r="L6" i="8"/>
  <c r="L7" i="8"/>
  <c r="L8" i="8"/>
  <c r="L9" i="8"/>
  <c r="L11" i="8"/>
  <c r="L12" i="8"/>
  <c r="L13" i="8"/>
  <c r="L14" i="8"/>
  <c r="L16" i="8"/>
  <c r="L17" i="8"/>
  <c r="L18" i="8"/>
  <c r="L19" i="8"/>
  <c r="L22" i="8"/>
  <c r="L23" i="8"/>
  <c r="L24" i="8"/>
  <c r="L25" i="8"/>
  <c r="L26" i="8"/>
  <c r="L29" i="8"/>
  <c r="I26" i="8"/>
  <c r="M26" i="8" s="1"/>
  <c r="I25" i="8"/>
  <c r="M25" i="8" s="1"/>
  <c r="I24" i="8"/>
  <c r="K24" i="8" s="1"/>
  <c r="I23" i="8"/>
  <c r="I22" i="8"/>
  <c r="K22" i="8" s="1"/>
  <c r="I19" i="8"/>
  <c r="K19" i="8" s="1"/>
  <c r="I18" i="8"/>
  <c r="I17" i="8"/>
  <c r="M17" i="8" s="1"/>
  <c r="I16" i="8"/>
  <c r="I14" i="8"/>
  <c r="K14" i="8" s="1"/>
  <c r="I13" i="8"/>
  <c r="M13" i="8" s="1"/>
  <c r="I12" i="8"/>
  <c r="K12" i="8" s="1"/>
  <c r="I11" i="8"/>
  <c r="K11" i="8" s="1"/>
  <c r="I9" i="8"/>
  <c r="K9" i="8" s="1"/>
  <c r="I8" i="8"/>
  <c r="K8" i="8" s="1"/>
  <c r="I7" i="8"/>
  <c r="I6" i="8"/>
  <c r="K6" i="8" s="1"/>
  <c r="I5" i="8"/>
  <c r="K5" i="8" s="1"/>
  <c r="I4" i="8"/>
  <c r="K4" i="8" s="1"/>
  <c r="I3" i="8"/>
  <c r="K3" i="8" s="1"/>
  <c r="I2" i="8"/>
  <c r="K2" i="8" s="1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L2" i="7"/>
  <c r="L3" i="7"/>
  <c r="L4" i="7"/>
  <c r="L6" i="7"/>
  <c r="L7" i="7"/>
  <c r="L8" i="7"/>
  <c r="L9" i="7"/>
  <c r="L10" i="7"/>
  <c r="L12" i="7"/>
  <c r="L13" i="7"/>
  <c r="L14" i="7"/>
  <c r="L17" i="7"/>
  <c r="L18" i="7"/>
  <c r="L19" i="7"/>
  <c r="I19" i="7"/>
  <c r="K19" i="7" s="1"/>
  <c r="I18" i="7"/>
  <c r="I17" i="7"/>
  <c r="K17" i="7" s="1"/>
  <c r="I14" i="7"/>
  <c r="K14" i="7" s="1"/>
  <c r="I13" i="7"/>
  <c r="I12" i="7"/>
  <c r="K12" i="7" s="1"/>
  <c r="I10" i="7"/>
  <c r="K10" i="7" s="1"/>
  <c r="I9" i="7"/>
  <c r="K9" i="7" s="1"/>
  <c r="I8" i="7"/>
  <c r="K8" i="7" s="1"/>
  <c r="I7" i="7"/>
  <c r="K7" i="7" s="1"/>
  <c r="I6" i="7"/>
  <c r="I4" i="7"/>
  <c r="K4" i="7" s="1"/>
  <c r="I3" i="7"/>
  <c r="K3" i="7" s="1"/>
  <c r="I2" i="7"/>
  <c r="K2" i="7" s="1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M19" i="8" l="1"/>
  <c r="M7" i="8"/>
  <c r="M5" i="8"/>
  <c r="M9" i="8"/>
  <c r="M8" i="7"/>
  <c r="M13" i="7"/>
  <c r="M6" i="7"/>
  <c r="M18" i="8"/>
  <c r="M6" i="8"/>
  <c r="M22" i="8"/>
  <c r="L20" i="8"/>
  <c r="M10" i="7"/>
  <c r="M9" i="7"/>
  <c r="M19" i="7"/>
  <c r="L11" i="7"/>
  <c r="I15" i="8"/>
  <c r="K15" i="8" s="1"/>
  <c r="M23" i="8"/>
  <c r="B5" i="7"/>
  <c r="M4" i="8"/>
  <c r="M8" i="8"/>
  <c r="M24" i="8"/>
  <c r="L15" i="7"/>
  <c r="M14" i="7"/>
  <c r="B11" i="7"/>
  <c r="M4" i="7"/>
  <c r="B27" i="8"/>
  <c r="B15" i="7"/>
  <c r="I27" i="8"/>
  <c r="K27" i="8" s="1"/>
  <c r="L27" i="8"/>
  <c r="L15" i="8"/>
  <c r="C27" i="8"/>
  <c r="L10" i="8"/>
  <c r="I10" i="8"/>
  <c r="K10" i="8" s="1"/>
  <c r="I20" i="8"/>
  <c r="K20" i="8" s="1"/>
  <c r="C10" i="8"/>
  <c r="C15" i="8"/>
  <c r="C20" i="8"/>
  <c r="M14" i="8"/>
  <c r="M3" i="8"/>
  <c r="M12" i="8"/>
  <c r="B20" i="8"/>
  <c r="B15" i="8"/>
  <c r="B10" i="8"/>
  <c r="M2" i="8"/>
  <c r="M11" i="8"/>
  <c r="M16" i="8"/>
  <c r="M2" i="7"/>
  <c r="L5" i="7"/>
  <c r="M17" i="7"/>
  <c r="C15" i="7"/>
  <c r="C11" i="7"/>
  <c r="M7" i="7"/>
  <c r="M12" i="7"/>
  <c r="M18" i="7"/>
  <c r="I11" i="7"/>
  <c r="K11" i="7" s="1"/>
  <c r="I5" i="7"/>
  <c r="K5" i="7" s="1"/>
  <c r="I15" i="7"/>
  <c r="K15" i="7" s="1"/>
  <c r="M3" i="7"/>
  <c r="C5" i="7"/>
  <c r="I21" i="8" l="1"/>
  <c r="K21" i="8" s="1"/>
  <c r="B21" i="8"/>
  <c r="C21" i="8"/>
  <c r="L21" i="8"/>
  <c r="C16" i="7"/>
  <c r="L16" i="7"/>
  <c r="I16" i="7"/>
  <c r="K16" i="7" s="1"/>
  <c r="B16" i="7"/>
  <c r="B20" i="7"/>
  <c r="B21" i="7" s="1"/>
  <c r="L20" i="7"/>
  <c r="L21" i="7" s="1"/>
  <c r="M11" i="7"/>
  <c r="M20" i="8"/>
  <c r="M15" i="7"/>
  <c r="C30" i="8"/>
  <c r="C31" i="8" s="1"/>
  <c r="M27" i="8"/>
  <c r="B30" i="8"/>
  <c r="B31" i="8" s="1"/>
  <c r="M15" i="8"/>
  <c r="M10" i="8"/>
  <c r="C20" i="7"/>
  <c r="C21" i="7" s="1"/>
  <c r="I20" i="7"/>
  <c r="K20" i="7" s="1"/>
  <c r="M5" i="7"/>
  <c r="I21" i="7" l="1"/>
  <c r="K21" i="7" s="1"/>
  <c r="M21" i="8"/>
  <c r="M16" i="7"/>
  <c r="M20" i="7"/>
  <c r="L28" i="8"/>
  <c r="L30" i="8" s="1"/>
  <c r="L31" i="8" s="1"/>
  <c r="J3" i="7" l="1"/>
  <c r="J5" i="7"/>
  <c r="J18" i="7"/>
  <c r="J14" i="7"/>
  <c r="J15" i="7"/>
  <c r="J12" i="7"/>
  <c r="J13" i="7"/>
  <c r="J16" i="7"/>
  <c r="J10" i="7"/>
  <c r="J8" i="7"/>
  <c r="J11" i="7"/>
  <c r="J7" i="7"/>
  <c r="J9" i="7"/>
  <c r="M21" i="7"/>
  <c r="J4" i="7"/>
  <c r="J6" i="7"/>
  <c r="J17" i="7"/>
  <c r="J21" i="7"/>
  <c r="J2" i="7"/>
  <c r="C5" i="10"/>
  <c r="B5" i="10"/>
  <c r="C2" i="10"/>
  <c r="B2" i="10"/>
  <c r="C10" i="10" l="1"/>
  <c r="C14" i="10" s="1"/>
  <c r="C16" i="10" s="1"/>
  <c r="B10" i="10"/>
  <c r="B14" i="10" s="1"/>
  <c r="B16" i="10" s="1"/>
  <c r="E54" i="2"/>
  <c r="E55" i="2" s="1"/>
  <c r="E59" i="2" s="1"/>
  <c r="C6" i="9" s="1"/>
  <c r="F54" i="2"/>
  <c r="F55" i="2" s="1"/>
  <c r="F59" i="2" s="1"/>
  <c r="Y47" i="2" l="1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I28" i="8" l="1"/>
  <c r="Y53" i="2" l="1"/>
  <c r="I29" i="8"/>
  <c r="K29" i="8" s="1"/>
  <c r="M28" i="8"/>
  <c r="Y49" i="2"/>
  <c r="Y52" i="2"/>
  <c r="Y51" i="2"/>
  <c r="Y50" i="2"/>
  <c r="Y48" i="2"/>
  <c r="Y16" i="2"/>
  <c r="Y14" i="2"/>
  <c r="Y15" i="2"/>
  <c r="I30" i="8" l="1"/>
  <c r="K30" i="8" s="1"/>
  <c r="M29" i="8"/>
  <c r="Y21" i="2"/>
  <c r="Y20" i="2"/>
  <c r="Y54" i="2"/>
  <c r="G12" i="2"/>
  <c r="D53" i="2"/>
  <c r="D52" i="2"/>
  <c r="X59" i="2" l="1"/>
  <c r="Y55" i="2"/>
  <c r="W59" i="2"/>
  <c r="I31" i="8"/>
  <c r="K31" i="8" s="1"/>
  <c r="M30" i="8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K6" i="9" l="1"/>
  <c r="AA59" i="2"/>
  <c r="I6" i="9"/>
  <c r="J6" i="9" s="1"/>
  <c r="Z59" i="2"/>
  <c r="J13" i="8"/>
  <c r="M31" i="8"/>
  <c r="J6" i="8"/>
  <c r="J24" i="8"/>
  <c r="J7" i="8"/>
  <c r="J19" i="8"/>
  <c r="J16" i="8"/>
  <c r="J28" i="8"/>
  <c r="J2" i="8"/>
  <c r="J26" i="8"/>
  <c r="J18" i="8"/>
  <c r="J15" i="8"/>
  <c r="J8" i="8"/>
  <c r="J17" i="8"/>
  <c r="J23" i="8"/>
  <c r="J20" i="8"/>
  <c r="J5" i="8"/>
  <c r="J12" i="8"/>
  <c r="J10" i="8"/>
  <c r="J25" i="8"/>
  <c r="J11" i="8"/>
  <c r="J14" i="8"/>
  <c r="J27" i="8"/>
  <c r="J4" i="8"/>
  <c r="J22" i="8"/>
  <c r="J3" i="8"/>
  <c r="J9" i="8"/>
  <c r="J31" i="8"/>
  <c r="J21" i="8"/>
  <c r="G20" i="2"/>
  <c r="G54" i="2"/>
  <c r="G16" i="2"/>
  <c r="D21" i="2"/>
  <c r="D20" i="2"/>
  <c r="B55" i="2"/>
  <c r="D54" i="2"/>
  <c r="D55" i="2" l="1"/>
  <c r="B59" i="2"/>
  <c r="B6" i="9" s="1"/>
  <c r="G21" i="2"/>
  <c r="G55" i="2"/>
</calcChain>
</file>

<file path=xl/sharedStrings.xml><?xml version="1.0" encoding="utf-8"?>
<sst xmlns="http://schemas.openxmlformats.org/spreadsheetml/2006/main" count="499" uniqueCount="368">
  <si>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</si>
  <si>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</si>
  <si>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</si>
  <si>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</si>
  <si>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</si>
  <si>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</si>
  <si>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</si>
  <si>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</si>
  <si>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</si>
  <si>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</si>
  <si>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</si>
  <si>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</si>
  <si>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</si>
  <si>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</si>
  <si>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</si>
  <si>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</si>
  <si>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</si>
  <si>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</si>
  <si>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</si>
  <si>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</si>
  <si>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</si>
  <si>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</si>
  <si>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</si>
  <si>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</si>
  <si>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</si>
  <si>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</si>
  <si>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</si>
  <si>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</si>
  <si>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</si>
  <si>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</si>
  <si>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</si>
  <si>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</si>
  <si>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</si>
  <si>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</si>
  <si>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</si>
  <si>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</si>
  <si>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</si>
  <si>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</si>
  <si>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</si>
  <si>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</si>
  <si>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</si>
  <si>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</si>
  <si>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</si>
  <si>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</si>
  <si>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</si>
  <si>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</si>
  <si>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</si>
  <si>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</si>
  <si>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</si>
  <si>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</si>
  <si>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</si>
  <si>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</si>
  <si>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</si>
  <si>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</si>
  <si>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</si>
  <si>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</si>
  <si>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</si>
  <si>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</si>
  <si>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</si>
  <si>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</si>
  <si>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</si>
  <si>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</si>
  <si>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</si>
  <si>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</si>
  <si>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</si>
  <si>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</si>
  <si>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</si>
  <si>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</si>
  <si>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</si>
  <si>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</si>
  <si>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</si>
  <si>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</si>
  <si>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</si>
  <si>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</si>
  <si>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</si>
  <si>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</si>
  <si>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</si>
  <si>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</si>
  <si>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</si>
  <si>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</si>
  <si>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</si>
  <si>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</si>
  <si>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</si>
  <si>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</si>
  <si>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</si>
  <si>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</si>
  <si>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</si>
  <si>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</si>
  <si>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</si>
  <si>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</si>
  <si>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</si>
  <si>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</si>
  <si>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</si>
  <si>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</si>
  <si>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</si>
  <si>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</si>
  <si>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</si>
  <si>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</si>
  <si>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</si>
  <si>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</si>
  <si>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</si>
  <si>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</si>
  <si>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</si>
  <si>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</si>
  <si>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</si>
  <si>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</si>
  <si>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</si>
  <si>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</si>
  <si>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</si>
  <si>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</si>
  <si>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</si>
  <si>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</si>
  <si>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</si>
  <si>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</si>
  <si>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</si>
  <si>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</si>
  <si>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</si>
  <si>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</si>
  <si>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</si>
  <si>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</si>
  <si>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</si>
  <si>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</si>
  <si>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</si>
  <si>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</si>
  <si>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</si>
  <si>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</si>
  <si>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</si>
  <si>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</si>
  <si>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</si>
  <si>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</si>
  <si>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</si>
  <si>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</si>
  <si>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</si>
  <si>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</si>
  <si>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</si>
  <si>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</si>
  <si>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</si>
  <si>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</si>
  <si>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</si>
  <si>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</si>
  <si>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</si>
  <si>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</si>
  <si>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</si>
  <si>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</si>
  <si>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</si>
  <si>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</si>
  <si>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</si>
  <si>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</si>
  <si>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</si>
  <si>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</si>
  <si>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</si>
  <si>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</si>
  <si>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</si>
  <si>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</si>
  <si>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</si>
  <si>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</si>
  <si>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</si>
  <si>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</si>
  <si>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</si>
  <si>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</si>
  <si>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</si>
  <si>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</si>
  <si>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</si>
  <si>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</si>
  <si>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</si>
  <si>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</si>
  <si>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</si>
  <si>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</si>
  <si>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</si>
  <si>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</si>
  <si>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</si>
  <si>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</si>
  <si>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</si>
  <si>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</si>
  <si>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</si>
  <si>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</si>
  <si>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</si>
  <si>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</si>
  <si>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</si>
  <si>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</si>
  <si>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</si>
  <si>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</si>
  <si>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</si>
  <si>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</si>
  <si>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</si>
  <si>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</si>
  <si>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</si>
  <si>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</si>
  <si>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</si>
  <si>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</si>
  <si>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</si>
  <si>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</si>
  <si>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</si>
  <si>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</si>
  <si>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</si>
  <si>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</si>
  <si>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</si>
  <si>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</si>
  <si>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</si>
  <si>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</si>
  <si>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</si>
  <si>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</si>
  <si>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</si>
  <si>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</si>
  <si>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</si>
  <si>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</si>
  <si>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</si>
  <si>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</si>
  <si>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</si>
  <si>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</si>
  <si>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</si>
  <si>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</si>
  <si>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</si>
  <si>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</si>
  <si>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</si>
  <si>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</si>
  <si>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</si>
  <si>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</si>
  <si>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</si>
  <si>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</si>
  <si>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</si>
  <si>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</si>
  <si>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</si>
  <si>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</si>
  <si>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</si>
  <si>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</si>
  <si>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</si>
  <si>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</si>
  <si>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</si>
  <si>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</si>
  <si>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</si>
  <si>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</si>
  <si>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</si>
  <si>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</si>
  <si>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</si>
  <si>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</si>
  <si>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</si>
  <si>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</si>
  <si>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</si>
  <si>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</si>
  <si>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</si>
  <si>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</si>
  <si>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</si>
  <si>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</si>
  <si>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</si>
  <si>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</si>
  <si>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</si>
  <si>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</si>
  <si>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</si>
  <si>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</si>
  <si>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</si>
  <si>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</si>
  <si>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</si>
  <si>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</si>
  <si>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</si>
  <si>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</si>
  <si>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</si>
  <si>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</si>
  <si>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</si>
  <si>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</si>
  <si>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</si>
  <si>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</si>
  <si>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</si>
  <si>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</si>
  <si>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</si>
  <si>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</si>
  <si>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</si>
  <si>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</si>
  <si>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</si>
  <si>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</si>
  <si>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</si>
  <si>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</si>
  <si>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</si>
  <si>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</si>
  <si>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</si>
  <si>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</si>
  <si>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</si>
  <si>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</si>
  <si>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</si>
  <si>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</si>
  <si>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</si>
  <si>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</si>
  <si>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</si>
  <si>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</si>
  <si>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</si>
  <si>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</si>
  <si>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</si>
  <si>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</si>
  <si>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</si>
  <si>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</si>
  <si>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</si>
  <si>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</si>
  <si>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</si>
  <si>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</si>
  <si>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</si>
  <si>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</si>
  <si>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</si>
  <si>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</si>
  <si>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</si>
  <si>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</si>
  <si>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</si>
  <si>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</si>
  <si>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</si>
  <si>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</si>
  <si>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</si>
  <si>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</si>
  <si>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</si>
  <si>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</si>
  <si>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</si>
  <si>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</si>
  <si>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</si>
  <si>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</si>
  <si>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</si>
  <si>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</si>
  <si>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</si>
  <si>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</si>
  <si>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</si>
  <si>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</si>
  <si>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</si>
  <si>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</si>
  <si>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</si>
  <si>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</si>
  <si>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</si>
  <si>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</si>
  <si>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</si>
  <si>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</si>
  <si>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</si>
  <si>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</si>
  <si>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</si>
  <si>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</si>
  <si>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</si>
  <si>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</si>
  <si>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</si>
  <si>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</si>
  <si>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</si>
  <si>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</si>
  <si>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</si>
  <si>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</si>
  <si>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</si>
  <si>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</si>
  <si>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</si>
  <si>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</si>
  <si>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</si>
  <si>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</si>
  <si>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</si>
  <si>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</si>
  <si>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</si>
  <si>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</si>
  <si>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</si>
  <si>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</si>
  <si>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</si>
  <si>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Città metro-politana</t>
  </si>
  <si>
    <t>Saldo naturale</t>
  </si>
  <si>
    <t>Saldo migratorio</t>
  </si>
  <si>
    <t>Verifica</t>
  </si>
  <si>
    <t/>
  </si>
  <si>
    <t>Riaccertamento residui attivi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</si>
  <si>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</si>
  <si>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</si>
  <si>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</si>
  <si>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</si>
  <si>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</si>
  <si>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Risultato economico di esercizi precedenti (A4)</t>
  </si>
  <si>
    <t>Riserve negative per beni indisponibili (A5)</t>
  </si>
  <si>
    <t>Saldo censuario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</si>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</sst>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  <xf numFmtId="164" fontId="3" fillId="0" borderId="0" applyFont="0" applyFill="0" applyBorder="0" applyAlignment="0" applyProtection="0"/>
  </cellStyleXfs>
  <cellXfs count="150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6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5" fillId="0" borderId="1" xfId="2" applyFont="1" applyFill="1" applyBorder="1" applyAlignment="1" applyProtection="1">
      <alignment vertical="center" readingOrder="1"/>
    </xf>
    <xf numFmtId="165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0" applyNumberFormat="1" applyBorder="1"/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/>
    <xf numFmtId="0" fontId="0" fillId="0" borderId="4" xfId="0" applyBorder="1" applyAlignment="1">
      <alignment horizontal="center"/>
    </xf>
    <xf numFmtId="165" fontId="0" fillId="0" borderId="4" xfId="0" applyNumberFormat="1" applyBorder="1"/>
    <xf numFmtId="165" fontId="0" fillId="0" borderId="5" xfId="0" applyNumberFormat="1" applyBorder="1"/>
    <xf numFmtId="0" fontId="0" fillId="0" borderId="0" xfId="0" quotePrefix="1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165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5" fontId="1" fillId="0" borderId="0" xfId="0" applyNumberFormat="1" applyFont="1"/>
    <xf numFmtId="165" fontId="1" fillId="0" borderId="0" xfId="0" applyNumberFormat="1" applyFont="1" applyBorder="1" applyAlignment="1">
      <alignment horizontal="center"/>
    </xf>
    <xf numFmtId="165" fontId="1" fillId="0" borderId="0" xfId="1" applyNumberFormat="1" applyFont="1"/>
    <xf numFmtId="0" fontId="6" fillId="0" borderId="0" xfId="0" applyFont="1"/>
    <xf numFmtId="165" fontId="6" fillId="0" borderId="0" xfId="0" applyNumberFormat="1" applyFont="1"/>
    <xf numFmtId="165" fontId="6" fillId="0" borderId="0" xfId="0" applyNumberFormat="1" applyFont="1" applyBorder="1" applyAlignment="1">
      <alignment horizontal="center"/>
    </xf>
    <xf numFmtId="165" fontId="2" fillId="0" borderId="1" xfId="0" applyNumberFormat="1" applyFont="1" applyBorder="1"/>
    <xf numFmtId="166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7" fillId="4" borderId="0" xfId="0" applyFont="1" applyFill="1"/>
    <xf numFmtId="165" fontId="0" fillId="4" borderId="0" xfId="0" applyNumberFormat="1" applyFill="1"/>
    <xf numFmtId="166" fontId="0" fillId="4" borderId="0" xfId="0" applyNumberFormat="1" applyFill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5" fontId="0" fillId="4" borderId="0" xfId="0" applyNumberFormat="1" applyFont="1" applyFill="1"/>
    <xf numFmtId="166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7" fontId="0" fillId="4" borderId="0" xfId="0" applyNumberFormat="1" applyFont="1" applyFill="1"/>
    <xf numFmtId="167" fontId="3" fillId="4" borderId="0" xfId="1" applyNumberFormat="1" applyFont="1" applyFill="1"/>
    <xf numFmtId="167" fontId="6" fillId="0" borderId="0" xfId="0" applyNumberFormat="1" applyFont="1"/>
    <xf numFmtId="167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7" fontId="1" fillId="4" borderId="0" xfId="0" applyNumberFormat="1" applyFont="1" applyFill="1" applyAlignment="1">
      <alignment horizontal="center" vertical="center"/>
    </xf>
    <xf numFmtId="167" fontId="1" fillId="6" borderId="0" xfId="1" applyNumberFormat="1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167" fontId="9" fillId="4" borderId="0" xfId="1" applyNumberFormat="1" applyFont="1" applyFill="1" applyAlignment="1">
      <alignment horizontal="center" vertical="center"/>
    </xf>
    <xf numFmtId="167" fontId="9" fillId="6" borderId="0" xfId="1" applyNumberFormat="1" applyFont="1" applyFill="1" applyAlignment="1">
      <alignment horizontal="center" vertical="center"/>
    </xf>
    <xf numFmtId="167" fontId="1" fillId="6" borderId="0" xfId="0" applyNumberFormat="1" applyFont="1" applyFill="1" applyAlignment="1">
      <alignment horizontal="center" vertical="center"/>
    </xf>
    <xf numFmtId="167" fontId="6" fillId="4" borderId="0" xfId="0" quotePrefix="1" applyNumberFormat="1" applyFont="1" applyFill="1" applyAlignment="1">
      <alignment horizontal="center" vertical="center"/>
    </xf>
    <xf numFmtId="167" fontId="6" fillId="6" borderId="0" xfId="1" quotePrefix="1" applyNumberFormat="1" applyFont="1" applyFill="1" applyAlignment="1">
      <alignment horizontal="center" vertical="center"/>
    </xf>
    <xf numFmtId="167" fontId="6" fillId="6" borderId="0" xfId="0" quotePrefix="1" applyNumberFormat="1" applyFont="1" applyFill="1" applyAlignment="1">
      <alignment horizontal="center" vertical="center"/>
    </xf>
    <xf numFmtId="167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0" fontId="0" fillId="0" borderId="0" xfId="0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3" fontId="0" fillId="0" borderId="0" xfId="1" applyNumberFormat="1" applyFont="1"/>
    <xf numFmtId="3" fontId="0" fillId="0" borderId="0" xfId="0" applyNumberFormat="1" applyAlignment="1">
      <alignment horizontal="center"/>
    </xf>
    <xf numFmtId="165" fontId="0" fillId="2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0" xfId="0"/>
    <xf numFmtId="3" fontId="0" fillId="0" borderId="0" xfId="0" applyNumberFormat="1"/>
    <xf numFmtId="2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0" borderId="1" xfId="0" applyNumberFormat="1" applyBorder="1" applyAlignment="1">
      <alignment horizontal="center"/>
    </xf>
    <xf numFmtId="2" fontId="0" fillId="0" borderId="0" xfId="0" applyNumberFormat="1" applyFill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3" applyNumberFormat="1" applyFont="1"/>
    <xf numFmtId="165" fontId="0" fillId="0" borderId="0" xfId="0" applyNumberFormat="1"/>
    <xf numFmtId="165" fontId="0" fillId="2" borderId="0" xfId="0" applyNumberFormat="1" applyFill="1"/>
    <xf numFmtId="165" fontId="0" fillId="2" borderId="0" xfId="3" applyNumberFormat="1" applyFont="1" applyFill="1"/>
    <xf numFmtId="0" fontId="0" fillId="0" borderId="0" xfId="0" applyAlignment="1">
      <alignment horizontal="center"/>
    </xf>
    <xf numFmtId="3" fontId="0" fillId="0" borderId="0" xfId="3" applyNumberFormat="1" applyFont="1"/>
    <xf numFmtId="3" fontId="0" fillId="0" borderId="0" xfId="0" applyNumberFormat="1" applyAlignment="1">
      <alignment horizontal="center"/>
    </xf>
    <xf numFmtId="165" fontId="0" fillId="4" borderId="0" xfId="0" applyNumberFormat="1" applyFill="1"/>
    <xf numFmtId="0" fontId="6" fillId="0" borderId="0" xfId="0" applyFont="1"/>
    <xf numFmtId="166" fontId="6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65" fontId="0" fillId="0" borderId="0" xfId="0" applyNumberFormat="1" applyAlignment="1">
      <alignment horizontal="right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3" fontId="0" fillId="0" borderId="0" xfId="0" applyNumberFormat="1" applyAlignment="1"/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Migliaia" xfId="1" builtinId="3"/>
    <cellStyle name="Migliaia 2" xfId="3"/>
    <cellStyle name="Normal" xfId="2"/>
    <cellStyle name="Normale" xfId="0" builtinId="0"/>
  </cellStyles>
  <dxfs count="110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909992778521"/>
          <c:y val="5.4234059497589075E-2"/>
          <c:w val="0.85976976671438865"/>
          <c:h val="0.77200992508169775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Risultato_amministrazione!$B$3:$J$3</c:f>
              <c:numCache>
                <c:formatCode>#,##0</c:formatCode>
                <c:ptCount val="9"/>
                <c:pt idx="0">
                  <c:v>42360043.609999999</c:v>
                </c:pt>
                <c:pt idx="1">
                  <c:v>48964645.850000001</c:v>
                </c:pt>
                <c:pt idx="2">
                  <c:v>58174539.630000003</c:v>
                </c:pt>
                <c:pt idx="3">
                  <c:v>46282233.390000001</c:v>
                </c:pt>
                <c:pt idx="4">
                  <c:v>49231992.829999998</c:v>
                </c:pt>
                <c:pt idx="5">
                  <c:v>54933727.090000004</c:v>
                </c:pt>
                <c:pt idx="6">
                  <c:v>66054621.450000003</c:v>
                </c:pt>
                <c:pt idx="7">
                  <c:v>66124964.170000002</c:v>
                </c:pt>
                <c:pt idx="8">
                  <c:v>87449631.290000007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Risultato_amministrazione!$B$4:$J$4</c:f>
              <c:numCache>
                <c:formatCode>#,##0</c:formatCode>
                <c:ptCount val="9"/>
                <c:pt idx="0">
                  <c:v>23300695.420000002</c:v>
                </c:pt>
                <c:pt idx="1">
                  <c:v>24072160.050000001</c:v>
                </c:pt>
                <c:pt idx="2">
                  <c:v>29259013.649999999</c:v>
                </c:pt>
                <c:pt idx="3">
                  <c:v>24352273.379999999</c:v>
                </c:pt>
                <c:pt idx="4">
                  <c:v>24822790.010000002</c:v>
                </c:pt>
                <c:pt idx="5">
                  <c:v>35519938.229999997</c:v>
                </c:pt>
                <c:pt idx="6">
                  <c:v>54063081.210000001</c:v>
                </c:pt>
                <c:pt idx="7">
                  <c:v>59828095.100000001</c:v>
                </c:pt>
                <c:pt idx="8">
                  <c:v>57701843.710000001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38048"/>
        <c:axId val="1064538592"/>
      </c:lineChart>
      <c:catAx>
        <c:axId val="106453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38592"/>
        <c:crosses val="autoZero"/>
        <c:auto val="1"/>
        <c:lblAlgn val="ctr"/>
        <c:lblOffset val="100"/>
        <c:noMultiLvlLbl val="0"/>
      </c:catAx>
      <c:valAx>
        <c:axId val="1064538592"/>
        <c:scaling>
          <c:orientation val="minMax"/>
          <c:max val="100000000"/>
          <c:min val="2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1064538048"/>
        <c:crosses val="autoZero"/>
        <c:crossBetween val="between"/>
        <c:majorUnit val="2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0076222937063E-2"/>
          <c:y val="5.7089718949586005E-2"/>
          <c:w val="0.95679921453118799"/>
          <c:h val="0.77186527390942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-7.6343162515507207E-3"/>
                  <c:y val="1.5387574533564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81715812577536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101.901</c:v>
                </c:pt>
                <c:pt idx="1">
                  <c:v>144.999</c:v>
                </c:pt>
                <c:pt idx="2">
                  <c:v>189.197</c:v>
                </c:pt>
                <c:pt idx="3">
                  <c:v>192.47200000000001</c:v>
                </c:pt>
                <c:pt idx="4">
                  <c:v>174.44399999999999</c:v>
                </c:pt>
                <c:pt idx="5">
                  <c:v>190.34800000000001</c:v>
                </c:pt>
                <c:pt idx="6">
                  <c:v>229.71</c:v>
                </c:pt>
                <c:pt idx="7">
                  <c:v>269.87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4335008"/>
        <c:axId val="1824333376"/>
      </c:barChart>
      <c:catAx>
        <c:axId val="182433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24333376"/>
        <c:crosses val="autoZero"/>
        <c:auto val="1"/>
        <c:lblAlgn val="ctr"/>
        <c:lblOffset val="100"/>
        <c:noMultiLvlLbl val="0"/>
      </c:catAx>
      <c:valAx>
        <c:axId val="1824333376"/>
        <c:scaling>
          <c:orientation val="minMax"/>
          <c:max val="32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82433500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363E-2"/>
          <c:y val="0"/>
          <c:w val="0.95679921453118799"/>
          <c:h val="0.824647777753543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13.8</c:v>
                </c:pt>
                <c:pt idx="1">
                  <c:v>4.45</c:v>
                </c:pt>
                <c:pt idx="2">
                  <c:v>-6.24</c:v>
                </c:pt>
                <c:pt idx="3">
                  <c:v>-9.4</c:v>
                </c:pt>
                <c:pt idx="4">
                  <c:v>-7.82</c:v>
                </c:pt>
                <c:pt idx="5">
                  <c:v>-8</c:v>
                </c:pt>
                <c:pt idx="6">
                  <c:v>-11</c:v>
                </c:pt>
                <c:pt idx="7">
                  <c:v>-10.71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4336096"/>
        <c:axId val="1824333920"/>
      </c:barChart>
      <c:catAx>
        <c:axId val="182433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24333920"/>
        <c:crosses val="autoZero"/>
        <c:auto val="1"/>
        <c:lblAlgn val="ctr"/>
        <c:lblOffset val="100"/>
        <c:noMultiLvlLbl val="0"/>
      </c:catAx>
      <c:valAx>
        <c:axId val="1824333920"/>
        <c:scaling>
          <c:orientation val="minMax"/>
          <c:max val="50"/>
          <c:min val="-12"/>
        </c:scaling>
        <c:delete val="1"/>
        <c:axPos val="l"/>
        <c:numFmt formatCode="0" sourceLinked="0"/>
        <c:majorTickMark val="none"/>
        <c:minorTickMark val="none"/>
        <c:tickLblPos val="none"/>
        <c:crossAx val="1824336096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27E-2"/>
          <c:y val="5.1708217913204124E-2"/>
          <c:w val="0.95679921453118799"/>
          <c:h val="0.75077889502039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dLbl>
              <c:idx val="7"/>
              <c:layout>
                <c:manualLayout>
                  <c:x val="-5.7257371886630408E-3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742.34099755923546</c:v>
                </c:pt>
                <c:pt idx="1">
                  <c:v>735.43100000000004</c:v>
                </c:pt>
                <c:pt idx="2">
                  <c:v>680.91</c:v>
                </c:pt>
                <c:pt idx="3">
                  <c:v>578.94399999999996</c:v>
                </c:pt>
                <c:pt idx="4">
                  <c:v>581.23</c:v>
                </c:pt>
                <c:pt idx="5">
                  <c:v>559.96</c:v>
                </c:pt>
                <c:pt idx="6">
                  <c:v>532.48</c:v>
                </c:pt>
                <c:pt idx="7">
                  <c:v>513.66999999999996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4335552"/>
        <c:axId val="1824337728"/>
      </c:barChart>
      <c:catAx>
        <c:axId val="182433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24337728"/>
        <c:crosses val="autoZero"/>
        <c:auto val="1"/>
        <c:lblAlgn val="ctr"/>
        <c:lblOffset val="100"/>
        <c:noMultiLvlLbl val="0"/>
      </c:catAx>
      <c:valAx>
        <c:axId val="1824337728"/>
        <c:scaling>
          <c:orientation val="minMax"/>
          <c:max val="185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824335552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7944588737157592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129555</c:v>
                </c:pt>
                <c:pt idx="1">
                  <c:v>129724</c:v>
                </c:pt>
                <c:pt idx="2">
                  <c:v>129872</c:v>
                </c:pt>
                <c:pt idx="3">
                  <c:v>131669</c:v>
                </c:pt>
                <c:pt idx="4">
                  <c:v>132899</c:v>
                </c:pt>
                <c:pt idx="5">
                  <c:v>132931</c:v>
                </c:pt>
                <c:pt idx="6">
                  <c:v>132889</c:v>
                </c:pt>
                <c:pt idx="7">
                  <c:v>132378</c:v>
                </c:pt>
                <c:pt idx="8">
                  <c:v>133365</c:v>
                </c:pt>
                <c:pt idx="9">
                  <c:v>133747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4331744"/>
        <c:axId val="1824336640"/>
      </c:barChart>
      <c:catAx>
        <c:axId val="1824331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824336640"/>
        <c:crosses val="autoZero"/>
        <c:auto val="1"/>
        <c:lblAlgn val="ctr"/>
        <c:lblOffset val="100"/>
        <c:noMultiLvlLbl val="0"/>
      </c:catAx>
      <c:valAx>
        <c:axId val="1824336640"/>
        <c:scaling>
          <c:orientation val="minMax"/>
          <c:max val="16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1824331744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9838443133676"/>
          <c:y val="3.6928720988528119E-2"/>
          <c:w val="0.83731298820622213"/>
          <c:h val="0.79746757498009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Risultato_amministrazione!$B$3:$J$3</c:f>
              <c:numCache>
                <c:formatCode>#,##0</c:formatCode>
                <c:ptCount val="9"/>
                <c:pt idx="0">
                  <c:v>42360043.609999999</c:v>
                </c:pt>
                <c:pt idx="1">
                  <c:v>48964645.850000001</c:v>
                </c:pt>
                <c:pt idx="2">
                  <c:v>58174539.630000003</c:v>
                </c:pt>
                <c:pt idx="3">
                  <c:v>46282233.390000001</c:v>
                </c:pt>
                <c:pt idx="4">
                  <c:v>49231992.829999998</c:v>
                </c:pt>
                <c:pt idx="5">
                  <c:v>54933727.090000004</c:v>
                </c:pt>
                <c:pt idx="6">
                  <c:v>66054621.450000003</c:v>
                </c:pt>
                <c:pt idx="7">
                  <c:v>66124964.170000002</c:v>
                </c:pt>
                <c:pt idx="8">
                  <c:v>87449631.290000007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Risultato_amministrazione!$B$8:$J$8</c:f>
              <c:numCache>
                <c:formatCode>#,##0</c:formatCode>
                <c:ptCount val="9"/>
                <c:pt idx="0">
                  <c:v>8722993.9800000004</c:v>
                </c:pt>
                <c:pt idx="1">
                  <c:v>12921570.68</c:v>
                </c:pt>
                <c:pt idx="2">
                  <c:v>15583320.390000001</c:v>
                </c:pt>
                <c:pt idx="3">
                  <c:v>18660384.210000001</c:v>
                </c:pt>
                <c:pt idx="4">
                  <c:v>18386159.530000001</c:v>
                </c:pt>
                <c:pt idx="5">
                  <c:v>17287597.489999998</c:v>
                </c:pt>
                <c:pt idx="6">
                  <c:v>19301297.370000001</c:v>
                </c:pt>
                <c:pt idx="7">
                  <c:v>18321911.390000001</c:v>
                </c:pt>
                <c:pt idx="8">
                  <c:v>18945978.030000001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4544576"/>
        <c:axId val="1064539680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Risultato_amministrazione!$B$23:$J$23</c:f>
              <c:numCache>
                <c:formatCode>0.0</c:formatCode>
                <c:ptCount val="9"/>
                <c:pt idx="0">
                  <c:v>20.592504720511549</c:v>
                </c:pt>
                <c:pt idx="1">
                  <c:v>26.389592849470183</c:v>
                </c:pt>
                <c:pt idx="2">
                  <c:v>26.787182999835629</c:v>
                </c:pt>
                <c:pt idx="3">
                  <c:v>40.318677045589304</c:v>
                </c:pt>
                <c:pt idx="4">
                  <c:v>37.34595833544283</c:v>
                </c:pt>
                <c:pt idx="5">
                  <c:v>31.46991548867069</c:v>
                </c:pt>
                <c:pt idx="6">
                  <c:v>29.220207377329537</c:v>
                </c:pt>
                <c:pt idx="7">
                  <c:v>27.708009554298407</c:v>
                </c:pt>
                <c:pt idx="8">
                  <c:v>21.665017622740397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40224"/>
        <c:axId val="1064542944"/>
      </c:lineChart>
      <c:catAx>
        <c:axId val="106454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39680"/>
        <c:crosses val="autoZero"/>
        <c:auto val="1"/>
        <c:lblAlgn val="ctr"/>
        <c:lblOffset val="100"/>
        <c:noMultiLvlLbl val="0"/>
      </c:catAx>
      <c:valAx>
        <c:axId val="106453968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4576"/>
        <c:crosses val="autoZero"/>
        <c:crossBetween val="between"/>
      </c:valAx>
      <c:valAx>
        <c:axId val="1064542944"/>
        <c:scaling>
          <c:orientation val="minMax"/>
          <c:max val="42"/>
          <c:min val="1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0224"/>
        <c:crosses val="max"/>
        <c:crossBetween val="between"/>
        <c:majorUnit val="5"/>
      </c:valAx>
      <c:catAx>
        <c:axId val="1064540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645429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438655792601629E-2"/>
          <c:y val="1.922720529499046E-2"/>
          <c:w val="0.73137825503706611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022545141548772E-3"/>
                  <c:y val="3.86461951761159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8708777663055867E-3"/>
                  <c:y val="-1.587158273894097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9.6838901570173615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Conto_economico!$C$1:$J$1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Conto_economico!$C$28:$J$28</c:f>
              <c:numCache>
                <c:formatCode>#,##0</c:formatCode>
                <c:ptCount val="8"/>
                <c:pt idx="0">
                  <c:v>11300768.919999998</c:v>
                </c:pt>
                <c:pt idx="1">
                  <c:v>30700382.390000019</c:v>
                </c:pt>
                <c:pt idx="2">
                  <c:v>34687201.499999963</c:v>
                </c:pt>
                <c:pt idx="3">
                  <c:v>26826108.029999997</c:v>
                </c:pt>
                <c:pt idx="4">
                  <c:v>29761128.970000006</c:v>
                </c:pt>
                <c:pt idx="5">
                  <c:v>5396639.180000023</c:v>
                </c:pt>
                <c:pt idx="6">
                  <c:v>9184852.9800000004</c:v>
                </c:pt>
                <c:pt idx="7">
                  <c:v>-2818684.720000023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541312"/>
        <c:axId val="1064542400"/>
      </c:barChart>
      <c:catAx>
        <c:axId val="1064541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064542400"/>
        <c:crosses val="autoZero"/>
        <c:auto val="1"/>
        <c:lblAlgn val="ctr"/>
        <c:lblOffset val="100"/>
        <c:noMultiLvlLbl val="0"/>
      </c:catAx>
      <c:valAx>
        <c:axId val="1064542400"/>
        <c:scaling>
          <c:orientation val="minMax"/>
          <c:max val="42000000"/>
          <c:min val="-10000000"/>
        </c:scaling>
        <c:delete val="1"/>
        <c:axPos val="b"/>
        <c:numFmt formatCode="#,##0" sourceLinked="1"/>
        <c:majorTickMark val="out"/>
        <c:minorTickMark val="none"/>
        <c:tickLblPos val="nextTo"/>
        <c:crossAx val="10645413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Stato_patrimoniale!$B$21:$J$21</c:f>
              <c:numCache>
                <c:formatCode>#,##0</c:formatCode>
                <c:ptCount val="9"/>
                <c:pt idx="0">
                  <c:v>104235719.38</c:v>
                </c:pt>
                <c:pt idx="1">
                  <c:v>98846415.530000001</c:v>
                </c:pt>
                <c:pt idx="2">
                  <c:v>97083448.010000005</c:v>
                </c:pt>
                <c:pt idx="3">
                  <c:v>82283863.930000007</c:v>
                </c:pt>
                <c:pt idx="4">
                  <c:v>77244421.530000001</c:v>
                </c:pt>
                <c:pt idx="5">
                  <c:v>73405448.640000001</c:v>
                </c:pt>
                <c:pt idx="6">
                  <c:v>69153679.540000007</c:v>
                </c:pt>
                <c:pt idx="7">
                  <c:v>67268169.200000003</c:v>
                </c:pt>
                <c:pt idx="8">
                  <c:v>72557102.930000007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Stato_patrimoniale!$B$22:$J$22</c:f>
              <c:numCache>
                <c:formatCode>#,##0</c:formatCode>
                <c:ptCount val="9"/>
                <c:pt idx="0">
                  <c:v>14248145.359999999</c:v>
                </c:pt>
                <c:pt idx="1">
                  <c:v>12934910.869999999</c:v>
                </c:pt>
                <c:pt idx="2">
                  <c:v>11394138.880000001</c:v>
                </c:pt>
                <c:pt idx="3">
                  <c:v>12485871.75</c:v>
                </c:pt>
                <c:pt idx="4">
                  <c:v>10816101.1</c:v>
                </c:pt>
                <c:pt idx="5">
                  <c:v>13664702.949999999</c:v>
                </c:pt>
                <c:pt idx="6">
                  <c:v>26874211.710000001</c:v>
                </c:pt>
                <c:pt idx="7">
                  <c:v>30207330.640000001</c:v>
                </c:pt>
                <c:pt idx="8">
                  <c:v>24977231.329999998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Stato_patrimoniale!$B$23:$J$23</c:f>
              <c:numCache>
                <c:formatCode>#,##0</c:formatCode>
                <c:ptCount val="9"/>
                <c:pt idx="0">
                  <c:v>3736865.38</c:v>
                </c:pt>
                <c:pt idx="1">
                  <c:v>4986457.2699999996</c:v>
                </c:pt>
                <c:pt idx="2">
                  <c:v>4841956.95</c:v>
                </c:pt>
                <c:pt idx="3">
                  <c:v>5064053.74</c:v>
                </c:pt>
                <c:pt idx="4">
                  <c:v>4597114.7300000004</c:v>
                </c:pt>
                <c:pt idx="5">
                  <c:v>11465624.15</c:v>
                </c:pt>
                <c:pt idx="6">
                  <c:v>12203996.699999999</c:v>
                </c:pt>
                <c:pt idx="7">
                  <c:v>11465262.109999999</c:v>
                </c:pt>
                <c:pt idx="8">
                  <c:v>11704034.890000001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Stato_patrimoniale!$B$24:$J$24</c:f>
              <c:numCache>
                <c:formatCode>#,##0</c:formatCode>
                <c:ptCount val="9"/>
                <c:pt idx="0">
                  <c:v>9104318.7799999993</c:v>
                </c:pt>
                <c:pt idx="1">
                  <c:v>12759500.779999999</c:v>
                </c:pt>
                <c:pt idx="2">
                  <c:v>15979580.060000001</c:v>
                </c:pt>
                <c:pt idx="3">
                  <c:v>11750734.130000001</c:v>
                </c:pt>
                <c:pt idx="4">
                  <c:v>12215321.310000001</c:v>
                </c:pt>
                <c:pt idx="5">
                  <c:v>14675322.029999999</c:v>
                </c:pt>
                <c:pt idx="6">
                  <c:v>14984872.800000001</c:v>
                </c:pt>
                <c:pt idx="7">
                  <c:v>7125372.4699999997</c:v>
                </c:pt>
                <c:pt idx="8">
                  <c:v>12636707.640000001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3488"/>
        <c:axId val="1064541856"/>
      </c:barChart>
      <c:catAx>
        <c:axId val="106454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41856"/>
        <c:crosses val="autoZero"/>
        <c:auto val="1"/>
        <c:lblAlgn val="ctr"/>
        <c:lblOffset val="100"/>
        <c:noMultiLvlLbl val="0"/>
      </c:catAx>
      <c:valAx>
        <c:axId val="1064541856"/>
        <c:scaling>
          <c:orientation val="minMax"/>
          <c:max val="15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064543488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89130478008431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Stato_patrimoniale!$B$14:$J$14</c:f>
              <c:numCache>
                <c:formatCode>#,##0</c:formatCode>
                <c:ptCount val="9"/>
                <c:pt idx="0">
                  <c:v>329575590.23000002</c:v>
                </c:pt>
                <c:pt idx="1">
                  <c:v>329575590.23000002</c:v>
                </c:pt>
                <c:pt idx="2">
                  <c:v>-10974160.93</c:v>
                </c:pt>
                <c:pt idx="3">
                  <c:v>-10974160.93</c:v>
                </c:pt>
                <c:pt idx="4">
                  <c:v>10000000</c:v>
                </c:pt>
                <c:pt idx="5">
                  <c:v>10000000</c:v>
                </c:pt>
                <c:pt idx="6">
                  <c:v>10000000</c:v>
                </c:pt>
                <c:pt idx="7">
                  <c:v>10000000</c:v>
                </c:pt>
                <c:pt idx="8">
                  <c:v>10000000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Stato_patrimoniale!$B$15:$J$15</c:f>
              <c:numCache>
                <c:formatCode>#,##0</c:formatCode>
                <c:ptCount val="9"/>
                <c:pt idx="0">
                  <c:v>60714971.359999999</c:v>
                </c:pt>
                <c:pt idx="1">
                  <c:v>70834208.969999999</c:v>
                </c:pt>
                <c:pt idx="2">
                  <c:v>407973681.10000002</c:v>
                </c:pt>
                <c:pt idx="3">
                  <c:v>442883198.94</c:v>
                </c:pt>
                <c:pt idx="4">
                  <c:v>464025312.11000001</c:v>
                </c:pt>
                <c:pt idx="5">
                  <c:v>453459214.51999998</c:v>
                </c:pt>
                <c:pt idx="6">
                  <c:v>452495689.70999998</c:v>
                </c:pt>
                <c:pt idx="7">
                  <c:v>463893311.43000001</c:v>
                </c:pt>
                <c:pt idx="8">
                  <c:v>486181693.69999999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Stato_patrimoniale!$B$17:$J$17</c:f>
              <c:numCache>
                <c:formatCode>#,##0</c:formatCode>
                <c:ptCount val="9"/>
                <c:pt idx="0">
                  <c:v>8076253.0899999999</c:v>
                </c:pt>
                <c:pt idx="1">
                  <c:v>11300768.92</c:v>
                </c:pt>
                <c:pt idx="2">
                  <c:v>30700382.390000001</c:v>
                </c:pt>
                <c:pt idx="3">
                  <c:v>34687201.5</c:v>
                </c:pt>
                <c:pt idx="4">
                  <c:v>26826108.030000001</c:v>
                </c:pt>
                <c:pt idx="5">
                  <c:v>29761128.969999999</c:v>
                </c:pt>
                <c:pt idx="6">
                  <c:v>5396639.1799999997</c:v>
                </c:pt>
                <c:pt idx="7">
                  <c:v>9184852.9800000004</c:v>
                </c:pt>
                <c:pt idx="8">
                  <c:v>-2818684.72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3"/>
          <c:tx>
            <c:strRef>
              <c:f>Stato_patrimoniale!$A$18</c:f>
              <c:strCache>
                <c:ptCount val="1"/>
                <c:pt idx="0">
                  <c:v>Risultato economico di esercizi precedenti (A4)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Stato_patrimoniale!$B$18:$J$18</c:f>
              <c:numCache>
                <c:formatCode>#,##0</c:formatCode>
                <c:ptCount val="9"/>
                <c:pt idx="5">
                  <c:v>39864624.590000004</c:v>
                </c:pt>
                <c:pt idx="6">
                  <c:v>61506799.460000001</c:v>
                </c:pt>
                <c:pt idx="7">
                  <c:v>66903438.640000001</c:v>
                </c:pt>
                <c:pt idx="8">
                  <c:v>68124889.420000002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4032"/>
        <c:axId val="1446372256"/>
      </c:barChart>
      <c:catAx>
        <c:axId val="1064544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446372256"/>
        <c:crosses val="autoZero"/>
        <c:auto val="1"/>
        <c:lblAlgn val="ctr"/>
        <c:lblOffset val="100"/>
        <c:noMultiLvlLbl val="0"/>
      </c:catAx>
      <c:valAx>
        <c:axId val="1446372256"/>
        <c:scaling>
          <c:orientation val="minMax"/>
          <c:max val="550000000"/>
          <c:min val="-1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1064544032"/>
        <c:crosses val="autoZero"/>
        <c:crossBetween val="between"/>
        <c:majorUnit val="1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89E-2"/>
          <c:w val="0.91226637907374453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83.206000000000003</c:v>
                </c:pt>
                <c:pt idx="1">
                  <c:v>76.716999999999999</c:v>
                </c:pt>
                <c:pt idx="2">
                  <c:v>81.491</c:v>
                </c:pt>
                <c:pt idx="3">
                  <c:v>81.352999999999994</c:v>
                </c:pt>
                <c:pt idx="4">
                  <c:v>80.352000000000004</c:v>
                </c:pt>
                <c:pt idx="5">
                  <c:v>82.393000000000001</c:v>
                </c:pt>
                <c:pt idx="6">
                  <c:v>83.542464872487031</c:v>
                </c:pt>
                <c:pt idx="7">
                  <c:v>77.913932062451323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78.275796682218257</c:v>
                </c:pt>
                <c:pt idx="1">
                  <c:v>75.853806413107662</c:v>
                </c:pt>
                <c:pt idx="2">
                  <c:v>78.313632712404555</c:v>
                </c:pt>
                <c:pt idx="3">
                  <c:v>76.004309655272706</c:v>
                </c:pt>
                <c:pt idx="4">
                  <c:v>73.969041318493296</c:v>
                </c:pt>
                <c:pt idx="5">
                  <c:v>72.1201287159044</c:v>
                </c:pt>
                <c:pt idx="6">
                  <c:v>74.27365780302739</c:v>
                </c:pt>
                <c:pt idx="7">
                  <c:v>68.266248173764438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76.578004826166563</c:v>
                </c:pt>
                <c:pt idx="1">
                  <c:v>74.163964532818554</c:v>
                </c:pt>
                <c:pt idx="2">
                  <c:v>76.817487611292776</c:v>
                </c:pt>
                <c:pt idx="3">
                  <c:v>73.842871881124651</c:v>
                </c:pt>
                <c:pt idx="4">
                  <c:v>71.813178165510493</c:v>
                </c:pt>
                <c:pt idx="5">
                  <c:v>70.113101875405789</c:v>
                </c:pt>
                <c:pt idx="6">
                  <c:v>72.089884029976972</c:v>
                </c:pt>
                <c:pt idx="7">
                  <c:v>65.187431997888652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71168"/>
        <c:axId val="1446371712"/>
      </c:lineChart>
      <c:catAx>
        <c:axId val="144637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46371712"/>
        <c:crosses val="autoZero"/>
        <c:auto val="1"/>
        <c:lblAlgn val="ctr"/>
        <c:lblOffset val="100"/>
        <c:noMultiLvlLbl val="0"/>
      </c:catAx>
      <c:valAx>
        <c:axId val="1446371712"/>
        <c:scaling>
          <c:orientation val="minMax"/>
          <c:max val="85"/>
          <c:min val="6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446371168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999"/>
          <c:w val="0.96177967444791579"/>
          <c:h val="0.17956804601552603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70081924906860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8.0860853600489584</c:v>
                </c:pt>
                <c:pt idx="1">
                  <c:v>7.9068382571872835</c:v>
                </c:pt>
                <c:pt idx="2">
                  <c:v>9.2656623492134091</c:v>
                </c:pt>
                <c:pt idx="3">
                  <c:v>8.6371720764784339</c:v>
                </c:pt>
                <c:pt idx="4">
                  <c:v>8.8762701733413039</c:v>
                </c:pt>
                <c:pt idx="5">
                  <c:v>10.884695101996291</c:v>
                </c:pt>
                <c:pt idx="6">
                  <c:v>8.5408860480493711</c:v>
                </c:pt>
                <c:pt idx="7">
                  <c:v>9.7547503314184709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20.888959405244904</c:v>
                </c:pt>
                <c:pt idx="1">
                  <c:v>16.79293347007642</c:v>
                </c:pt>
                <c:pt idx="2">
                  <c:v>3.4154205347712496</c:v>
                </c:pt>
                <c:pt idx="3">
                  <c:v>3.3703868385949307</c:v>
                </c:pt>
                <c:pt idx="4">
                  <c:v>4.4154435367824485</c:v>
                </c:pt>
                <c:pt idx="5">
                  <c:v>4.2674811825024541</c:v>
                </c:pt>
                <c:pt idx="6">
                  <c:v>4.1326867974432444</c:v>
                </c:pt>
                <c:pt idx="7">
                  <c:v>3.9107379584622182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7.8990910945397674</c:v>
                </c:pt>
                <c:pt idx="1">
                  <c:v>9.4143205302102988</c:v>
                </c:pt>
                <c:pt idx="2">
                  <c:v>12.487631330257381</c:v>
                </c:pt>
                <c:pt idx="3">
                  <c:v>13.943975100044465</c:v>
                </c:pt>
                <c:pt idx="4">
                  <c:v>15.403688207035488</c:v>
                </c:pt>
                <c:pt idx="5">
                  <c:v>15.879786189593107</c:v>
                </c:pt>
                <c:pt idx="6">
                  <c:v>13.312761736830506</c:v>
                </c:pt>
                <c:pt idx="7">
                  <c:v>12.516570923552806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13.826242661891703</c:v>
                </c:pt>
                <c:pt idx="1">
                  <c:v>11.934142764195366</c:v>
                </c:pt>
                <c:pt idx="2">
                  <c:v>14.71010061704375</c:v>
                </c:pt>
                <c:pt idx="3">
                  <c:v>14.360827034237438</c:v>
                </c:pt>
                <c:pt idx="4">
                  <c:v>14.363197626795953</c:v>
                </c:pt>
                <c:pt idx="5">
                  <c:v>14.399476382676992</c:v>
                </c:pt>
                <c:pt idx="6">
                  <c:v>15.715230328410845</c:v>
                </c:pt>
                <c:pt idx="7">
                  <c:v>17.045956694653118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6372800"/>
        <c:axId val="1446369536"/>
      </c:barChart>
      <c:catAx>
        <c:axId val="144637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446369536"/>
        <c:crosses val="autoZero"/>
        <c:auto val="1"/>
        <c:lblAlgn val="ctr"/>
        <c:lblOffset val="100"/>
        <c:noMultiLvlLbl val="0"/>
      </c:catAx>
      <c:valAx>
        <c:axId val="1446369536"/>
        <c:scaling>
          <c:orientation val="minMax"/>
          <c:max val="6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446372800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4415851014911703"/>
          <c:w val="0.95561111111111163"/>
          <c:h val="0.1280639727480033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96E-2"/>
          <c:w val="0.9122665336936"/>
          <c:h val="0.72979616909588463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78.766000000000005</c:v>
                </c:pt>
                <c:pt idx="1">
                  <c:v>82.381</c:v>
                </c:pt>
                <c:pt idx="2">
                  <c:v>84.74</c:v>
                </c:pt>
                <c:pt idx="3">
                  <c:v>89.765000000000001</c:v>
                </c:pt>
                <c:pt idx="4">
                  <c:v>76.278999999999996</c:v>
                </c:pt>
                <c:pt idx="5">
                  <c:v>76.197999999999993</c:v>
                </c:pt>
                <c:pt idx="6">
                  <c:v>80.749035748875414</c:v>
                </c:pt>
                <c:pt idx="7">
                  <c:v>83.115649672555435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86.319000000000003</c:v>
                </c:pt>
                <c:pt idx="1">
                  <c:v>90.641999999999996</c:v>
                </c:pt>
                <c:pt idx="2">
                  <c:v>84.819000000000003</c:v>
                </c:pt>
                <c:pt idx="3">
                  <c:v>77.518000000000001</c:v>
                </c:pt>
                <c:pt idx="4">
                  <c:v>63.683</c:v>
                </c:pt>
                <c:pt idx="5">
                  <c:v>72.465000000000003</c:v>
                </c:pt>
                <c:pt idx="6">
                  <c:v>69.734949524886176</c:v>
                </c:pt>
                <c:pt idx="7">
                  <c:v>73.93295923464342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80.881</c:v>
                </c:pt>
                <c:pt idx="1">
                  <c:v>87.652000000000001</c:v>
                </c:pt>
                <c:pt idx="2">
                  <c:v>83.962999999999994</c:v>
                </c:pt>
                <c:pt idx="3">
                  <c:v>86.137</c:v>
                </c:pt>
                <c:pt idx="4">
                  <c:v>81.061000000000007</c:v>
                </c:pt>
                <c:pt idx="5">
                  <c:v>72.197999999999993</c:v>
                </c:pt>
                <c:pt idx="6">
                  <c:v>67.859551472457952</c:v>
                </c:pt>
                <c:pt idx="7">
                  <c:v>76.485104864137682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92.436999999999998</c:v>
                </c:pt>
                <c:pt idx="1">
                  <c:v>90.424000000000007</c:v>
                </c:pt>
                <c:pt idx="2">
                  <c:v>86.82</c:v>
                </c:pt>
                <c:pt idx="3">
                  <c:v>84.56</c:v>
                </c:pt>
                <c:pt idx="4">
                  <c:v>73.483999999999995</c:v>
                </c:pt>
                <c:pt idx="5">
                  <c:v>69.917000000000002</c:v>
                </c:pt>
                <c:pt idx="6">
                  <c:v>71.783156634221839</c:v>
                </c:pt>
                <c:pt idx="7">
                  <c:v>71.647694807962552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4330656"/>
        <c:axId val="1824337184"/>
      </c:lineChart>
      <c:catAx>
        <c:axId val="182433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24337184"/>
        <c:crosses val="autoZero"/>
        <c:auto val="1"/>
        <c:lblAlgn val="ctr"/>
        <c:lblOffset val="100"/>
        <c:noMultiLvlLbl val="0"/>
      </c:catAx>
      <c:valAx>
        <c:axId val="1824337184"/>
        <c:scaling>
          <c:orientation val="minMax"/>
          <c:max val="95"/>
          <c:min val="6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824330656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6298514547383764"/>
          <c:w val="0.97653411880215957"/>
          <c:h val="0.109617468029262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456255593301E-2"/>
          <c:y val="3.8468936333910368E-3"/>
          <c:w val="0.95679921453118733"/>
          <c:h val="0.80248711293359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-7.6343162515507207E-3"/>
                  <c:y val="3.84689363339105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1451474377326082E-2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63431625155079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63431625155065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6343162515508604E-3"/>
                  <c:y val="1.1540680900173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5428953144383998E-3"/>
                  <c:y val="1.1540680900173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338.70699999999999</c:v>
                </c:pt>
                <c:pt idx="1">
                  <c:v>324.46800000000002</c:v>
                </c:pt>
                <c:pt idx="2">
                  <c:v>332.51600000000002</c:v>
                </c:pt>
                <c:pt idx="3">
                  <c:v>348.90499999999997</c:v>
                </c:pt>
                <c:pt idx="4">
                  <c:v>320.91500000000002</c:v>
                </c:pt>
                <c:pt idx="5">
                  <c:v>305.279</c:v>
                </c:pt>
                <c:pt idx="6">
                  <c:v>325.52</c:v>
                </c:pt>
                <c:pt idx="7">
                  <c:v>318.81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4331200"/>
        <c:axId val="1824332832"/>
      </c:barChart>
      <c:catAx>
        <c:axId val="182433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24332832"/>
        <c:crosses val="autoZero"/>
        <c:auto val="1"/>
        <c:lblAlgn val="ctr"/>
        <c:lblOffset val="100"/>
        <c:noMultiLvlLbl val="0"/>
      </c:catAx>
      <c:valAx>
        <c:axId val="1824332832"/>
        <c:scaling>
          <c:orientation val="minMax"/>
          <c:max val="4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824331200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1181099</xdr:colOff>
      <xdr:row>24</xdr:row>
      <xdr:rowOff>38100</xdr:rowOff>
    </xdr:from>
    <xdr:to>
      <xdr:col>9</xdr:col>
      <xdr:colOff>53340</xdr:colOff>
      <xdr:row>48</xdr:row>
      <xdr:rowOff>47624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1181100</xdr:colOff>
      <xdr:row>49</xdr:row>
      <xdr:rowOff>0</xdr:rowOff>
    </xdr:from>
    <xdr:to>
      <xdr:col>9</xdr:col>
      <xdr:colOff>205740</xdr:colOff>
      <xdr:row>71</xdr:row>
      <xdr:rowOff>47625</xdr:rowOff>
    </xdr:to>
    <xdr:graphicFrame macro="">
      <xdr:nvGraphicFramePr>
        <xdr:cNvPr id="4" name="Grafico 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754380</xdr:colOff>
      <xdr:row>31</xdr:row>
      <xdr:rowOff>49529</xdr:rowOff>
    </xdr:from>
    <xdr:to>
      <xdr:col>15</xdr:col>
      <xdr:colOff>554355</xdr:colOff>
      <xdr:row>48</xdr:row>
      <xdr:rowOff>97154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29</xdr:row>
      <xdr:rowOff>38100</xdr:rowOff>
    </xdr:from>
    <xdr:to>
      <xdr:col>8</xdr:col>
      <xdr:colOff>426720</xdr:colOff>
      <xdr:row>49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52</xdr:row>
      <xdr:rowOff>85725</xdr:rowOff>
    </xdr:from>
    <xdr:to>
      <xdr:col>9</xdr:col>
      <xdr:colOff>129540</xdr:colOff>
      <xdr:row>74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12</xdr:row>
      <xdr:rowOff>19049</xdr:rowOff>
    </xdr:from>
    <xdr:to>
      <xdr:col>10</xdr:col>
      <xdr:colOff>419100</xdr:colOff>
      <xdr:row>29</xdr:row>
      <xdr:rowOff>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R3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style="102" bestFit="1" customWidth="1"/>
    <col min="13" max="13" width="7.109375" style="102" customWidth="1"/>
    <col min="14" max="15" width="15.33203125" style="102" bestFit="1" customWidth="1"/>
    <col min="16" max="16" width="7.109375" style="102" customWidth="1"/>
    <col min="17" max="18" width="15.33203125" style="102" bestFit="1" customWidth="1"/>
    <col min="19" max="19" width="7.109375" style="102" customWidth="1"/>
    <col min="20" max="21" width="15.33203125" style="102" bestFit="1" customWidth="1"/>
    <col min="22" max="22" width="7.109375" style="102" customWidth="1"/>
    <col min="23" max="24" width="15.33203125" bestFit="1" customWidth="1"/>
    <col min="25" max="25" width="7.109375" customWidth="1"/>
    <col min="26" max="27" width="8.88671875" style="102"/>
  </cols>
  <sheetData>
    <row r="1" spans="1:27" x14ac:dyDescent="0.3">
      <c r="B1" s="144">
        <v>2016</v>
      </c>
      <c r="C1" s="144"/>
      <c r="D1" s="145"/>
      <c r="E1" s="146">
        <v>2017</v>
      </c>
      <c r="F1" s="147"/>
      <c r="G1" s="148"/>
      <c r="H1" s="146">
        <v>2018</v>
      </c>
      <c r="I1" s="147"/>
      <c r="J1" s="148"/>
      <c r="K1" s="146">
        <v>2019</v>
      </c>
      <c r="L1" s="147"/>
      <c r="M1" s="148"/>
      <c r="N1" s="146">
        <v>2020</v>
      </c>
      <c r="O1" s="147"/>
      <c r="P1" s="148"/>
      <c r="Q1" s="146">
        <v>2021</v>
      </c>
      <c r="R1" s="147"/>
      <c r="S1" s="148"/>
      <c r="T1" s="146">
        <v>2022</v>
      </c>
      <c r="U1" s="147"/>
      <c r="V1" s="148"/>
      <c r="W1" s="146">
        <v>2023</v>
      </c>
      <c r="X1" s="147"/>
      <c r="Y1" s="148"/>
      <c r="Z1" s="143" t="s">
        <v>233</v>
      </c>
      <c r="AA1" s="143"/>
    </row>
    <row r="2" spans="1:27" x14ac:dyDescent="0.3">
      <c r="B2" s="14" t="s">
        <v>73</v>
      </c>
      <c r="C2" s="14" t="s">
        <v>74</v>
      </c>
      <c r="D2" s="15" t="s">
        <v>234</v>
      </c>
      <c r="E2" s="20" t="s">
        <v>73</v>
      </c>
      <c r="F2" s="14" t="s">
        <v>74</v>
      </c>
      <c r="G2" s="15" t="s">
        <v>234</v>
      </c>
      <c r="H2" s="20" t="s">
        <v>73</v>
      </c>
      <c r="I2" s="98" t="s">
        <v>74</v>
      </c>
      <c r="J2" s="99" t="s">
        <v>234</v>
      </c>
      <c r="K2" s="20" t="s">
        <v>73</v>
      </c>
      <c r="L2" s="124" t="s">
        <v>74</v>
      </c>
      <c r="M2" s="125" t="s">
        <v>234</v>
      </c>
      <c r="N2" s="20" t="s">
        <v>73</v>
      </c>
      <c r="O2" s="130" t="s">
        <v>74</v>
      </c>
      <c r="P2" s="131" t="s">
        <v>234</v>
      </c>
      <c r="Q2" s="20" t="s">
        <v>73</v>
      </c>
      <c r="R2" s="134" t="s">
        <v>74</v>
      </c>
      <c r="S2" s="135" t="s">
        <v>234</v>
      </c>
      <c r="T2" s="20" t="s">
        <v>73</v>
      </c>
      <c r="U2" s="139" t="s">
        <v>74</v>
      </c>
      <c r="V2" s="140" t="s">
        <v>234</v>
      </c>
      <c r="W2" s="20" t="s">
        <v>73</v>
      </c>
      <c r="X2" s="14" t="s">
        <v>74</v>
      </c>
      <c r="Y2" s="15" t="s">
        <v>234</v>
      </c>
      <c r="Z2" s="115" t="s">
        <v>73</v>
      </c>
      <c r="AA2" s="115" t="s">
        <v>74</v>
      </c>
    </row>
    <row r="3" spans="1:27" x14ac:dyDescent="0.3">
      <c r="A3" t="s">
        <v>20</v>
      </c>
      <c r="B3" s="1">
        <v>117851844.65000001</v>
      </c>
      <c r="C3" s="1">
        <v>98410014.640000001</v>
      </c>
      <c r="D3" s="17">
        <f>IF(B3&gt;0,C3/B3*100,"-")</f>
        <v>83.503160202762245</v>
      </c>
      <c r="E3" s="1">
        <v>115062084.84999999</v>
      </c>
      <c r="F3" s="1">
        <v>90391772.620000005</v>
      </c>
      <c r="G3" s="17">
        <f>IF(E3&gt;0,F3/E3*100,"-")</f>
        <v>78.559129827900037</v>
      </c>
      <c r="H3" s="1">
        <v>84688981.359999999</v>
      </c>
      <c r="I3" s="1">
        <v>72562357.040000007</v>
      </c>
      <c r="J3" s="17">
        <f>IF(H3&gt;0,I3/H3*100,"-")</f>
        <v>85.680989279524383</v>
      </c>
      <c r="K3" s="103">
        <v>83950731.849999994</v>
      </c>
      <c r="L3" s="103">
        <v>72798012.170000002</v>
      </c>
      <c r="M3" s="17">
        <f>IF(K3&gt;0,L3/K3*100,"-")</f>
        <v>86.715160863722716</v>
      </c>
      <c r="N3" s="103">
        <v>80260816.659999996</v>
      </c>
      <c r="O3" s="103">
        <v>68546994.840000004</v>
      </c>
      <c r="P3" s="17">
        <f>IF(N3&gt;0,O3/N3*100,"-")</f>
        <v>85.40530447176738</v>
      </c>
      <c r="Q3" s="103">
        <v>82671704.579999998</v>
      </c>
      <c r="R3" s="103">
        <v>71443455.310000002</v>
      </c>
      <c r="S3" s="17">
        <f>IF(Q3&gt;0,R3/Q3*100,"-")</f>
        <v>86.418268103889631</v>
      </c>
      <c r="T3" s="103">
        <v>83561246.180000007</v>
      </c>
      <c r="U3" s="103">
        <v>72360895.109999999</v>
      </c>
      <c r="V3" s="17">
        <f>IF(T3&gt;0,U3/T3*100,"-")</f>
        <v>86.596237392303564</v>
      </c>
      <c r="W3" s="103">
        <v>83147756.799999997</v>
      </c>
      <c r="X3" s="103">
        <v>65362944.5</v>
      </c>
      <c r="Y3" s="17">
        <f>IF(W3&gt;0,X3/W3*100,"-")</f>
        <v>78.610592775486637</v>
      </c>
      <c r="Z3" s="106">
        <f>IF(T3&gt;0,W3/T3*100-100,"-")</f>
        <v>-0.49483390794496529</v>
      </c>
      <c r="AA3" s="106">
        <f>IF(U3&gt;0,X3/U3*100-100,"-")</f>
        <v>-9.6709011122126327</v>
      </c>
    </row>
    <row r="4" spans="1:27" x14ac:dyDescent="0.3">
      <c r="A4" t="s">
        <v>21</v>
      </c>
      <c r="B4" s="1">
        <v>11286040.07</v>
      </c>
      <c r="C4" s="1">
        <v>6899041.1900000004</v>
      </c>
      <c r="D4" s="17">
        <f t="shared" ref="D4:D21" si="0">IF(B4&gt;0,C4/B4*100,"-")</f>
        <v>61.128980113571409</v>
      </c>
      <c r="E4" s="1">
        <v>17912296.079999998</v>
      </c>
      <c r="F4" s="1">
        <v>12512137.210000001</v>
      </c>
      <c r="G4" s="17">
        <f t="shared" ref="G4:G21" si="1">IF(E4&gt;0,F4/E4*100,"-")</f>
        <v>69.852224159974924</v>
      </c>
      <c r="H4" s="1">
        <v>15278765.560000001</v>
      </c>
      <c r="I4" s="1">
        <v>11242453.85</v>
      </c>
      <c r="J4" s="17">
        <f t="shared" ref="J4:J13" si="2">IF(H4&gt;0,I4/H4*100,"-")</f>
        <v>73.58221320859117</v>
      </c>
      <c r="K4" s="103">
        <v>15931774.550000001</v>
      </c>
      <c r="L4" s="103">
        <v>13396642.82</v>
      </c>
      <c r="M4" s="17">
        <f t="shared" ref="M4:M13" si="3">IF(K4&gt;0,L4/K4*100,"-")</f>
        <v>84.087574663802911</v>
      </c>
      <c r="N4" s="103">
        <v>29634028.010000002</v>
      </c>
      <c r="O4" s="103">
        <v>25570073.390000001</v>
      </c>
      <c r="P4" s="17">
        <f t="shared" ref="P4:P13" si="4">IF(N4&gt;0,O4/N4*100,"-")</f>
        <v>86.286188908815845</v>
      </c>
      <c r="Q4" s="103">
        <v>29351123.640000001</v>
      </c>
      <c r="R4" s="103">
        <v>24682950.140000001</v>
      </c>
      <c r="S4" s="17">
        <f t="shared" ref="S4:S13" si="5">IF(Q4&gt;0,R4/Q4*100,"-")</f>
        <v>84.095418092825014</v>
      </c>
      <c r="T4" s="103">
        <v>24656492.280000001</v>
      </c>
      <c r="U4" s="103">
        <v>19303341.77</v>
      </c>
      <c r="V4" s="17">
        <f t="shared" ref="V4:V13" si="6">IF(T4&gt;0,U4/T4*100,"-")</f>
        <v>78.289083259656593</v>
      </c>
      <c r="W4" s="103">
        <v>24598718.280000001</v>
      </c>
      <c r="X4" s="103">
        <v>18776548.050000001</v>
      </c>
      <c r="Y4" s="17">
        <f t="shared" ref="Y4:Y21" si="7">IF(W4&gt;0,X4/W4*100,"-")</f>
        <v>76.331408150099762</v>
      </c>
      <c r="Z4" s="106">
        <f t="shared" ref="Z4:AA55" si="8">IF(T4&gt;0,W4/T4*100-100,"-")</f>
        <v>-0.23431556826459143</v>
      </c>
      <c r="AA4" s="106">
        <f t="shared" si="8"/>
        <v>-2.7290286121271947</v>
      </c>
    </row>
    <row r="5" spans="1:27" x14ac:dyDescent="0.3">
      <c r="A5" t="s">
        <v>22</v>
      </c>
      <c r="B5" s="1">
        <v>23010263.399999999</v>
      </c>
      <c r="C5" s="1">
        <v>16679607.699999999</v>
      </c>
      <c r="D5" s="17">
        <f t="shared" si="0"/>
        <v>72.487686951032472</v>
      </c>
      <c r="E5" s="1">
        <v>24063532.260000002</v>
      </c>
      <c r="F5" s="1">
        <v>18048390.489999998</v>
      </c>
      <c r="G5" s="17">
        <f t="shared" si="1"/>
        <v>75.003080574339577</v>
      </c>
      <c r="H5" s="1">
        <v>21968621.91</v>
      </c>
      <c r="I5" s="1">
        <v>16387301.25</v>
      </c>
      <c r="J5" s="17">
        <f t="shared" si="2"/>
        <v>74.594124825556705</v>
      </c>
      <c r="K5" s="103">
        <v>21695842.460000001</v>
      </c>
      <c r="L5" s="103">
        <v>15681507.5</v>
      </c>
      <c r="M5" s="17">
        <f t="shared" si="3"/>
        <v>72.278859550679087</v>
      </c>
      <c r="N5" s="103">
        <v>16277658.35</v>
      </c>
      <c r="O5" s="103">
        <v>11857526.51</v>
      </c>
      <c r="P5" s="17">
        <f t="shared" si="4"/>
        <v>72.84540721423852</v>
      </c>
      <c r="Q5" s="103">
        <v>25173648.489999998</v>
      </c>
      <c r="R5" s="103">
        <v>16425387.68</v>
      </c>
      <c r="S5" s="17">
        <f t="shared" si="5"/>
        <v>65.248339693488745</v>
      </c>
      <c r="T5" s="103">
        <v>29217065.829999998</v>
      </c>
      <c r="U5" s="103">
        <v>21470177.489999998</v>
      </c>
      <c r="V5" s="17">
        <f t="shared" si="6"/>
        <v>73.48505703798115</v>
      </c>
      <c r="W5" s="103">
        <v>28947554.219999999</v>
      </c>
      <c r="X5" s="103">
        <v>22383932.890000001</v>
      </c>
      <c r="Y5" s="17">
        <f t="shared" si="7"/>
        <v>77.325817303538685</v>
      </c>
      <c r="Z5" s="106">
        <f t="shared" si="8"/>
        <v>-0.92244584575384181</v>
      </c>
      <c r="AA5" s="106">
        <f t="shared" si="8"/>
        <v>4.2559284869703333</v>
      </c>
    </row>
    <row r="6" spans="1:27" x14ac:dyDescent="0.3">
      <c r="A6" t="s">
        <v>23</v>
      </c>
      <c r="B6" s="1">
        <v>0</v>
      </c>
      <c r="C6" s="1">
        <v>0</v>
      </c>
      <c r="D6" s="17" t="str">
        <f t="shared" si="0"/>
        <v>-</v>
      </c>
      <c r="E6" s="25">
        <v>0</v>
      </c>
      <c r="F6" s="25">
        <v>0</v>
      </c>
      <c r="G6" s="17" t="str">
        <f t="shared" si="1"/>
        <v>-</v>
      </c>
      <c r="H6" s="25">
        <v>0</v>
      </c>
      <c r="I6" s="25">
        <v>0</v>
      </c>
      <c r="J6" s="17" t="str">
        <f t="shared" si="2"/>
        <v>-</v>
      </c>
      <c r="K6" s="112">
        <v>0</v>
      </c>
      <c r="L6" s="112">
        <v>0</v>
      </c>
      <c r="M6" s="17" t="str">
        <f t="shared" si="3"/>
        <v>-</v>
      </c>
      <c r="N6" s="112">
        <v>0</v>
      </c>
      <c r="O6" s="112">
        <v>0</v>
      </c>
      <c r="P6" s="17" t="str">
        <f t="shared" si="4"/>
        <v>-</v>
      </c>
      <c r="Q6" s="112">
        <v>0</v>
      </c>
      <c r="R6" s="112">
        <v>0</v>
      </c>
      <c r="S6" s="17" t="str">
        <f t="shared" si="5"/>
        <v>-</v>
      </c>
      <c r="T6" s="112">
        <v>0</v>
      </c>
      <c r="U6" s="112">
        <v>0</v>
      </c>
      <c r="V6" s="17" t="str">
        <f t="shared" si="6"/>
        <v>-</v>
      </c>
      <c r="W6" s="112">
        <v>0</v>
      </c>
      <c r="X6" s="112">
        <v>0</v>
      </c>
      <c r="Y6" s="17" t="str">
        <f t="shared" si="7"/>
        <v>-</v>
      </c>
      <c r="Z6" s="106" t="str">
        <f t="shared" si="8"/>
        <v>-</v>
      </c>
      <c r="AA6" s="106" t="str">
        <f t="shared" si="8"/>
        <v>-</v>
      </c>
    </row>
    <row r="7" spans="1:27" x14ac:dyDescent="0.3">
      <c r="A7" t="s">
        <v>24</v>
      </c>
      <c r="B7" s="1">
        <v>3092836.38</v>
      </c>
      <c r="C7" s="1">
        <v>2370306.3199999998</v>
      </c>
      <c r="D7" s="17">
        <f t="shared" si="0"/>
        <v>76.638594117933906</v>
      </c>
      <c r="E7" s="1">
        <v>12508143.720000001</v>
      </c>
      <c r="F7" s="1">
        <v>10073231.289999999</v>
      </c>
      <c r="G7" s="17">
        <f t="shared" si="1"/>
        <v>80.533383014246326</v>
      </c>
      <c r="H7" s="1">
        <v>10808066.869999999</v>
      </c>
      <c r="I7" s="1">
        <v>7508779.9900000002</v>
      </c>
      <c r="J7" s="17">
        <f t="shared" si="2"/>
        <v>69.473848379326327</v>
      </c>
      <c r="K7" s="103">
        <v>10951981.699999999</v>
      </c>
      <c r="L7" s="103">
        <v>4255287.1500000004</v>
      </c>
      <c r="M7" s="17">
        <f t="shared" si="3"/>
        <v>38.854038169183582</v>
      </c>
      <c r="N7" s="103">
        <v>9807499.8599999994</v>
      </c>
      <c r="O7" s="103">
        <v>4072165.51</v>
      </c>
      <c r="P7" s="17">
        <f t="shared" si="4"/>
        <v>41.52093365413517</v>
      </c>
      <c r="Q7" s="103">
        <v>13404607.369999999</v>
      </c>
      <c r="R7" s="103">
        <v>5798979.7699999996</v>
      </c>
      <c r="S7" s="17">
        <f t="shared" si="5"/>
        <v>43.261093815983962</v>
      </c>
      <c r="T7" s="103">
        <v>18848328.440000001</v>
      </c>
      <c r="U7" s="103">
        <v>10612969.76</v>
      </c>
      <c r="V7" s="17">
        <f t="shared" si="6"/>
        <v>56.307219994517453</v>
      </c>
      <c r="W7" s="103">
        <v>20544385.199999999</v>
      </c>
      <c r="X7" s="103">
        <v>7959403.5199999996</v>
      </c>
      <c r="Y7" s="17">
        <f t="shared" si="7"/>
        <v>38.742476070785507</v>
      </c>
      <c r="Z7" s="106">
        <f t="shared" si="8"/>
        <v>8.9984465487168706</v>
      </c>
      <c r="AA7" s="106">
        <f t="shared" si="8"/>
        <v>-25.00305098391236</v>
      </c>
    </row>
    <row r="8" spans="1:27" x14ac:dyDescent="0.3">
      <c r="A8" t="s">
        <v>25</v>
      </c>
      <c r="B8" s="1">
        <v>0</v>
      </c>
      <c r="C8" s="1">
        <v>0</v>
      </c>
      <c r="D8" s="17" t="str">
        <f t="shared" si="0"/>
        <v>-</v>
      </c>
      <c r="E8" s="25">
        <v>0</v>
      </c>
      <c r="F8" s="25">
        <v>0</v>
      </c>
      <c r="G8" s="17" t="str">
        <f t="shared" si="1"/>
        <v>-</v>
      </c>
      <c r="H8" s="25">
        <v>116145.33</v>
      </c>
      <c r="I8" s="25">
        <v>0</v>
      </c>
      <c r="J8" s="17">
        <f t="shared" si="2"/>
        <v>0</v>
      </c>
      <c r="K8" s="123">
        <v>149701.84</v>
      </c>
      <c r="L8" s="123">
        <v>149701.84</v>
      </c>
      <c r="M8" s="17">
        <f t="shared" si="3"/>
        <v>100</v>
      </c>
      <c r="N8" s="123">
        <v>14036.73</v>
      </c>
      <c r="O8" s="123">
        <v>14036.73</v>
      </c>
      <c r="P8" s="17">
        <f t="shared" si="4"/>
        <v>100</v>
      </c>
      <c r="Q8" s="123">
        <v>154442.62</v>
      </c>
      <c r="R8" s="123">
        <v>154442.62</v>
      </c>
      <c r="S8" s="17">
        <f t="shared" si="5"/>
        <v>100</v>
      </c>
      <c r="T8" s="123">
        <v>307185.03000000003</v>
      </c>
      <c r="U8" s="123">
        <v>307185.03000000003</v>
      </c>
      <c r="V8" s="17">
        <f t="shared" si="6"/>
        <v>100</v>
      </c>
      <c r="W8" s="103">
        <v>1500</v>
      </c>
      <c r="X8" s="103">
        <v>1500</v>
      </c>
      <c r="Y8" s="17">
        <f t="shared" si="7"/>
        <v>100</v>
      </c>
      <c r="Z8" s="106">
        <f t="shared" si="8"/>
        <v>-99.511694954666254</v>
      </c>
      <c r="AA8" s="106">
        <f t="shared" si="8"/>
        <v>-99.511694954666254</v>
      </c>
    </row>
    <row r="9" spans="1:27" x14ac:dyDescent="0.3">
      <c r="A9" t="s">
        <v>26</v>
      </c>
      <c r="B9" s="1">
        <v>821445.79</v>
      </c>
      <c r="C9" s="1">
        <v>821445.79</v>
      </c>
      <c r="D9" s="17">
        <f t="shared" si="0"/>
        <v>100</v>
      </c>
      <c r="E9" s="1">
        <v>319741.71000000002</v>
      </c>
      <c r="F9" s="1">
        <v>305095.52</v>
      </c>
      <c r="G9" s="17">
        <f t="shared" si="1"/>
        <v>95.419368339526301</v>
      </c>
      <c r="H9" s="1">
        <v>452092.87</v>
      </c>
      <c r="I9" s="1">
        <v>450644.96</v>
      </c>
      <c r="J9" s="17">
        <f t="shared" si="2"/>
        <v>99.679731732995478</v>
      </c>
      <c r="K9" s="103">
        <v>448528.72</v>
      </c>
      <c r="L9" s="103">
        <v>372528.72</v>
      </c>
      <c r="M9" s="17">
        <f t="shared" si="3"/>
        <v>83.055711571825313</v>
      </c>
      <c r="N9" s="103">
        <v>830468.74</v>
      </c>
      <c r="O9" s="103">
        <v>781911.41</v>
      </c>
      <c r="P9" s="17">
        <f t="shared" si="4"/>
        <v>94.153021340694892</v>
      </c>
      <c r="Q9" s="103">
        <v>364992.9</v>
      </c>
      <c r="R9" s="103">
        <v>330221.71999999997</v>
      </c>
      <c r="S9" s="17">
        <f t="shared" si="5"/>
        <v>90.473464004368282</v>
      </c>
      <c r="T9" s="103">
        <v>1349420.47</v>
      </c>
      <c r="U9" s="103">
        <v>1349420.47</v>
      </c>
      <c r="V9" s="17">
        <f t="shared" si="6"/>
        <v>100</v>
      </c>
      <c r="W9" s="103">
        <v>1107727.3</v>
      </c>
      <c r="X9" s="103">
        <v>1107727.3</v>
      </c>
      <c r="Y9" s="17">
        <f t="shared" si="7"/>
        <v>100</v>
      </c>
      <c r="Z9" s="106">
        <f t="shared" si="8"/>
        <v>-17.910886589707658</v>
      </c>
      <c r="AA9" s="106">
        <f t="shared" si="8"/>
        <v>-17.910886589707658</v>
      </c>
    </row>
    <row r="10" spans="1:27" x14ac:dyDescent="0.3">
      <c r="A10" t="s">
        <v>27</v>
      </c>
      <c r="B10" s="1">
        <v>2084637.66</v>
      </c>
      <c r="C10" s="1">
        <v>2084637.66</v>
      </c>
      <c r="D10" s="17">
        <f t="shared" si="0"/>
        <v>100</v>
      </c>
      <c r="E10" s="1">
        <v>3286791.62</v>
      </c>
      <c r="F10" s="1">
        <v>3286487.1</v>
      </c>
      <c r="G10" s="17">
        <f t="shared" si="1"/>
        <v>99.990735037836075</v>
      </c>
      <c r="H10" s="1">
        <v>2933987.93</v>
      </c>
      <c r="I10" s="1">
        <v>2449132.1800000002</v>
      </c>
      <c r="J10" s="17">
        <f t="shared" si="2"/>
        <v>83.474514498087942</v>
      </c>
      <c r="K10" s="103">
        <v>3301212.43</v>
      </c>
      <c r="L10" s="103">
        <v>3265822.43</v>
      </c>
      <c r="M10" s="17">
        <f t="shared" si="3"/>
        <v>98.927969624784183</v>
      </c>
      <c r="N10" s="103">
        <v>2032917.85</v>
      </c>
      <c r="O10" s="103">
        <v>1860351.02</v>
      </c>
      <c r="P10" s="17">
        <f t="shared" si="4"/>
        <v>91.511372188502349</v>
      </c>
      <c r="Q10" s="103">
        <v>2847317.7</v>
      </c>
      <c r="R10" s="103">
        <v>2847317.7</v>
      </c>
      <c r="S10" s="17">
        <f t="shared" si="5"/>
        <v>100</v>
      </c>
      <c r="T10" s="103">
        <v>3102343.61</v>
      </c>
      <c r="U10" s="103">
        <v>3102157.82</v>
      </c>
      <c r="V10" s="17">
        <f t="shared" si="6"/>
        <v>99.994011301668806</v>
      </c>
      <c r="W10" s="103">
        <v>2475247.9</v>
      </c>
      <c r="X10" s="103">
        <v>2473706.9</v>
      </c>
      <c r="Y10" s="17">
        <f t="shared" si="7"/>
        <v>99.937743609438073</v>
      </c>
      <c r="Z10" s="106">
        <f t="shared" si="8"/>
        <v>-20.213612314852512</v>
      </c>
      <c r="AA10" s="106">
        <f t="shared" si="8"/>
        <v>-20.258508962642011</v>
      </c>
    </row>
    <row r="11" spans="1:27" x14ac:dyDescent="0.3">
      <c r="A11" t="s">
        <v>28</v>
      </c>
      <c r="B11" s="1">
        <v>0</v>
      </c>
      <c r="C11" s="1">
        <v>0</v>
      </c>
      <c r="D11" s="17" t="str">
        <f t="shared" si="0"/>
        <v>-</v>
      </c>
      <c r="E11" s="25">
        <v>0</v>
      </c>
      <c r="F11" s="25">
        <v>0</v>
      </c>
      <c r="G11" s="17" t="str">
        <f t="shared" si="1"/>
        <v>-</v>
      </c>
      <c r="H11" s="25">
        <v>0</v>
      </c>
      <c r="I11" s="25">
        <v>0</v>
      </c>
      <c r="J11" s="17" t="str">
        <f t="shared" si="2"/>
        <v>-</v>
      </c>
      <c r="K11" s="112">
        <v>0</v>
      </c>
      <c r="L11" s="112">
        <v>0</v>
      </c>
      <c r="M11" s="17" t="str">
        <f t="shared" si="3"/>
        <v>-</v>
      </c>
      <c r="N11" s="112">
        <v>0</v>
      </c>
      <c r="O11" s="112">
        <v>0</v>
      </c>
      <c r="P11" s="17" t="str">
        <f t="shared" si="4"/>
        <v>-</v>
      </c>
      <c r="Q11" s="112">
        <v>0</v>
      </c>
      <c r="R11" s="112">
        <v>0</v>
      </c>
      <c r="S11" s="17" t="str">
        <f t="shared" si="5"/>
        <v>-</v>
      </c>
      <c r="T11" s="112">
        <v>47752.3</v>
      </c>
      <c r="U11" s="112">
        <v>47752.3</v>
      </c>
      <c r="V11" s="17">
        <f t="shared" si="6"/>
        <v>100</v>
      </c>
      <c r="W11" s="112">
        <v>0</v>
      </c>
      <c r="X11" s="112">
        <v>0</v>
      </c>
      <c r="Y11" s="17" t="str">
        <f t="shared" si="7"/>
        <v>-</v>
      </c>
      <c r="Z11" s="106">
        <f t="shared" si="8"/>
        <v>-100</v>
      </c>
      <c r="AA11" s="106">
        <f t="shared" si="8"/>
        <v>-100</v>
      </c>
    </row>
    <row r="12" spans="1:27" x14ac:dyDescent="0.3">
      <c r="A12" t="s">
        <v>29</v>
      </c>
      <c r="B12" s="1">
        <v>0</v>
      </c>
      <c r="C12" s="1">
        <v>0</v>
      </c>
      <c r="D12" s="17" t="str">
        <f t="shared" si="0"/>
        <v>-</v>
      </c>
      <c r="E12" s="25">
        <v>0</v>
      </c>
      <c r="F12" s="25">
        <v>0</v>
      </c>
      <c r="G12" s="17" t="str">
        <f t="shared" si="1"/>
        <v>-</v>
      </c>
      <c r="H12" s="25">
        <v>0</v>
      </c>
      <c r="I12" s="25">
        <v>0</v>
      </c>
      <c r="J12" s="17" t="str">
        <f t="shared" si="2"/>
        <v>-</v>
      </c>
      <c r="K12" s="112">
        <v>0</v>
      </c>
      <c r="L12" s="112">
        <v>0</v>
      </c>
      <c r="M12" s="17" t="str">
        <f t="shared" si="3"/>
        <v>-</v>
      </c>
      <c r="N12" s="112">
        <v>0</v>
      </c>
      <c r="O12" s="112">
        <v>0</v>
      </c>
      <c r="P12" s="17" t="str">
        <f t="shared" si="4"/>
        <v>-</v>
      </c>
      <c r="Q12" s="112">
        <v>0</v>
      </c>
      <c r="R12" s="112">
        <v>0</v>
      </c>
      <c r="S12" s="17" t="str">
        <f t="shared" si="5"/>
        <v>-</v>
      </c>
      <c r="T12" s="112">
        <v>0</v>
      </c>
      <c r="U12" s="112">
        <v>0</v>
      </c>
      <c r="V12" s="17" t="str">
        <f t="shared" si="6"/>
        <v>-</v>
      </c>
      <c r="W12" s="112">
        <v>0</v>
      </c>
      <c r="X12" s="112">
        <v>0</v>
      </c>
      <c r="Y12" s="17" t="str">
        <f t="shared" si="7"/>
        <v>-</v>
      </c>
      <c r="Z12" s="106" t="str">
        <f t="shared" si="8"/>
        <v>-</v>
      </c>
      <c r="AA12" s="106" t="str">
        <f t="shared" si="8"/>
        <v>-</v>
      </c>
    </row>
    <row r="13" spans="1:27" x14ac:dyDescent="0.3">
      <c r="A13" t="s">
        <v>30</v>
      </c>
      <c r="B13" s="1">
        <v>1382840.7</v>
      </c>
      <c r="C13" s="1">
        <v>0</v>
      </c>
      <c r="D13" s="17">
        <f t="shared" si="0"/>
        <v>0</v>
      </c>
      <c r="E13" s="25">
        <v>0</v>
      </c>
      <c r="F13" s="25">
        <v>0</v>
      </c>
      <c r="G13" s="17" t="str">
        <f t="shared" si="1"/>
        <v>-</v>
      </c>
      <c r="H13" s="25">
        <v>0</v>
      </c>
      <c r="I13" s="25">
        <v>0</v>
      </c>
      <c r="J13" s="17" t="str">
        <f t="shared" si="2"/>
        <v>-</v>
      </c>
      <c r="K13" s="112">
        <v>994354.2</v>
      </c>
      <c r="L13" s="112">
        <v>0</v>
      </c>
      <c r="M13" s="17">
        <f t="shared" si="3"/>
        <v>0</v>
      </c>
      <c r="N13" s="112">
        <v>2700000</v>
      </c>
      <c r="O13" s="112">
        <v>0</v>
      </c>
      <c r="P13" s="17">
        <f t="shared" si="4"/>
        <v>0</v>
      </c>
      <c r="Q13" s="112">
        <v>5170000</v>
      </c>
      <c r="R13" s="112">
        <v>0</v>
      </c>
      <c r="S13" s="17">
        <f t="shared" si="5"/>
        <v>0</v>
      </c>
      <c r="T13" s="112">
        <v>1000000</v>
      </c>
      <c r="U13" s="112">
        <v>0</v>
      </c>
      <c r="V13" s="17">
        <f t="shared" si="6"/>
        <v>0</v>
      </c>
      <c r="W13" s="103">
        <v>9028990.8900000006</v>
      </c>
      <c r="X13" s="112">
        <v>0</v>
      </c>
      <c r="Y13" s="17">
        <f t="shared" si="7"/>
        <v>0</v>
      </c>
      <c r="Z13" s="106">
        <f t="shared" si="8"/>
        <v>802.89908900000012</v>
      </c>
      <c r="AA13" s="106" t="str">
        <f t="shared" si="8"/>
        <v>-</v>
      </c>
    </row>
    <row r="14" spans="1:27" x14ac:dyDescent="0.3">
      <c r="A14" t="s">
        <v>31</v>
      </c>
      <c r="B14" s="1">
        <f>SUM(B3:B5)</f>
        <v>152148148.12</v>
      </c>
      <c r="C14" s="1">
        <f>SUM(C3:C5)</f>
        <v>121988663.53</v>
      </c>
      <c r="D14" s="17">
        <f>IF(B14&gt;0,C14/B14*100,"-")</f>
        <v>80.17755394156157</v>
      </c>
      <c r="E14" s="1">
        <f>SUM(E3:E5)</f>
        <v>157037913.19</v>
      </c>
      <c r="F14" s="1">
        <f>SUM(F3:F5)</f>
        <v>120952300.32000001</v>
      </c>
      <c r="G14" s="17">
        <f>IF(E14&gt;0,F14/E14*100,"-")</f>
        <v>77.021082274354953</v>
      </c>
      <c r="H14" s="1">
        <f>SUM(H3:H5)</f>
        <v>121936368.83</v>
      </c>
      <c r="I14" s="1">
        <f>SUM(I3:I5)</f>
        <v>100192112.14</v>
      </c>
      <c r="J14" s="17">
        <f t="shared" ref="J14:J21" si="9">IF(H14&gt;0,I14/H14*100,"-")</f>
        <v>82.167537955542059</v>
      </c>
      <c r="K14" s="103">
        <v>121578348.85999998</v>
      </c>
      <c r="L14" s="103">
        <v>101876162.49000001</v>
      </c>
      <c r="M14" s="17">
        <f>IF(K14&gt;0,L14/K14*100,"-")</f>
        <v>83.794658707951811</v>
      </c>
      <c r="N14" s="103">
        <f t="shared" ref="N14:O14" si="10">SUM(N3:N5)</f>
        <v>126172503.02</v>
      </c>
      <c r="O14" s="103">
        <f t="shared" si="10"/>
        <v>105974594.74000001</v>
      </c>
      <c r="P14" s="17">
        <f>IF(N14&gt;0,O14/N14*100,"-")</f>
        <v>83.991830393664813</v>
      </c>
      <c r="Q14" s="103">
        <f t="shared" ref="Q14:R14" si="11">SUM(Q3:Q5)</f>
        <v>137196476.71000001</v>
      </c>
      <c r="R14" s="103">
        <f t="shared" si="11"/>
        <v>112551793.13</v>
      </c>
      <c r="S14" s="17">
        <f>IF(Q14&gt;0,R14/Q14*100,"-")</f>
        <v>82.036941347923332</v>
      </c>
      <c r="T14" s="103">
        <f t="shared" ref="T14:U14" si="12">SUM(T3:T5)</f>
        <v>137434804.29000002</v>
      </c>
      <c r="U14" s="103">
        <f t="shared" si="12"/>
        <v>113134414.36999999</v>
      </c>
      <c r="V14" s="17">
        <f>IF(T14&gt;0,U14/T14*100,"-")</f>
        <v>82.318605504960757</v>
      </c>
      <c r="W14" s="103">
        <f t="shared" ref="W14:X14" si="13">SUM(W3:W5)</f>
        <v>136694029.30000001</v>
      </c>
      <c r="X14" s="103">
        <f t="shared" si="13"/>
        <v>106523425.44</v>
      </c>
      <c r="Y14" s="17">
        <f>IF(W14&gt;0,X14/W14*100,"-")</f>
        <v>77.928367453573912</v>
      </c>
      <c r="Z14" s="106">
        <f t="shared" si="8"/>
        <v>-0.53900101493717045</v>
      </c>
      <c r="AA14" s="106">
        <f t="shared" si="8"/>
        <v>-5.8434818148075749</v>
      </c>
    </row>
    <row r="15" spans="1:27" x14ac:dyDescent="0.3">
      <c r="A15" t="s">
        <v>32</v>
      </c>
      <c r="B15" s="94">
        <f>SUM(B6:B10)</f>
        <v>5998919.8300000001</v>
      </c>
      <c r="C15" s="94">
        <f>SUM(C6:C10)</f>
        <v>5276389.7699999996</v>
      </c>
      <c r="D15" s="17">
        <f>IF(B15&gt;0,C15/B15*100,"-")</f>
        <v>87.955664011599225</v>
      </c>
      <c r="E15" s="94">
        <f>SUM(E6:E10)</f>
        <v>16114677.050000001</v>
      </c>
      <c r="F15" s="94">
        <f>SUM(F6:F10)</f>
        <v>13664813.909999998</v>
      </c>
      <c r="G15" s="17">
        <f>IF(E15&gt;0,F15/E15*100,"-")</f>
        <v>84.797317796697627</v>
      </c>
      <c r="H15" s="94">
        <f>SUM(H6:H10)</f>
        <v>14310292.999999998</v>
      </c>
      <c r="I15" s="94">
        <f>SUM(I6:I10)</f>
        <v>10408557.130000001</v>
      </c>
      <c r="J15" s="17">
        <f t="shared" si="9"/>
        <v>72.734759029741753</v>
      </c>
      <c r="K15" s="116">
        <v>14851424.689999999</v>
      </c>
      <c r="L15" s="116">
        <v>8043340.1400000006</v>
      </c>
      <c r="M15" s="17">
        <f>IF(K15&gt;0,L15/K15*100,"-")</f>
        <v>54.158710749251362</v>
      </c>
      <c r="N15" s="116">
        <f t="shared" ref="N15:O15" si="14">SUM(N6:N10)</f>
        <v>12684923.18</v>
      </c>
      <c r="O15" s="116">
        <f t="shared" si="14"/>
        <v>6728464.6699999999</v>
      </c>
      <c r="P15" s="17">
        <f>IF(N15&gt;0,O15/N15*100,"-")</f>
        <v>53.043006839872717</v>
      </c>
      <c r="Q15" s="116">
        <f t="shared" ref="Q15:R15" si="15">SUM(Q6:Q10)</f>
        <v>16771360.59</v>
      </c>
      <c r="R15" s="116">
        <f t="shared" si="15"/>
        <v>9130961.8099999987</v>
      </c>
      <c r="S15" s="17">
        <f>IF(Q15&gt;0,R15/Q15*100,"-")</f>
        <v>54.443774916176899</v>
      </c>
      <c r="T15" s="116">
        <f t="shared" ref="T15:U15" si="16">SUM(T6:T10)</f>
        <v>23607277.550000001</v>
      </c>
      <c r="U15" s="116">
        <f t="shared" si="16"/>
        <v>15371733.08</v>
      </c>
      <c r="V15" s="17">
        <f>IF(T15&gt;0,U15/T15*100,"-")</f>
        <v>65.114382831492563</v>
      </c>
      <c r="W15" s="116">
        <f t="shared" ref="W15:X15" si="17">SUM(W6:W10)</f>
        <v>24128860.399999999</v>
      </c>
      <c r="X15" s="116">
        <f t="shared" si="17"/>
        <v>11542337.720000001</v>
      </c>
      <c r="Y15" s="17">
        <f>IF(W15&gt;0,X15/W15*100,"-")</f>
        <v>47.836232331967082</v>
      </c>
      <c r="Z15" s="106">
        <f t="shared" si="8"/>
        <v>2.2094155028901099</v>
      </c>
      <c r="AA15" s="106">
        <f t="shared" si="8"/>
        <v>-24.911929839468698</v>
      </c>
    </row>
    <row r="16" spans="1:27" x14ac:dyDescent="0.3">
      <c r="A16" t="s">
        <v>33</v>
      </c>
      <c r="B16" s="1">
        <f>SUM(B11:B13)</f>
        <v>1382840.7</v>
      </c>
      <c r="C16" s="1">
        <f>SUM(C11:C13)</f>
        <v>0</v>
      </c>
      <c r="D16" s="17">
        <f t="shared" si="0"/>
        <v>0</v>
      </c>
      <c r="E16" s="25">
        <f>SUM(E11:E13)</f>
        <v>0</v>
      </c>
      <c r="F16" s="25">
        <f>SUM(F11:F13)</f>
        <v>0</v>
      </c>
      <c r="G16" s="17" t="str">
        <f t="shared" si="1"/>
        <v>-</v>
      </c>
      <c r="H16" s="25">
        <f>SUM(H11:H13)</f>
        <v>0</v>
      </c>
      <c r="I16" s="25">
        <f>SUM(I11:I13)</f>
        <v>0</v>
      </c>
      <c r="J16" s="17" t="str">
        <f t="shared" si="9"/>
        <v>-</v>
      </c>
      <c r="K16" s="112">
        <v>994354.2</v>
      </c>
      <c r="L16" s="112">
        <v>0</v>
      </c>
      <c r="M16" s="17">
        <f t="shared" ref="M16:M21" si="18">IF(K16&gt;0,L16/K16*100,"-")</f>
        <v>0</v>
      </c>
      <c r="N16" s="112">
        <f t="shared" ref="N16:O16" si="19">SUM(N11:N13)</f>
        <v>2700000</v>
      </c>
      <c r="O16" s="112">
        <f t="shared" si="19"/>
        <v>0</v>
      </c>
      <c r="P16" s="17">
        <f t="shared" ref="P16:P21" si="20">IF(N16&gt;0,O16/N16*100,"-")</f>
        <v>0</v>
      </c>
      <c r="Q16" s="112">
        <f t="shared" ref="Q16:R16" si="21">SUM(Q11:Q13)</f>
        <v>5170000</v>
      </c>
      <c r="R16" s="112">
        <f t="shared" si="21"/>
        <v>0</v>
      </c>
      <c r="S16" s="17">
        <f t="shared" ref="S16:S21" si="22">IF(Q16&gt;0,R16/Q16*100,"-")</f>
        <v>0</v>
      </c>
      <c r="T16" s="112">
        <f t="shared" ref="T16:U16" si="23">SUM(T11:T13)</f>
        <v>1047752.3</v>
      </c>
      <c r="U16" s="112">
        <f t="shared" si="23"/>
        <v>47752.3</v>
      </c>
      <c r="V16" s="17">
        <f t="shared" ref="V16:V21" si="24">IF(T16&gt;0,U16/T16*100,"-")</f>
        <v>4.557594385619578</v>
      </c>
      <c r="W16" s="112">
        <f t="shared" ref="W16:X16" si="25">SUM(W11:W13)</f>
        <v>9028990.8900000006</v>
      </c>
      <c r="X16" s="112">
        <f t="shared" si="25"/>
        <v>0</v>
      </c>
      <c r="Y16" s="17">
        <f t="shared" si="7"/>
        <v>0</v>
      </c>
      <c r="Z16" s="106">
        <f t="shared" si="8"/>
        <v>761.74861081192569</v>
      </c>
      <c r="AA16" s="106">
        <f t="shared" si="8"/>
        <v>-100</v>
      </c>
    </row>
    <row r="17" spans="1:27" x14ac:dyDescent="0.3">
      <c r="A17" t="s">
        <v>34</v>
      </c>
      <c r="B17" s="1">
        <v>1842840.7</v>
      </c>
      <c r="C17" s="1">
        <v>1382840.7</v>
      </c>
      <c r="D17" s="17">
        <f t="shared" si="0"/>
        <v>75.03853697175235</v>
      </c>
      <c r="E17" s="1">
        <v>420000</v>
      </c>
      <c r="F17" s="25">
        <v>0</v>
      </c>
      <c r="G17" s="17">
        <f t="shared" si="1"/>
        <v>0</v>
      </c>
      <c r="H17" s="25">
        <v>0</v>
      </c>
      <c r="I17" s="25">
        <v>0</v>
      </c>
      <c r="J17" s="17" t="str">
        <f t="shared" si="9"/>
        <v>-</v>
      </c>
      <c r="K17" s="112">
        <v>3366354.2</v>
      </c>
      <c r="L17" s="112">
        <v>2372000</v>
      </c>
      <c r="M17" s="17">
        <f t="shared" si="18"/>
        <v>70.461985253958119</v>
      </c>
      <c r="N17" s="112">
        <v>3340000</v>
      </c>
      <c r="O17" s="112">
        <v>640000</v>
      </c>
      <c r="P17" s="17">
        <f t="shared" si="20"/>
        <v>19.161676646706589</v>
      </c>
      <c r="Q17" s="112">
        <v>6245113.8099999996</v>
      </c>
      <c r="R17" s="112">
        <v>843146.6</v>
      </c>
      <c r="S17" s="17">
        <f t="shared" si="22"/>
        <v>13.500900474382227</v>
      </c>
      <c r="T17" s="112">
        <v>8058151.1699999999</v>
      </c>
      <c r="U17" s="112">
        <v>2973151.17</v>
      </c>
      <c r="V17" s="17">
        <f t="shared" si="24"/>
        <v>36.89619501144206</v>
      </c>
      <c r="W17" s="103">
        <v>14496265.65</v>
      </c>
      <c r="X17" s="103">
        <v>5467274.7599999998</v>
      </c>
      <c r="Y17" s="17">
        <f t="shared" si="7"/>
        <v>37.715056360049523</v>
      </c>
      <c r="Z17" s="106">
        <f t="shared" si="8"/>
        <v>79.895677608639346</v>
      </c>
      <c r="AA17" s="106">
        <f t="shared" si="8"/>
        <v>83.888219851263074</v>
      </c>
    </row>
    <row r="18" spans="1:27" x14ac:dyDescent="0.3">
      <c r="A18" t="s">
        <v>35</v>
      </c>
      <c r="B18" s="1">
        <v>0</v>
      </c>
      <c r="C18" s="1">
        <v>0</v>
      </c>
      <c r="D18" s="17" t="str">
        <f t="shared" si="0"/>
        <v>-</v>
      </c>
      <c r="E18" s="25">
        <v>0</v>
      </c>
      <c r="F18" s="25">
        <v>0</v>
      </c>
      <c r="G18" s="17" t="str">
        <f t="shared" si="1"/>
        <v>-</v>
      </c>
      <c r="H18" s="25">
        <v>0</v>
      </c>
      <c r="I18" s="25">
        <v>0</v>
      </c>
      <c r="J18" s="17" t="str">
        <f t="shared" si="9"/>
        <v>-</v>
      </c>
      <c r="K18" s="112">
        <v>0</v>
      </c>
      <c r="L18" s="112">
        <v>0</v>
      </c>
      <c r="M18" s="17" t="str">
        <f t="shared" si="18"/>
        <v>-</v>
      </c>
      <c r="N18" s="112">
        <v>0</v>
      </c>
      <c r="O18" s="112">
        <v>0</v>
      </c>
      <c r="P18" s="17" t="str">
        <f t="shared" si="20"/>
        <v>-</v>
      </c>
      <c r="Q18" s="112">
        <v>0</v>
      </c>
      <c r="R18" s="112">
        <v>0</v>
      </c>
      <c r="S18" s="17" t="str">
        <f t="shared" si="22"/>
        <v>-</v>
      </c>
      <c r="T18" s="112">
        <v>0</v>
      </c>
      <c r="U18" s="112">
        <v>0</v>
      </c>
      <c r="V18" s="17" t="str">
        <f t="shared" si="24"/>
        <v>-</v>
      </c>
      <c r="W18" s="112">
        <v>0</v>
      </c>
      <c r="X18" s="112">
        <v>0</v>
      </c>
      <c r="Y18" s="17" t="str">
        <f t="shared" si="7"/>
        <v>-</v>
      </c>
      <c r="Z18" s="106" t="str">
        <f t="shared" si="8"/>
        <v>-</v>
      </c>
      <c r="AA18" s="106" t="str">
        <f t="shared" si="8"/>
        <v>-</v>
      </c>
    </row>
    <row r="19" spans="1:27" x14ac:dyDescent="0.3">
      <c r="A19" t="s">
        <v>36</v>
      </c>
      <c r="B19" s="1">
        <v>20592672.629999999</v>
      </c>
      <c r="C19" s="1">
        <v>19694654.050000001</v>
      </c>
      <c r="D19" s="17">
        <f t="shared" si="0"/>
        <v>95.639135355885088</v>
      </c>
      <c r="E19" s="1">
        <v>20216443.690000001</v>
      </c>
      <c r="F19" s="1">
        <v>19205687.75</v>
      </c>
      <c r="G19" s="17">
        <f t="shared" si="1"/>
        <v>95.000327676326336</v>
      </c>
      <c r="H19" s="1">
        <v>19578118.18</v>
      </c>
      <c r="I19" s="1">
        <v>18600395.91</v>
      </c>
      <c r="J19" s="17">
        <f t="shared" si="9"/>
        <v>95.006045724053351</v>
      </c>
      <c r="K19" s="103">
        <v>19330887.98</v>
      </c>
      <c r="L19" s="103">
        <v>18819299.879999999</v>
      </c>
      <c r="M19" s="17">
        <f t="shared" si="18"/>
        <v>97.353519918333305</v>
      </c>
      <c r="N19" s="103">
        <v>18796945.800000001</v>
      </c>
      <c r="O19" s="103">
        <v>18225291.399999999</v>
      </c>
      <c r="P19" s="17">
        <f t="shared" si="20"/>
        <v>96.958791039340014</v>
      </c>
      <c r="Q19" s="103">
        <v>17693873.989999998</v>
      </c>
      <c r="R19" s="103">
        <v>17297561.850000001</v>
      </c>
      <c r="S19" s="17">
        <f t="shared" si="22"/>
        <v>97.760173152448246</v>
      </c>
      <c r="T19" s="103">
        <v>21722186.789999999</v>
      </c>
      <c r="U19" s="103">
        <v>21464094.579999998</v>
      </c>
      <c r="V19" s="17">
        <f t="shared" si="24"/>
        <v>98.811849780617777</v>
      </c>
      <c r="W19" s="103">
        <v>25071053.579999998</v>
      </c>
      <c r="X19" s="103">
        <v>25040150.75</v>
      </c>
      <c r="Y19" s="17">
        <f t="shared" si="7"/>
        <v>99.876739005397638</v>
      </c>
      <c r="Z19" s="106">
        <f t="shared" si="8"/>
        <v>15.416803208513414</v>
      </c>
      <c r="AA19" s="106">
        <f t="shared" si="8"/>
        <v>16.660642994613582</v>
      </c>
    </row>
    <row r="20" spans="1:27" x14ac:dyDescent="0.3">
      <c r="A20" t="s">
        <v>37</v>
      </c>
      <c r="B20" s="1">
        <f>B14+B15+B16+B17+B18+B19</f>
        <v>181965421.97999999</v>
      </c>
      <c r="C20" s="1">
        <f>C14+C15+C16+C17+C18+C19</f>
        <v>148342548.05000001</v>
      </c>
      <c r="D20" s="17">
        <f t="shared" si="0"/>
        <v>81.522382898825967</v>
      </c>
      <c r="E20" s="1">
        <f>E14+E15+E16+E17+E18+E19</f>
        <v>193789033.93000001</v>
      </c>
      <c r="F20" s="1">
        <f>F14+F15+F16+F17+F18+F19</f>
        <v>153822801.98000002</v>
      </c>
      <c r="G20" s="17">
        <f t="shared" si="1"/>
        <v>79.376422318903508</v>
      </c>
      <c r="H20" s="1">
        <f>H14+H15+H16+H17+H18+H19</f>
        <v>155824780.00999999</v>
      </c>
      <c r="I20" s="1">
        <f>I14+I15+I16+I17+I18+I19</f>
        <v>129201065.17999999</v>
      </c>
      <c r="J20" s="17">
        <f t="shared" si="9"/>
        <v>82.914325418401731</v>
      </c>
      <c r="K20" s="103">
        <v>160121369.92999995</v>
      </c>
      <c r="L20" s="103">
        <v>131110802.51000001</v>
      </c>
      <c r="M20" s="17">
        <f t="shared" si="18"/>
        <v>81.882138884595818</v>
      </c>
      <c r="N20" s="103">
        <f t="shared" ref="N20:O20" si="26">N14+N15+N16+N17+N18+N19</f>
        <v>163694372</v>
      </c>
      <c r="O20" s="103">
        <f t="shared" si="26"/>
        <v>131568350.81</v>
      </c>
      <c r="P20" s="17">
        <f t="shared" si="20"/>
        <v>80.374388686985526</v>
      </c>
      <c r="Q20" s="103">
        <f t="shared" ref="Q20:R20" si="27">Q14+Q15+Q16+Q17+Q18+Q19</f>
        <v>183076825.10000002</v>
      </c>
      <c r="R20" s="103">
        <f t="shared" si="27"/>
        <v>139823463.38999999</v>
      </c>
      <c r="S20" s="17">
        <f t="shared" si="22"/>
        <v>76.374201548243889</v>
      </c>
      <c r="T20" s="103">
        <f t="shared" ref="T20:U20" si="28">T14+T15+T16+T17+T18+T19</f>
        <v>191870172.10000002</v>
      </c>
      <c r="U20" s="103">
        <f t="shared" si="28"/>
        <v>152991145.5</v>
      </c>
      <c r="V20" s="17">
        <f t="shared" si="24"/>
        <v>79.736805270734408</v>
      </c>
      <c r="W20" s="103">
        <f t="shared" ref="W20:X20" si="29">W14+W15+W16+W17+W18+W19</f>
        <v>209419199.82000005</v>
      </c>
      <c r="X20" s="103">
        <f t="shared" si="29"/>
        <v>148573188.67000002</v>
      </c>
      <c r="Y20" s="17">
        <f t="shared" si="7"/>
        <v>70.945352096513417</v>
      </c>
      <c r="Z20" s="106">
        <f t="shared" si="8"/>
        <v>9.1463032153083788</v>
      </c>
      <c r="AA20" s="106">
        <f t="shared" si="8"/>
        <v>-2.8877206034122906</v>
      </c>
    </row>
    <row r="21" spans="1:27" x14ac:dyDescent="0.3">
      <c r="A21" t="s">
        <v>38</v>
      </c>
      <c r="B21" s="1">
        <f>B20-B19</f>
        <v>161372749.34999999</v>
      </c>
      <c r="C21" s="1">
        <f>C20-C19</f>
        <v>128647894.00000001</v>
      </c>
      <c r="D21" s="17">
        <f t="shared" si="0"/>
        <v>79.72095320813844</v>
      </c>
      <c r="E21" s="1">
        <f>E20-E19</f>
        <v>173572590.24000001</v>
      </c>
      <c r="F21" s="1">
        <f>F20-F19</f>
        <v>134617114.23000002</v>
      </c>
      <c r="G21" s="17">
        <f t="shared" si="1"/>
        <v>77.556666086427597</v>
      </c>
      <c r="H21" s="1">
        <f>H20-H19</f>
        <v>136246661.82999998</v>
      </c>
      <c r="I21" s="1">
        <f>I20-I19</f>
        <v>110600669.27</v>
      </c>
      <c r="J21" s="17">
        <f t="shared" si="9"/>
        <v>81.176791992159451</v>
      </c>
      <c r="K21" s="103">
        <v>140790481.94999996</v>
      </c>
      <c r="L21" s="103">
        <v>112291502.63000001</v>
      </c>
      <c r="M21" s="17">
        <f t="shared" si="18"/>
        <v>79.757879278997706</v>
      </c>
      <c r="N21" s="103">
        <f t="shared" ref="N21:O21" si="30">N20-N19</f>
        <v>144897426.19999999</v>
      </c>
      <c r="O21" s="103">
        <f t="shared" si="30"/>
        <v>113343059.41</v>
      </c>
      <c r="P21" s="17">
        <f t="shared" si="20"/>
        <v>78.22296253458228</v>
      </c>
      <c r="Q21" s="103">
        <f t="shared" ref="Q21:R21" si="31">Q20-Q19</f>
        <v>165382951.11000001</v>
      </c>
      <c r="R21" s="103">
        <f t="shared" si="31"/>
        <v>122525901.53999999</v>
      </c>
      <c r="S21" s="17">
        <f t="shared" si="22"/>
        <v>74.086174371447271</v>
      </c>
      <c r="T21" s="103">
        <f t="shared" ref="T21:U21" si="32">T20-T19</f>
        <v>170147985.31000003</v>
      </c>
      <c r="U21" s="103">
        <f t="shared" si="32"/>
        <v>131527050.92</v>
      </c>
      <c r="V21" s="17">
        <f t="shared" si="24"/>
        <v>77.301562331381788</v>
      </c>
      <c r="W21" s="103">
        <f t="shared" ref="W21:X21" si="33">W20-W19</f>
        <v>184348146.24000007</v>
      </c>
      <c r="X21" s="103">
        <f t="shared" si="33"/>
        <v>123533037.92000002</v>
      </c>
      <c r="Y21" s="17">
        <f t="shared" si="7"/>
        <v>67.010729665366</v>
      </c>
      <c r="Z21" s="106">
        <f t="shared" si="8"/>
        <v>8.3457708324480961</v>
      </c>
      <c r="AA21" s="106">
        <f t="shared" si="8"/>
        <v>-6.0778470619418528</v>
      </c>
    </row>
    <row r="22" spans="1:27" x14ac:dyDescent="0.3">
      <c r="B22" s="95" t="s">
        <v>75</v>
      </c>
      <c r="C22" s="95" t="s">
        <v>76</v>
      </c>
      <c r="D22" s="15"/>
      <c r="E22" s="95" t="s">
        <v>75</v>
      </c>
      <c r="F22" s="95" t="s">
        <v>76</v>
      </c>
      <c r="G22" s="15"/>
      <c r="H22" s="95" t="s">
        <v>75</v>
      </c>
      <c r="I22" s="95" t="s">
        <v>76</v>
      </c>
      <c r="J22" s="99"/>
      <c r="K22" s="117" t="s">
        <v>75</v>
      </c>
      <c r="L22" s="117" t="s">
        <v>76</v>
      </c>
      <c r="M22" s="125"/>
      <c r="N22" s="117" t="s">
        <v>75</v>
      </c>
      <c r="O22" s="117" t="s">
        <v>76</v>
      </c>
      <c r="P22" s="131"/>
      <c r="Q22" s="117" t="s">
        <v>75</v>
      </c>
      <c r="R22" s="117" t="s">
        <v>76</v>
      </c>
      <c r="S22" s="135"/>
      <c r="T22" s="117" t="s">
        <v>75</v>
      </c>
      <c r="U22" s="117" t="s">
        <v>76</v>
      </c>
      <c r="V22" s="140"/>
      <c r="W22" s="117" t="s">
        <v>75</v>
      </c>
      <c r="X22" s="117" t="s">
        <v>76</v>
      </c>
      <c r="Y22" s="15"/>
    </row>
    <row r="23" spans="1:27" x14ac:dyDescent="0.3">
      <c r="A23" s="5" t="s">
        <v>39</v>
      </c>
      <c r="B23" s="1">
        <v>42179644.789999999</v>
      </c>
      <c r="C23" s="1">
        <v>41870073.100000001</v>
      </c>
      <c r="D23" s="17">
        <f>IF(B23&gt;0,C23/B23*100,"-")</f>
        <v>99.26606378137781</v>
      </c>
      <c r="E23" s="1">
        <v>41137948.560000002</v>
      </c>
      <c r="F23" s="1">
        <v>40900014.530000001</v>
      </c>
      <c r="G23" s="17">
        <f>IF(E23&gt;0,F23/E23*100,"-")</f>
        <v>99.421619117314592</v>
      </c>
      <c r="H23" s="1">
        <v>42584454.840000004</v>
      </c>
      <c r="I23" s="1">
        <v>42449057.159999996</v>
      </c>
      <c r="J23" s="17">
        <f>IF(H23&gt;0,I23/H23*100,"-")</f>
        <v>99.682049046985028</v>
      </c>
      <c r="K23" s="103">
        <v>42836143.859999999</v>
      </c>
      <c r="L23" s="103">
        <v>42455650.560000002</v>
      </c>
      <c r="M23" s="17">
        <f>IF(K23&gt;0,L23/K23*100,"-")</f>
        <v>99.11174707685278</v>
      </c>
      <c r="N23" s="103">
        <v>40216480.950000003</v>
      </c>
      <c r="O23" s="103">
        <v>39439854.719999999</v>
      </c>
      <c r="P23" s="17">
        <f>IF(N23&gt;0,O23/N23*100,"-")</f>
        <v>98.068885661663032</v>
      </c>
      <c r="Q23" s="103">
        <v>37785390.259999998</v>
      </c>
      <c r="R23" s="103">
        <v>37124497.579999998</v>
      </c>
      <c r="S23" s="17">
        <f>IF(Q23&gt;0,R23/Q23*100,"-")</f>
        <v>98.25093064951183</v>
      </c>
      <c r="T23" s="103">
        <v>40136512.719999999</v>
      </c>
      <c r="U23" s="103">
        <v>39496401.460000001</v>
      </c>
      <c r="V23" s="17">
        <f>IF(T23&gt;0,U23/T23*100,"-")</f>
        <v>98.405164732507927</v>
      </c>
      <c r="W23" s="103">
        <v>39520437.759999998</v>
      </c>
      <c r="X23" s="103">
        <v>38815208.149999999</v>
      </c>
      <c r="Y23" s="17">
        <f>IF(W23&gt;0,X23/W23*100,"-")</f>
        <v>98.215531886861356</v>
      </c>
      <c r="Z23" s="106">
        <f t="shared" si="8"/>
        <v>-1.5349488987692013</v>
      </c>
      <c r="AA23" s="106">
        <f t="shared" si="8"/>
        <v>-1.7246971491564409</v>
      </c>
    </row>
    <row r="24" spans="1:27" x14ac:dyDescent="0.3">
      <c r="A24" s="5" t="s">
        <v>40</v>
      </c>
      <c r="B24" s="1">
        <v>2250792.12</v>
      </c>
      <c r="C24" s="1">
        <v>1926425.03</v>
      </c>
      <c r="D24" s="17">
        <f t="shared" ref="D24:D55" si="34">IF(B24&gt;0,C24/B24*100,"-")</f>
        <v>85.588758414526524</v>
      </c>
      <c r="E24" s="1">
        <v>2262981.17</v>
      </c>
      <c r="F24" s="1">
        <v>1958063.59</v>
      </c>
      <c r="G24" s="17">
        <f t="shared" ref="G24:G55" si="35">IF(E24&gt;0,F24/E24*100,"-")</f>
        <v>86.525845462514397</v>
      </c>
      <c r="H24" s="1">
        <v>2554375.38</v>
      </c>
      <c r="I24" s="1">
        <v>2164166.04</v>
      </c>
      <c r="J24" s="17">
        <f t="shared" ref="J24:J55" si="36">IF(H24&gt;0,I24/H24*100,"-")</f>
        <v>84.723884239754938</v>
      </c>
      <c r="K24" s="103">
        <v>2683050.2200000002</v>
      </c>
      <c r="L24" s="103">
        <v>2257851.0499999998</v>
      </c>
      <c r="M24" s="17">
        <f t="shared" ref="M24:M55" si="37">IF(K24&gt;0,L24/K24*100,"-")</f>
        <v>84.152396148589403</v>
      </c>
      <c r="N24" s="103">
        <v>2465413.42</v>
      </c>
      <c r="O24" s="103">
        <v>2013320.14</v>
      </c>
      <c r="P24" s="17">
        <f t="shared" ref="P24:P55" si="38">IF(N24&gt;0,O24/N24*100,"-")</f>
        <v>81.662577305188833</v>
      </c>
      <c r="Q24" s="103">
        <v>2398444.6800000002</v>
      </c>
      <c r="R24" s="103">
        <v>1781199.29</v>
      </c>
      <c r="S24" s="17">
        <f t="shared" ref="S24:S55" si="39">IF(Q24&gt;0,R24/Q24*100,"-")</f>
        <v>74.264764363879337</v>
      </c>
      <c r="T24" s="103">
        <v>2431956.84</v>
      </c>
      <c r="U24" s="103">
        <v>1808062.68</v>
      </c>
      <c r="V24" s="17">
        <f t="shared" ref="V24:V55" si="40">IF(T24&gt;0,U24/T24*100,"-")</f>
        <v>74.346001962765101</v>
      </c>
      <c r="W24" s="103">
        <v>2459936.2999999998</v>
      </c>
      <c r="X24" s="103">
        <v>2300494.96</v>
      </c>
      <c r="Y24" s="17">
        <f t="shared" ref="Y24:Y55" si="41">IF(W24&gt;0,X24/W24*100,"-")</f>
        <v>93.518476880885089</v>
      </c>
      <c r="Z24" s="106">
        <f t="shared" si="8"/>
        <v>1.1504916345472509</v>
      </c>
      <c r="AA24" s="106">
        <f t="shared" si="8"/>
        <v>27.235354473441163</v>
      </c>
    </row>
    <row r="25" spans="1:27" x14ac:dyDescent="0.3">
      <c r="A25" s="5" t="s">
        <v>41</v>
      </c>
      <c r="B25" s="1">
        <v>64955209.090000004</v>
      </c>
      <c r="C25" s="1">
        <v>54059651.5</v>
      </c>
      <c r="D25" s="17">
        <f t="shared" si="34"/>
        <v>83.226044927507743</v>
      </c>
      <c r="E25" s="1">
        <v>62872885.299999997</v>
      </c>
      <c r="F25" s="1">
        <v>55416362.560000002</v>
      </c>
      <c r="G25" s="17">
        <f t="shared" si="35"/>
        <v>88.140320418856305</v>
      </c>
      <c r="H25" s="1">
        <v>40564923.340000004</v>
      </c>
      <c r="I25" s="1">
        <v>31994274.949999999</v>
      </c>
      <c r="J25" s="17">
        <f t="shared" si="36"/>
        <v>78.871774714908156</v>
      </c>
      <c r="K25" s="103">
        <v>37650270.270000003</v>
      </c>
      <c r="L25" s="103">
        <v>30375767.719999999</v>
      </c>
      <c r="M25" s="17">
        <f t="shared" si="37"/>
        <v>80.67875078231144</v>
      </c>
      <c r="N25" s="103">
        <v>38343302.130000003</v>
      </c>
      <c r="O25" s="103">
        <v>28604253.530000001</v>
      </c>
      <c r="P25" s="17">
        <f t="shared" si="38"/>
        <v>74.600391570396027</v>
      </c>
      <c r="Q25" s="103">
        <v>58625781.630000003</v>
      </c>
      <c r="R25" s="103">
        <v>35816884.020000003</v>
      </c>
      <c r="S25" s="17">
        <f t="shared" si="39"/>
        <v>61.09408356556866</v>
      </c>
      <c r="T25" s="103">
        <v>64638626.799999997</v>
      </c>
      <c r="U25" s="103">
        <v>39468677.340000004</v>
      </c>
      <c r="V25" s="17">
        <f t="shared" si="40"/>
        <v>61.060513339989463</v>
      </c>
      <c r="W25" s="103">
        <v>65778409.100000001</v>
      </c>
      <c r="X25" s="103">
        <v>45759210.57</v>
      </c>
      <c r="Y25" s="17">
        <f t="shared" si="41"/>
        <v>69.565699742653095</v>
      </c>
      <c r="Z25" s="106">
        <f t="shared" si="8"/>
        <v>1.7633145325420116</v>
      </c>
      <c r="AA25" s="106">
        <f t="shared" si="8"/>
        <v>15.938039108355866</v>
      </c>
    </row>
    <row r="26" spans="1:27" x14ac:dyDescent="0.3">
      <c r="A26" s="5" t="s">
        <v>42</v>
      </c>
      <c r="B26" s="1">
        <v>14286288.85</v>
      </c>
      <c r="C26" s="1">
        <v>9461355.5600000005</v>
      </c>
      <c r="D26" s="17">
        <f t="shared" si="34"/>
        <v>66.226825310199445</v>
      </c>
      <c r="E26" s="1">
        <v>13797796.560000001</v>
      </c>
      <c r="F26" s="1">
        <v>9143445.1600000001</v>
      </c>
      <c r="G26" s="17">
        <f t="shared" si="35"/>
        <v>66.267429877223819</v>
      </c>
      <c r="H26" s="1">
        <v>13935127.65</v>
      </c>
      <c r="I26" s="1">
        <v>10245407.16</v>
      </c>
      <c r="J26" s="17">
        <f t="shared" si="36"/>
        <v>73.522162245855</v>
      </c>
      <c r="K26" s="103">
        <v>14608953.970000001</v>
      </c>
      <c r="L26" s="103">
        <v>10667939.220000001</v>
      </c>
      <c r="M26" s="17">
        <f t="shared" si="37"/>
        <v>73.023292714228461</v>
      </c>
      <c r="N26" s="103">
        <v>19462115.300000001</v>
      </c>
      <c r="O26" s="103">
        <v>8544924</v>
      </c>
      <c r="P26" s="17">
        <f t="shared" si="38"/>
        <v>43.90542275741219</v>
      </c>
      <c r="Q26" s="103">
        <v>22178674.34</v>
      </c>
      <c r="R26" s="103">
        <v>12049529.210000001</v>
      </c>
      <c r="S26" s="17">
        <f t="shared" si="39"/>
        <v>54.329348207562887</v>
      </c>
      <c r="T26" s="103">
        <v>15384459.9</v>
      </c>
      <c r="U26" s="103">
        <v>7792189.75</v>
      </c>
      <c r="V26" s="17">
        <f t="shared" si="40"/>
        <v>50.649745266650534</v>
      </c>
      <c r="W26" s="103">
        <v>19949959.98</v>
      </c>
      <c r="X26" s="103">
        <v>10544510.83</v>
      </c>
      <c r="Y26" s="17">
        <f t="shared" si="41"/>
        <v>52.854796904710376</v>
      </c>
      <c r="Z26" s="106">
        <f t="shared" si="8"/>
        <v>29.676050441003781</v>
      </c>
      <c r="AA26" s="106">
        <f t="shared" si="8"/>
        <v>35.321535644072327</v>
      </c>
    </row>
    <row r="27" spans="1:27" x14ac:dyDescent="0.3">
      <c r="A27" s="5" t="s">
        <v>43</v>
      </c>
      <c r="B27" s="1">
        <v>1734388.48</v>
      </c>
      <c r="C27" s="1">
        <v>1734388.48</v>
      </c>
      <c r="D27" s="17">
        <f t="shared" si="34"/>
        <v>100</v>
      </c>
      <c r="E27" s="1">
        <v>8840082.5399999991</v>
      </c>
      <c r="F27" s="1">
        <v>2245472.9900000002</v>
      </c>
      <c r="G27" s="17">
        <f t="shared" si="35"/>
        <v>25.4010409952575</v>
      </c>
      <c r="H27" s="1">
        <v>3413852.6</v>
      </c>
      <c r="I27" s="1">
        <v>3413680.6</v>
      </c>
      <c r="J27" s="17">
        <f t="shared" si="36"/>
        <v>99.994961703970461</v>
      </c>
      <c r="K27" s="103">
        <v>2935699.62</v>
      </c>
      <c r="L27" s="103">
        <v>2935699.62</v>
      </c>
      <c r="M27" s="17">
        <f t="shared" si="37"/>
        <v>100</v>
      </c>
      <c r="N27" s="103">
        <v>1227454.01</v>
      </c>
      <c r="O27" s="103">
        <v>1227454.01</v>
      </c>
      <c r="P27" s="17">
        <f t="shared" si="38"/>
        <v>100</v>
      </c>
      <c r="Q27" s="103">
        <v>1197047.8</v>
      </c>
      <c r="R27" s="103">
        <v>1197047.8</v>
      </c>
      <c r="S27" s="17">
        <f t="shared" si="39"/>
        <v>100</v>
      </c>
      <c r="T27" s="103">
        <v>1708016.44</v>
      </c>
      <c r="U27" s="103">
        <v>1676865.99</v>
      </c>
      <c r="V27" s="17">
        <f t="shared" si="40"/>
        <v>98.176220716002007</v>
      </c>
      <c r="W27" s="103">
        <v>1998402.24</v>
      </c>
      <c r="X27" s="103">
        <v>1789835.46</v>
      </c>
      <c r="Y27" s="17">
        <f t="shared" si="41"/>
        <v>89.563323347756054</v>
      </c>
      <c r="Z27" s="106">
        <f t="shared" si="8"/>
        <v>17.001346895700848</v>
      </c>
      <c r="AA27" s="106">
        <f t="shared" si="8"/>
        <v>6.73694085715222</v>
      </c>
    </row>
    <row r="28" spans="1:27" x14ac:dyDescent="0.3">
      <c r="A28" s="5" t="s">
        <v>44</v>
      </c>
      <c r="B28" s="24">
        <v>0</v>
      </c>
      <c r="C28" s="24">
        <v>0</v>
      </c>
      <c r="D28" s="17" t="str">
        <f t="shared" si="34"/>
        <v>-</v>
      </c>
      <c r="E28" s="24">
        <v>0</v>
      </c>
      <c r="F28" s="24">
        <v>0</v>
      </c>
      <c r="G28" s="17" t="str">
        <f t="shared" si="35"/>
        <v>-</v>
      </c>
      <c r="H28" s="24">
        <v>0</v>
      </c>
      <c r="I28" s="24">
        <v>0</v>
      </c>
      <c r="J28" s="17" t="str">
        <f t="shared" si="36"/>
        <v>-</v>
      </c>
      <c r="K28" s="111">
        <v>30000</v>
      </c>
      <c r="L28" s="111">
        <v>30000</v>
      </c>
      <c r="M28" s="17">
        <f t="shared" si="37"/>
        <v>100</v>
      </c>
      <c r="N28" s="111">
        <v>0</v>
      </c>
      <c r="O28" s="111">
        <v>0</v>
      </c>
      <c r="P28" s="17" t="str">
        <f t="shared" si="38"/>
        <v>-</v>
      </c>
      <c r="Q28" s="112">
        <v>0</v>
      </c>
      <c r="R28" s="112">
        <v>0</v>
      </c>
      <c r="S28" s="17" t="str">
        <f t="shared" si="39"/>
        <v>-</v>
      </c>
      <c r="T28" s="112">
        <v>0</v>
      </c>
      <c r="U28" s="112">
        <v>0</v>
      </c>
      <c r="V28" s="17" t="str">
        <f t="shared" si="40"/>
        <v>-</v>
      </c>
      <c r="W28" s="112">
        <v>0</v>
      </c>
      <c r="X28" s="112">
        <v>0</v>
      </c>
      <c r="Y28" s="17" t="str">
        <f t="shared" si="41"/>
        <v>-</v>
      </c>
      <c r="Z28" s="106" t="str">
        <f t="shared" si="8"/>
        <v>-</v>
      </c>
      <c r="AA28" s="106" t="str">
        <f t="shared" si="8"/>
        <v>-</v>
      </c>
    </row>
    <row r="29" spans="1:27" x14ac:dyDescent="0.3">
      <c r="A29" s="5" t="s">
        <v>45</v>
      </c>
      <c r="B29" s="1">
        <v>3087464.54</v>
      </c>
      <c r="C29" s="1">
        <v>2152190.0099999998</v>
      </c>
      <c r="D29" s="17">
        <f t="shared" si="34"/>
        <v>69.70735961877638</v>
      </c>
      <c r="E29" s="1">
        <v>1483464.35</v>
      </c>
      <c r="F29" s="1">
        <v>458713.85</v>
      </c>
      <c r="G29" s="17">
        <f t="shared" si="35"/>
        <v>30.921798019615366</v>
      </c>
      <c r="H29" s="1">
        <v>2134639.62</v>
      </c>
      <c r="I29" s="1">
        <v>1392500.36</v>
      </c>
      <c r="J29" s="17">
        <f t="shared" si="36"/>
        <v>65.23351046955645</v>
      </c>
      <c r="K29" s="103">
        <v>1442293.58</v>
      </c>
      <c r="L29" s="103">
        <v>859615.14</v>
      </c>
      <c r="M29" s="17">
        <f t="shared" si="37"/>
        <v>59.6005662037267</v>
      </c>
      <c r="N29" s="103">
        <v>522215.85</v>
      </c>
      <c r="O29" s="103">
        <v>237182.51</v>
      </c>
      <c r="P29" s="17">
        <f t="shared" si="38"/>
        <v>45.418481648919702</v>
      </c>
      <c r="Q29" s="103">
        <v>1488519.28</v>
      </c>
      <c r="R29" s="103">
        <v>413023.23</v>
      </c>
      <c r="S29" s="17">
        <f t="shared" si="39"/>
        <v>27.747254304962716</v>
      </c>
      <c r="T29" s="103">
        <v>276699.98</v>
      </c>
      <c r="U29" s="103">
        <v>105852.05</v>
      </c>
      <c r="V29" s="17">
        <f t="shared" si="40"/>
        <v>38.255170817142812</v>
      </c>
      <c r="W29" s="103">
        <v>320004.42</v>
      </c>
      <c r="X29" s="103">
        <v>97290.89</v>
      </c>
      <c r="Y29" s="17">
        <f t="shared" si="41"/>
        <v>30.402983183794774</v>
      </c>
      <c r="Z29" s="106">
        <f t="shared" si="8"/>
        <v>15.650322779206576</v>
      </c>
      <c r="AA29" s="106">
        <f t="shared" si="8"/>
        <v>-8.0878546990823565</v>
      </c>
    </row>
    <row r="30" spans="1:27" x14ac:dyDescent="0.3">
      <c r="A30" s="5" t="s">
        <v>46</v>
      </c>
      <c r="B30" s="1">
        <v>3194773.58</v>
      </c>
      <c r="C30" s="1">
        <v>2965554.57</v>
      </c>
      <c r="D30" s="17">
        <f t="shared" si="34"/>
        <v>92.825187630354691</v>
      </c>
      <c r="E30" s="1">
        <v>2863467.86</v>
      </c>
      <c r="F30" s="1">
        <v>2742017.49</v>
      </c>
      <c r="G30" s="17">
        <f t="shared" si="35"/>
        <v>95.758626395059323</v>
      </c>
      <c r="H30" s="1">
        <v>2812065.66</v>
      </c>
      <c r="I30" s="1">
        <v>2459948.91</v>
      </c>
      <c r="J30" s="17">
        <f t="shared" si="36"/>
        <v>87.478359591361738</v>
      </c>
      <c r="K30" s="103">
        <v>2170372.2200000002</v>
      </c>
      <c r="L30" s="103">
        <v>1899762.06</v>
      </c>
      <c r="M30" s="17">
        <f t="shared" si="37"/>
        <v>87.531624414175369</v>
      </c>
      <c r="N30" s="103">
        <v>1950980.29</v>
      </c>
      <c r="O30" s="103">
        <v>1606031.46</v>
      </c>
      <c r="P30" s="17">
        <f t="shared" si="38"/>
        <v>82.319204772694036</v>
      </c>
      <c r="Q30" s="103">
        <v>2442398.86</v>
      </c>
      <c r="R30" s="103">
        <v>1719784.91</v>
      </c>
      <c r="S30" s="17">
        <f t="shared" si="39"/>
        <v>70.413761575371851</v>
      </c>
      <c r="T30" s="103">
        <v>2157198.2799999998</v>
      </c>
      <c r="U30" s="103">
        <v>1877711.34</v>
      </c>
      <c r="V30" s="17">
        <f t="shared" si="40"/>
        <v>87.043984663292065</v>
      </c>
      <c r="W30" s="103">
        <v>2340141</v>
      </c>
      <c r="X30" s="103">
        <v>1796929.57</v>
      </c>
      <c r="Y30" s="17">
        <f t="shared" si="41"/>
        <v>76.78723504267478</v>
      </c>
      <c r="Z30" s="106">
        <f t="shared" si="8"/>
        <v>8.4805704554891577</v>
      </c>
      <c r="AA30" s="106">
        <f t="shared" si="8"/>
        <v>-4.3021399657734491</v>
      </c>
    </row>
    <row r="31" spans="1:27" x14ac:dyDescent="0.3">
      <c r="A31" s="5" t="s">
        <v>47</v>
      </c>
      <c r="B31" s="25">
        <v>0</v>
      </c>
      <c r="C31" s="25">
        <v>0</v>
      </c>
      <c r="D31" s="17" t="str">
        <f t="shared" si="34"/>
        <v>-</v>
      </c>
      <c r="E31" s="25">
        <v>0</v>
      </c>
      <c r="F31" s="25">
        <v>0</v>
      </c>
      <c r="G31" s="17" t="str">
        <f t="shared" si="35"/>
        <v>-</v>
      </c>
      <c r="H31" s="25">
        <v>0</v>
      </c>
      <c r="I31" s="25">
        <v>0</v>
      </c>
      <c r="J31" s="17" t="str">
        <f t="shared" si="36"/>
        <v>-</v>
      </c>
      <c r="K31" s="112">
        <v>0</v>
      </c>
      <c r="L31" s="112">
        <v>0</v>
      </c>
      <c r="M31" s="17" t="str">
        <f t="shared" si="37"/>
        <v>-</v>
      </c>
      <c r="N31" s="112">
        <v>0</v>
      </c>
      <c r="O31" s="112">
        <v>0</v>
      </c>
      <c r="P31" s="17" t="str">
        <f t="shared" si="38"/>
        <v>-</v>
      </c>
      <c r="Q31" s="112">
        <v>0</v>
      </c>
      <c r="R31" s="112">
        <v>0</v>
      </c>
      <c r="S31" s="17" t="str">
        <f t="shared" si="39"/>
        <v>-</v>
      </c>
      <c r="T31" s="112">
        <v>0</v>
      </c>
      <c r="U31" s="112">
        <v>0</v>
      </c>
      <c r="V31" s="17" t="str">
        <f t="shared" si="40"/>
        <v>-</v>
      </c>
      <c r="W31" s="112">
        <v>0</v>
      </c>
      <c r="X31" s="112">
        <v>0</v>
      </c>
      <c r="Y31" s="17" t="str">
        <f t="shared" si="41"/>
        <v>-</v>
      </c>
      <c r="Z31" s="106" t="str">
        <f t="shared" si="8"/>
        <v>-</v>
      </c>
      <c r="AA31" s="106" t="str">
        <f t="shared" si="8"/>
        <v>-</v>
      </c>
    </row>
    <row r="32" spans="1:27" x14ac:dyDescent="0.3">
      <c r="A32" s="5" t="s">
        <v>48</v>
      </c>
      <c r="B32" s="1">
        <v>11622707</v>
      </c>
      <c r="C32" s="1">
        <v>9240050.1199999992</v>
      </c>
      <c r="D32" s="17">
        <f t="shared" si="34"/>
        <v>79.499983265516363</v>
      </c>
      <c r="E32" s="1">
        <v>17468629.57</v>
      </c>
      <c r="F32" s="1">
        <v>14072219.189999999</v>
      </c>
      <c r="G32" s="17">
        <f t="shared" si="35"/>
        <v>80.557087398356217</v>
      </c>
      <c r="H32" s="1">
        <v>23239769.370000001</v>
      </c>
      <c r="I32" s="1">
        <v>18503410.620000001</v>
      </c>
      <c r="J32" s="17">
        <f t="shared" si="36"/>
        <v>79.61959658638385</v>
      </c>
      <c r="K32" s="103">
        <v>24858056.710000001</v>
      </c>
      <c r="L32" s="103">
        <v>18707924.890000001</v>
      </c>
      <c r="M32" s="17">
        <f t="shared" si="37"/>
        <v>75.258999962270181</v>
      </c>
      <c r="N32" s="103">
        <v>22463245.469999999</v>
      </c>
      <c r="O32" s="103">
        <v>16836492.989999998</v>
      </c>
      <c r="P32" s="17">
        <f t="shared" si="38"/>
        <v>74.951293269200065</v>
      </c>
      <c r="Q32" s="103">
        <v>24564777.120000001</v>
      </c>
      <c r="R32" s="103">
        <v>18206943.309999999</v>
      </c>
      <c r="S32" s="17">
        <f t="shared" si="39"/>
        <v>74.118088762044493</v>
      </c>
      <c r="T32" s="103">
        <v>28273529.640000001</v>
      </c>
      <c r="U32" s="103">
        <v>17807977.710000001</v>
      </c>
      <c r="V32" s="17">
        <f t="shared" si="40"/>
        <v>62.984628862206684</v>
      </c>
      <c r="W32" s="103">
        <v>34065162.020000003</v>
      </c>
      <c r="X32" s="103">
        <v>27387830.359999999</v>
      </c>
      <c r="Y32" s="17">
        <f t="shared" si="41"/>
        <v>80.398356373353892</v>
      </c>
      <c r="Z32" s="106">
        <f t="shared" si="8"/>
        <v>20.484292034788211</v>
      </c>
      <c r="AA32" s="106">
        <f t="shared" si="8"/>
        <v>53.795286618201857</v>
      </c>
    </row>
    <row r="33" spans="1:27" x14ac:dyDescent="0.3">
      <c r="A33" s="5" t="s">
        <v>49</v>
      </c>
      <c r="B33" s="1">
        <v>1964210.35</v>
      </c>
      <c r="C33" s="1">
        <v>1815030.5</v>
      </c>
      <c r="D33" s="17">
        <f t="shared" si="34"/>
        <v>92.405098058871332</v>
      </c>
      <c r="E33" s="1">
        <v>1672522.93</v>
      </c>
      <c r="F33" s="1">
        <v>1496997.78</v>
      </c>
      <c r="G33" s="17">
        <f t="shared" si="35"/>
        <v>89.505366602059084</v>
      </c>
      <c r="H33" s="1">
        <v>1786781.6</v>
      </c>
      <c r="I33" s="1">
        <v>183259.38</v>
      </c>
      <c r="J33" s="17">
        <f t="shared" si="36"/>
        <v>10.256395073690037</v>
      </c>
      <c r="K33" s="103">
        <v>558218.17000000004</v>
      </c>
      <c r="L33" s="103">
        <v>249416.14</v>
      </c>
      <c r="M33" s="17">
        <f t="shared" si="37"/>
        <v>44.680763436990951</v>
      </c>
      <c r="N33" s="103">
        <v>720208.46</v>
      </c>
      <c r="O33" s="103">
        <v>280780.36</v>
      </c>
      <c r="P33" s="17">
        <f t="shared" si="38"/>
        <v>38.985984696708506</v>
      </c>
      <c r="Q33" s="103">
        <v>388091.82</v>
      </c>
      <c r="R33" s="103">
        <v>79153.070000000007</v>
      </c>
      <c r="S33" s="17">
        <f t="shared" si="39"/>
        <v>20.395449200655662</v>
      </c>
      <c r="T33" s="103">
        <v>1559847.3</v>
      </c>
      <c r="U33" s="103">
        <v>1559847.3</v>
      </c>
      <c r="V33" s="17">
        <f t="shared" si="40"/>
        <v>100</v>
      </c>
      <c r="W33" s="103">
        <v>1275831.81</v>
      </c>
      <c r="X33" s="103">
        <v>874407.14</v>
      </c>
      <c r="Y33" s="17">
        <f t="shared" si="41"/>
        <v>68.536239114464465</v>
      </c>
      <c r="Z33" s="106">
        <f t="shared" si="8"/>
        <v>-18.2079034274701</v>
      </c>
      <c r="AA33" s="106">
        <f t="shared" si="8"/>
        <v>-43.942773116317227</v>
      </c>
    </row>
    <row r="34" spans="1:27" x14ac:dyDescent="0.3">
      <c r="A34" s="5" t="s">
        <v>50</v>
      </c>
      <c r="B34" s="24">
        <v>0</v>
      </c>
      <c r="C34" s="24">
        <v>0</v>
      </c>
      <c r="D34" s="17" t="str">
        <f t="shared" si="34"/>
        <v>-</v>
      </c>
      <c r="E34" s="24">
        <v>0</v>
      </c>
      <c r="F34" s="24">
        <v>0</v>
      </c>
      <c r="G34" s="17" t="str">
        <f t="shared" si="35"/>
        <v>-</v>
      </c>
      <c r="H34" s="24">
        <v>0</v>
      </c>
      <c r="I34" s="24">
        <v>0</v>
      </c>
      <c r="J34" s="17" t="str">
        <f t="shared" si="36"/>
        <v>-</v>
      </c>
      <c r="K34" s="111">
        <v>0</v>
      </c>
      <c r="L34" s="111">
        <v>0</v>
      </c>
      <c r="M34" s="17" t="str">
        <f t="shared" si="37"/>
        <v>-</v>
      </c>
      <c r="N34" s="111">
        <v>0</v>
      </c>
      <c r="O34" s="111">
        <v>0</v>
      </c>
      <c r="P34" s="17" t="str">
        <f t="shared" si="38"/>
        <v>-</v>
      </c>
      <c r="Q34" s="112">
        <v>0</v>
      </c>
      <c r="R34" s="112">
        <v>0</v>
      </c>
      <c r="S34" s="17" t="str">
        <f t="shared" si="39"/>
        <v>-</v>
      </c>
      <c r="T34" s="112">
        <v>0</v>
      </c>
      <c r="U34" s="112">
        <v>0</v>
      </c>
      <c r="V34" s="17" t="str">
        <f t="shared" si="40"/>
        <v>-</v>
      </c>
      <c r="W34" s="112">
        <v>0</v>
      </c>
      <c r="X34" s="112">
        <v>0</v>
      </c>
      <c r="Y34" s="17" t="str">
        <f t="shared" si="41"/>
        <v>-</v>
      </c>
      <c r="Z34" s="106" t="str">
        <f t="shared" si="8"/>
        <v>-</v>
      </c>
      <c r="AA34" s="106" t="str">
        <f t="shared" si="8"/>
        <v>-</v>
      </c>
    </row>
    <row r="35" spans="1:27" x14ac:dyDescent="0.3">
      <c r="A35" s="5" t="s">
        <v>51</v>
      </c>
      <c r="B35" s="1">
        <v>599158.11</v>
      </c>
      <c r="C35" s="1">
        <v>579971.77</v>
      </c>
      <c r="D35" s="17">
        <f t="shared" si="34"/>
        <v>96.797783476551785</v>
      </c>
      <c r="E35" s="1">
        <v>378139.72</v>
      </c>
      <c r="F35" s="1">
        <v>341094.05</v>
      </c>
      <c r="G35" s="17">
        <f t="shared" si="35"/>
        <v>90.20317939622953</v>
      </c>
      <c r="H35" s="1">
        <v>476231.64</v>
      </c>
      <c r="I35" s="1">
        <v>475231.64</v>
      </c>
      <c r="J35" s="17">
        <f t="shared" si="36"/>
        <v>99.790018151670907</v>
      </c>
      <c r="K35" s="103">
        <v>71126.81</v>
      </c>
      <c r="L35" s="103">
        <v>66443.929999999993</v>
      </c>
      <c r="M35" s="17">
        <f t="shared" si="37"/>
        <v>93.416153486990339</v>
      </c>
      <c r="N35" s="103">
        <v>132781.68</v>
      </c>
      <c r="O35" s="103">
        <v>60862.93</v>
      </c>
      <c r="P35" s="17">
        <f t="shared" si="38"/>
        <v>45.836842853622578</v>
      </c>
      <c r="Q35" s="103">
        <v>89831.37</v>
      </c>
      <c r="R35" s="103">
        <v>71135.83</v>
      </c>
      <c r="S35" s="17">
        <f t="shared" si="39"/>
        <v>79.188183370686659</v>
      </c>
      <c r="T35" s="103">
        <v>90103.23</v>
      </c>
      <c r="U35" s="103">
        <v>88536.53</v>
      </c>
      <c r="V35" s="17">
        <f t="shared" si="40"/>
        <v>98.261216606774255</v>
      </c>
      <c r="W35" s="103">
        <v>184437.14</v>
      </c>
      <c r="X35" s="103">
        <v>131997.69</v>
      </c>
      <c r="Y35" s="17">
        <f t="shared" si="41"/>
        <v>71.567846909792678</v>
      </c>
      <c r="Z35" s="106">
        <f t="shared" si="8"/>
        <v>104.69536996620437</v>
      </c>
      <c r="AA35" s="106">
        <f t="shared" si="8"/>
        <v>49.088393231584746</v>
      </c>
    </row>
    <row r="36" spans="1:27" x14ac:dyDescent="0.3">
      <c r="A36" s="5" t="s">
        <v>52</v>
      </c>
      <c r="B36" s="24">
        <v>0</v>
      </c>
      <c r="C36" s="24">
        <v>0</v>
      </c>
      <c r="D36" s="17" t="str">
        <f t="shared" si="34"/>
        <v>-</v>
      </c>
      <c r="E36" s="24">
        <v>0</v>
      </c>
      <c r="F36" s="24">
        <v>0</v>
      </c>
      <c r="G36" s="17" t="str">
        <f t="shared" si="35"/>
        <v>-</v>
      </c>
      <c r="H36" s="24">
        <v>356.65</v>
      </c>
      <c r="I36" s="24">
        <v>0</v>
      </c>
      <c r="J36" s="17">
        <f t="shared" si="36"/>
        <v>0</v>
      </c>
      <c r="K36" s="111">
        <v>0</v>
      </c>
      <c r="L36" s="111">
        <v>0</v>
      </c>
      <c r="M36" s="17" t="str">
        <f t="shared" si="37"/>
        <v>-</v>
      </c>
      <c r="N36" s="111">
        <v>0</v>
      </c>
      <c r="O36" s="111">
        <v>0</v>
      </c>
      <c r="P36" s="17" t="str">
        <f t="shared" si="38"/>
        <v>-</v>
      </c>
      <c r="Q36" s="112">
        <v>0</v>
      </c>
      <c r="R36" s="112">
        <v>0</v>
      </c>
      <c r="S36" s="17" t="str">
        <f t="shared" si="39"/>
        <v>-</v>
      </c>
      <c r="T36" s="112">
        <v>0</v>
      </c>
      <c r="U36" s="112">
        <v>0</v>
      </c>
      <c r="V36" s="17" t="str">
        <f t="shared" si="40"/>
        <v>-</v>
      </c>
      <c r="W36" s="112">
        <v>0</v>
      </c>
      <c r="X36" s="112">
        <v>0</v>
      </c>
      <c r="Y36" s="17" t="str">
        <f t="shared" si="41"/>
        <v>-</v>
      </c>
      <c r="Z36" s="106" t="str">
        <f t="shared" si="8"/>
        <v>-</v>
      </c>
      <c r="AA36" s="106" t="str">
        <f t="shared" si="8"/>
        <v>-</v>
      </c>
    </row>
    <row r="37" spans="1:27" x14ac:dyDescent="0.3">
      <c r="A37" s="5" t="s">
        <v>263</v>
      </c>
      <c r="B37" s="24">
        <v>0</v>
      </c>
      <c r="C37" s="24">
        <v>0</v>
      </c>
      <c r="D37" s="17" t="str">
        <f t="shared" si="34"/>
        <v>-</v>
      </c>
      <c r="E37" s="24">
        <v>0</v>
      </c>
      <c r="F37" s="24">
        <v>0</v>
      </c>
      <c r="G37" s="17" t="str">
        <f t="shared" si="35"/>
        <v>-</v>
      </c>
      <c r="H37" s="24">
        <v>0</v>
      </c>
      <c r="I37" s="24">
        <v>0</v>
      </c>
      <c r="J37" s="17" t="str">
        <f t="shared" si="36"/>
        <v>-</v>
      </c>
      <c r="K37" s="111">
        <v>0</v>
      </c>
      <c r="L37" s="111">
        <v>0</v>
      </c>
      <c r="M37" s="17" t="str">
        <f t="shared" si="37"/>
        <v>-</v>
      </c>
      <c r="N37" s="111">
        <v>0</v>
      </c>
      <c r="O37" s="111">
        <v>0</v>
      </c>
      <c r="P37" s="17" t="str">
        <f t="shared" si="38"/>
        <v>-</v>
      </c>
      <c r="Q37" s="112">
        <v>0</v>
      </c>
      <c r="R37" s="112">
        <v>0</v>
      </c>
      <c r="S37" s="17" t="str">
        <f t="shared" si="39"/>
        <v>-</v>
      </c>
      <c r="T37" s="112">
        <v>0</v>
      </c>
      <c r="U37" s="112">
        <v>0</v>
      </c>
      <c r="V37" s="17" t="str">
        <f t="shared" si="40"/>
        <v>-</v>
      </c>
      <c r="W37" s="112">
        <v>0</v>
      </c>
      <c r="X37" s="112">
        <v>0</v>
      </c>
      <c r="Y37" s="17" t="str">
        <f t="shared" si="41"/>
        <v>-</v>
      </c>
      <c r="Z37" s="106" t="str">
        <f t="shared" si="8"/>
        <v>-</v>
      </c>
      <c r="AA37" s="106" t="str">
        <f t="shared" si="8"/>
        <v>-</v>
      </c>
    </row>
    <row r="38" spans="1:27" x14ac:dyDescent="0.3">
      <c r="A38" s="5" t="s">
        <v>53</v>
      </c>
      <c r="B38" s="24">
        <v>0</v>
      </c>
      <c r="C38" s="24">
        <v>0</v>
      </c>
      <c r="D38" s="17" t="str">
        <f t="shared" si="34"/>
        <v>-</v>
      </c>
      <c r="E38" s="24">
        <v>0</v>
      </c>
      <c r="F38" s="24">
        <v>0</v>
      </c>
      <c r="G38" s="17" t="str">
        <f t="shared" si="35"/>
        <v>-</v>
      </c>
      <c r="H38" s="24">
        <v>0</v>
      </c>
      <c r="I38" s="24">
        <v>0</v>
      </c>
      <c r="J38" s="17" t="str">
        <f t="shared" si="36"/>
        <v>-</v>
      </c>
      <c r="K38" s="111">
        <v>0</v>
      </c>
      <c r="L38" s="111">
        <v>0</v>
      </c>
      <c r="M38" s="17" t="str">
        <f t="shared" si="37"/>
        <v>-</v>
      </c>
      <c r="N38" s="111">
        <v>0</v>
      </c>
      <c r="O38" s="111">
        <v>0</v>
      </c>
      <c r="P38" s="17" t="str">
        <f t="shared" si="38"/>
        <v>-</v>
      </c>
      <c r="Q38" s="112">
        <v>0</v>
      </c>
      <c r="R38" s="112">
        <v>0</v>
      </c>
      <c r="S38" s="17" t="str">
        <f t="shared" si="39"/>
        <v>-</v>
      </c>
      <c r="T38" s="112">
        <v>0</v>
      </c>
      <c r="U38" s="112">
        <v>0</v>
      </c>
      <c r="V38" s="17" t="str">
        <f t="shared" si="40"/>
        <v>-</v>
      </c>
      <c r="W38" s="112">
        <v>0</v>
      </c>
      <c r="X38" s="112">
        <v>0</v>
      </c>
      <c r="Y38" s="17" t="str">
        <f t="shared" si="41"/>
        <v>-</v>
      </c>
      <c r="Z38" s="106" t="str">
        <f t="shared" si="8"/>
        <v>-</v>
      </c>
      <c r="AA38" s="106" t="str">
        <f t="shared" si="8"/>
        <v>-</v>
      </c>
    </row>
    <row r="39" spans="1:27" x14ac:dyDescent="0.3">
      <c r="A39" s="5" t="s">
        <v>54</v>
      </c>
      <c r="B39" s="1">
        <v>1382840.7</v>
      </c>
      <c r="C39" s="1">
        <v>1382840.7</v>
      </c>
      <c r="D39" s="17">
        <f t="shared" si="34"/>
        <v>100</v>
      </c>
      <c r="E39" s="24">
        <v>0</v>
      </c>
      <c r="F39" s="24">
        <v>0</v>
      </c>
      <c r="G39" s="17" t="str">
        <f t="shared" si="35"/>
        <v>-</v>
      </c>
      <c r="H39" s="24">
        <v>0</v>
      </c>
      <c r="I39" s="24">
        <v>0</v>
      </c>
      <c r="J39" s="17" t="str">
        <f t="shared" si="36"/>
        <v>-</v>
      </c>
      <c r="K39" s="111">
        <v>994354.2</v>
      </c>
      <c r="L39" s="111">
        <v>0</v>
      </c>
      <c r="M39" s="17">
        <f t="shared" si="37"/>
        <v>0</v>
      </c>
      <c r="N39" s="111">
        <v>2700000</v>
      </c>
      <c r="O39" s="111">
        <v>0</v>
      </c>
      <c r="P39" s="17">
        <f t="shared" si="38"/>
        <v>0</v>
      </c>
      <c r="Q39" s="103">
        <v>5170000</v>
      </c>
      <c r="R39" s="112">
        <v>0</v>
      </c>
      <c r="S39" s="17">
        <f t="shared" si="39"/>
        <v>0</v>
      </c>
      <c r="T39" s="103">
        <v>1000000</v>
      </c>
      <c r="U39" s="112">
        <v>0</v>
      </c>
      <c r="V39" s="17">
        <f t="shared" si="40"/>
        <v>0</v>
      </c>
      <c r="W39" s="103">
        <v>9028990.8900000006</v>
      </c>
      <c r="X39" s="112">
        <v>0</v>
      </c>
      <c r="Y39" s="17">
        <f t="shared" si="41"/>
        <v>0</v>
      </c>
      <c r="Z39" s="106">
        <f t="shared" si="8"/>
        <v>802.89908900000012</v>
      </c>
      <c r="AA39" s="106" t="str">
        <f t="shared" si="8"/>
        <v>-</v>
      </c>
    </row>
    <row r="40" spans="1:27" x14ac:dyDescent="0.3">
      <c r="A40" s="5" t="s">
        <v>55</v>
      </c>
      <c r="B40" s="1">
        <v>2477503.37</v>
      </c>
      <c r="C40" s="1">
        <v>2477503.37</v>
      </c>
      <c r="D40" s="17">
        <f t="shared" si="34"/>
        <v>100</v>
      </c>
      <c r="E40" s="1">
        <v>2557902.19</v>
      </c>
      <c r="F40" s="1">
        <v>2557902.19</v>
      </c>
      <c r="G40" s="17">
        <f t="shared" si="35"/>
        <v>100</v>
      </c>
      <c r="H40" s="1">
        <v>2640726.9700000002</v>
      </c>
      <c r="I40" s="24">
        <v>0</v>
      </c>
      <c r="J40" s="17">
        <f t="shared" si="36"/>
        <v>0</v>
      </c>
      <c r="K40" s="103">
        <v>2726839.47</v>
      </c>
      <c r="L40" s="103">
        <v>0</v>
      </c>
      <c r="M40" s="17">
        <f t="shared" si="37"/>
        <v>0</v>
      </c>
      <c r="N40" s="103">
        <v>2815705.8</v>
      </c>
      <c r="O40" s="103">
        <v>2810705.8</v>
      </c>
      <c r="P40" s="17">
        <f t="shared" si="38"/>
        <v>99.822424629732268</v>
      </c>
      <c r="Q40" s="103">
        <v>2907527.47</v>
      </c>
      <c r="R40" s="103">
        <v>2907527.47</v>
      </c>
      <c r="S40" s="17">
        <f t="shared" si="39"/>
        <v>100</v>
      </c>
      <c r="T40" s="103">
        <v>3002565.44</v>
      </c>
      <c r="U40" s="112">
        <v>0</v>
      </c>
      <c r="V40" s="17">
        <f t="shared" si="40"/>
        <v>0</v>
      </c>
      <c r="W40" s="103">
        <v>3100819.71</v>
      </c>
      <c r="X40" s="112">
        <v>0</v>
      </c>
      <c r="Y40" s="17">
        <f t="shared" si="41"/>
        <v>0</v>
      </c>
      <c r="Z40" s="106">
        <f t="shared" si="8"/>
        <v>3.2723439992701628</v>
      </c>
      <c r="AA40" s="106" t="str">
        <f t="shared" si="8"/>
        <v>-</v>
      </c>
    </row>
    <row r="41" spans="1:27" x14ac:dyDescent="0.3">
      <c r="A41" s="5" t="s">
        <v>56</v>
      </c>
      <c r="B41" s="1">
        <v>0</v>
      </c>
      <c r="C41" s="1">
        <v>0</v>
      </c>
      <c r="D41" s="17" t="str">
        <f t="shared" si="34"/>
        <v>-</v>
      </c>
      <c r="E41" s="24">
        <v>0</v>
      </c>
      <c r="F41" s="24">
        <v>0</v>
      </c>
      <c r="G41" s="17" t="str">
        <f t="shared" si="35"/>
        <v>-</v>
      </c>
      <c r="H41" s="24">
        <v>0</v>
      </c>
      <c r="I41" s="24">
        <v>0</v>
      </c>
      <c r="J41" s="17" t="str">
        <f t="shared" si="36"/>
        <v>-</v>
      </c>
      <c r="K41" s="111">
        <v>0</v>
      </c>
      <c r="L41" s="111">
        <v>0</v>
      </c>
      <c r="M41" s="17" t="str">
        <f t="shared" si="37"/>
        <v>-</v>
      </c>
      <c r="N41" s="111">
        <v>0</v>
      </c>
      <c r="O41" s="111">
        <v>0</v>
      </c>
      <c r="P41" s="17" t="str">
        <f t="shared" si="38"/>
        <v>-</v>
      </c>
      <c r="Q41" s="111">
        <v>0</v>
      </c>
      <c r="R41" s="111">
        <v>0</v>
      </c>
      <c r="S41" s="17" t="str">
        <f t="shared" si="39"/>
        <v>-</v>
      </c>
      <c r="T41" s="111">
        <v>0</v>
      </c>
      <c r="U41" s="112">
        <v>0</v>
      </c>
      <c r="V41" s="17" t="str">
        <f t="shared" si="40"/>
        <v>-</v>
      </c>
      <c r="W41" s="111">
        <v>0</v>
      </c>
      <c r="X41" s="112">
        <v>0</v>
      </c>
      <c r="Y41" s="17" t="str">
        <f t="shared" si="41"/>
        <v>-</v>
      </c>
      <c r="Z41" s="106" t="str">
        <f t="shared" si="8"/>
        <v>-</v>
      </c>
      <c r="AA41" s="106" t="str">
        <f t="shared" si="8"/>
        <v>-</v>
      </c>
    </row>
    <row r="42" spans="1:27" x14ac:dyDescent="0.3">
      <c r="A42" s="5" t="s">
        <v>57</v>
      </c>
      <c r="B42" s="1">
        <v>4754641.18</v>
      </c>
      <c r="C42" s="1">
        <v>4754641.18</v>
      </c>
      <c r="D42" s="17">
        <f t="shared" si="34"/>
        <v>100</v>
      </c>
      <c r="E42" s="1">
        <v>6219674.8799999999</v>
      </c>
      <c r="F42" s="1">
        <v>6219674.8799999999</v>
      </c>
      <c r="G42" s="17">
        <f t="shared" si="35"/>
        <v>100</v>
      </c>
      <c r="H42" s="1">
        <v>5591782.75</v>
      </c>
      <c r="I42" s="24">
        <v>0</v>
      </c>
      <c r="J42" s="17">
        <f t="shared" si="36"/>
        <v>0</v>
      </c>
      <c r="K42" s="103">
        <v>6077158.7400000002</v>
      </c>
      <c r="L42" s="103">
        <v>0</v>
      </c>
      <c r="M42" s="17">
        <f t="shared" si="37"/>
        <v>0</v>
      </c>
      <c r="N42" s="103">
        <v>3943334.1</v>
      </c>
      <c r="O42" s="103">
        <v>3943334.1</v>
      </c>
      <c r="P42" s="17">
        <f t="shared" si="38"/>
        <v>100</v>
      </c>
      <c r="Q42" s="103">
        <v>5270026.8499999996</v>
      </c>
      <c r="R42" s="103">
        <v>5270026.8499999996</v>
      </c>
      <c r="S42" s="17">
        <f t="shared" si="39"/>
        <v>100</v>
      </c>
      <c r="T42" s="103">
        <v>7289213.7300000004</v>
      </c>
      <c r="U42" s="112">
        <v>0</v>
      </c>
      <c r="V42" s="17">
        <f t="shared" si="40"/>
        <v>0</v>
      </c>
      <c r="W42" s="103">
        <v>7372870.6600000001</v>
      </c>
      <c r="X42" s="112">
        <v>0</v>
      </c>
      <c r="Y42" s="17">
        <f t="shared" si="41"/>
        <v>0</v>
      </c>
      <c r="Z42" s="106">
        <f t="shared" si="8"/>
        <v>1.1476811230777315</v>
      </c>
      <c r="AA42" s="106" t="str">
        <f t="shared" si="8"/>
        <v>-</v>
      </c>
    </row>
    <row r="43" spans="1:27" x14ac:dyDescent="0.3">
      <c r="A43" s="5" t="s">
        <v>58</v>
      </c>
      <c r="B43" s="1">
        <v>0</v>
      </c>
      <c r="C43" s="1">
        <v>0</v>
      </c>
      <c r="D43" s="17" t="str">
        <f t="shared" si="34"/>
        <v>-</v>
      </c>
      <c r="E43" s="24">
        <v>0</v>
      </c>
      <c r="F43" s="24">
        <v>0</v>
      </c>
      <c r="G43" s="17" t="str">
        <f t="shared" si="35"/>
        <v>-</v>
      </c>
      <c r="H43" s="24">
        <v>0</v>
      </c>
      <c r="I43" s="24">
        <v>0</v>
      </c>
      <c r="J43" s="17" t="str">
        <f t="shared" si="36"/>
        <v>-</v>
      </c>
      <c r="K43" s="111">
        <v>0</v>
      </c>
      <c r="L43" s="111">
        <v>0</v>
      </c>
      <c r="M43" s="17" t="str">
        <f t="shared" si="37"/>
        <v>-</v>
      </c>
      <c r="N43" s="111">
        <v>0</v>
      </c>
      <c r="O43" s="111">
        <v>0</v>
      </c>
      <c r="P43" s="17" t="str">
        <f t="shared" si="38"/>
        <v>-</v>
      </c>
      <c r="Q43" s="111">
        <v>0</v>
      </c>
      <c r="R43" s="111">
        <v>0</v>
      </c>
      <c r="S43" s="17" t="str">
        <f t="shared" si="39"/>
        <v>-</v>
      </c>
      <c r="T43" s="111">
        <v>0</v>
      </c>
      <c r="U43" s="111">
        <v>0</v>
      </c>
      <c r="V43" s="17" t="str">
        <f t="shared" si="40"/>
        <v>-</v>
      </c>
      <c r="W43" s="111">
        <v>0</v>
      </c>
      <c r="X43" s="111">
        <v>0</v>
      </c>
      <c r="Y43" s="17" t="str">
        <f t="shared" si="41"/>
        <v>-</v>
      </c>
      <c r="Z43" s="106" t="str">
        <f t="shared" si="8"/>
        <v>-</v>
      </c>
      <c r="AA43" s="106" t="str">
        <f t="shared" si="8"/>
        <v>-</v>
      </c>
    </row>
    <row r="44" spans="1:27" x14ac:dyDescent="0.3">
      <c r="A44" s="5" t="s">
        <v>59</v>
      </c>
      <c r="B44" s="1">
        <v>0</v>
      </c>
      <c r="C44" s="1">
        <v>0</v>
      </c>
      <c r="D44" s="17" t="str">
        <f t="shared" si="34"/>
        <v>-</v>
      </c>
      <c r="E44" s="24">
        <v>0</v>
      </c>
      <c r="F44" s="24">
        <v>0</v>
      </c>
      <c r="G44" s="17" t="str">
        <f t="shared" si="35"/>
        <v>-</v>
      </c>
      <c r="H44" s="24">
        <v>0</v>
      </c>
      <c r="I44" s="24">
        <v>0</v>
      </c>
      <c r="J44" s="17" t="str">
        <f t="shared" si="36"/>
        <v>-</v>
      </c>
      <c r="K44" s="111">
        <v>0</v>
      </c>
      <c r="L44" s="111">
        <v>0</v>
      </c>
      <c r="M44" s="17" t="str">
        <f t="shared" si="37"/>
        <v>-</v>
      </c>
      <c r="N44" s="111">
        <v>0</v>
      </c>
      <c r="O44" s="111">
        <v>0</v>
      </c>
      <c r="P44" s="17" t="str">
        <f t="shared" si="38"/>
        <v>-</v>
      </c>
      <c r="Q44" s="111">
        <v>0</v>
      </c>
      <c r="R44" s="111">
        <v>0</v>
      </c>
      <c r="S44" s="17" t="str">
        <f t="shared" si="39"/>
        <v>-</v>
      </c>
      <c r="T44" s="111">
        <v>0</v>
      </c>
      <c r="U44" s="111">
        <v>0</v>
      </c>
      <c r="V44" s="17" t="str">
        <f t="shared" si="40"/>
        <v>-</v>
      </c>
      <c r="W44" s="111">
        <v>0</v>
      </c>
      <c r="X44" s="111">
        <v>0</v>
      </c>
      <c r="Y44" s="17" t="str">
        <f t="shared" si="41"/>
        <v>-</v>
      </c>
      <c r="Z44" s="106" t="str">
        <f t="shared" si="8"/>
        <v>-</v>
      </c>
      <c r="AA44" s="106" t="str">
        <f t="shared" si="8"/>
        <v>-</v>
      </c>
    </row>
    <row r="45" spans="1:27" x14ac:dyDescent="0.3">
      <c r="A45" s="5" t="s">
        <v>60</v>
      </c>
      <c r="B45" s="94">
        <v>0</v>
      </c>
      <c r="C45" s="94">
        <v>0</v>
      </c>
      <c r="D45" s="17" t="str">
        <f t="shared" si="34"/>
        <v>-</v>
      </c>
      <c r="E45" s="24">
        <v>0</v>
      </c>
      <c r="F45" s="24">
        <v>0</v>
      </c>
      <c r="G45" s="17" t="str">
        <f t="shared" si="35"/>
        <v>-</v>
      </c>
      <c r="H45" s="24">
        <v>0</v>
      </c>
      <c r="I45" s="24">
        <v>0</v>
      </c>
      <c r="J45" s="17" t="str">
        <f t="shared" si="36"/>
        <v>-</v>
      </c>
      <c r="K45" s="111">
        <v>0</v>
      </c>
      <c r="L45" s="111">
        <v>0</v>
      </c>
      <c r="M45" s="17" t="str">
        <f t="shared" si="37"/>
        <v>-</v>
      </c>
      <c r="N45" s="111">
        <v>0</v>
      </c>
      <c r="O45" s="111">
        <v>0</v>
      </c>
      <c r="P45" s="17" t="str">
        <f t="shared" si="38"/>
        <v>-</v>
      </c>
      <c r="Q45" s="111">
        <v>0</v>
      </c>
      <c r="R45" s="111">
        <v>0</v>
      </c>
      <c r="S45" s="17" t="str">
        <f t="shared" si="39"/>
        <v>-</v>
      </c>
      <c r="T45" s="111">
        <v>0</v>
      </c>
      <c r="U45" s="111">
        <v>0</v>
      </c>
      <c r="V45" s="17" t="str">
        <f t="shared" si="40"/>
        <v>-</v>
      </c>
      <c r="W45" s="111">
        <v>0</v>
      </c>
      <c r="X45" s="111">
        <v>0</v>
      </c>
      <c r="Y45" s="17" t="str">
        <f t="shared" si="41"/>
        <v>-</v>
      </c>
      <c r="Z45" s="106" t="str">
        <f t="shared" si="8"/>
        <v>-</v>
      </c>
      <c r="AA45" s="106" t="str">
        <f t="shared" si="8"/>
        <v>-</v>
      </c>
    </row>
    <row r="46" spans="1:27" x14ac:dyDescent="0.3">
      <c r="A46" s="5" t="s">
        <v>61</v>
      </c>
      <c r="B46" s="1">
        <v>18341599.460000001</v>
      </c>
      <c r="C46" s="1">
        <v>0</v>
      </c>
      <c r="D46" s="17">
        <f t="shared" si="34"/>
        <v>0</v>
      </c>
      <c r="E46" s="1">
        <v>18188505.27</v>
      </c>
      <c r="F46" s="24">
        <v>0</v>
      </c>
      <c r="G46" s="17">
        <f t="shared" si="35"/>
        <v>0</v>
      </c>
      <c r="H46" s="1">
        <v>18514427.890000001</v>
      </c>
      <c r="I46" s="1">
        <v>0</v>
      </c>
      <c r="J46" s="17">
        <f t="shared" si="36"/>
        <v>0</v>
      </c>
      <c r="K46" s="103">
        <v>18342255.109999999</v>
      </c>
      <c r="L46" s="103">
        <v>0</v>
      </c>
      <c r="M46" s="17">
        <f t="shared" si="37"/>
        <v>0</v>
      </c>
      <c r="N46" s="103">
        <v>18028067.719999999</v>
      </c>
      <c r="O46" s="103">
        <v>0</v>
      </c>
      <c r="P46" s="17">
        <f t="shared" si="38"/>
        <v>0</v>
      </c>
      <c r="Q46" s="103">
        <v>16679502.09</v>
      </c>
      <c r="R46" s="103">
        <v>0</v>
      </c>
      <c r="S46" s="17">
        <f t="shared" si="39"/>
        <v>0</v>
      </c>
      <c r="T46" s="103">
        <v>20730407.940000001</v>
      </c>
      <c r="U46" s="111">
        <v>0</v>
      </c>
      <c r="V46" s="17">
        <f t="shared" si="40"/>
        <v>0</v>
      </c>
      <c r="W46" s="103">
        <v>24377617.609999999</v>
      </c>
      <c r="X46" s="111">
        <v>0</v>
      </c>
      <c r="Y46" s="17">
        <f t="shared" si="41"/>
        <v>0</v>
      </c>
      <c r="Z46" s="106">
        <f t="shared" si="8"/>
        <v>17.593525803043121</v>
      </c>
      <c r="AA46" s="106" t="str">
        <f t="shared" si="8"/>
        <v>-</v>
      </c>
    </row>
    <row r="47" spans="1:27" x14ac:dyDescent="0.3">
      <c r="A47" s="5" t="s">
        <v>62</v>
      </c>
      <c r="B47" s="1">
        <v>2251073.17</v>
      </c>
      <c r="C47" s="1">
        <v>0</v>
      </c>
      <c r="D47" s="17">
        <f t="shared" si="34"/>
        <v>0</v>
      </c>
      <c r="E47" s="1">
        <v>2027938.42</v>
      </c>
      <c r="F47" s="24">
        <v>0</v>
      </c>
      <c r="G47" s="17">
        <f t="shared" si="35"/>
        <v>0</v>
      </c>
      <c r="H47" s="1">
        <v>1063690.29</v>
      </c>
      <c r="I47" s="1">
        <v>0</v>
      </c>
      <c r="J47" s="17">
        <f t="shared" si="36"/>
        <v>0</v>
      </c>
      <c r="K47" s="103">
        <v>988632.87</v>
      </c>
      <c r="L47" s="103">
        <v>0</v>
      </c>
      <c r="M47" s="17">
        <f t="shared" si="37"/>
        <v>0</v>
      </c>
      <c r="N47" s="103">
        <v>768878.07999999996</v>
      </c>
      <c r="O47" s="103">
        <v>0</v>
      </c>
      <c r="P47" s="17">
        <f t="shared" si="38"/>
        <v>0</v>
      </c>
      <c r="Q47" s="103">
        <v>1014371.9</v>
      </c>
      <c r="R47" s="103">
        <v>0</v>
      </c>
      <c r="S47" s="17">
        <f t="shared" si="39"/>
        <v>0</v>
      </c>
      <c r="T47" s="103">
        <v>991778.85</v>
      </c>
      <c r="U47" s="111">
        <v>0</v>
      </c>
      <c r="V47" s="17">
        <f t="shared" si="40"/>
        <v>0</v>
      </c>
      <c r="W47" s="103">
        <v>693435.97</v>
      </c>
      <c r="X47" s="111">
        <v>0</v>
      </c>
      <c r="Y47" s="17">
        <f t="shared" si="41"/>
        <v>0</v>
      </c>
      <c r="Z47" s="106">
        <f t="shared" si="8"/>
        <v>-30.081593290681681</v>
      </c>
      <c r="AA47" s="106" t="str">
        <f t="shared" si="8"/>
        <v>-</v>
      </c>
    </row>
    <row r="48" spans="1:27" x14ac:dyDescent="0.3">
      <c r="A48" s="5" t="s">
        <v>63</v>
      </c>
      <c r="B48" s="94">
        <f>SUM(B23:B30)</f>
        <v>131688561.45</v>
      </c>
      <c r="C48" s="94">
        <f>SUM(C23:C30)</f>
        <v>114169638.25</v>
      </c>
      <c r="D48" s="17">
        <f t="shared" si="34"/>
        <v>86.696700907730957</v>
      </c>
      <c r="E48" s="94">
        <f>SUM(E23:E30)</f>
        <v>133258626.33999999</v>
      </c>
      <c r="F48" s="94">
        <f>SUM(F23:F30)</f>
        <v>112864090.16999999</v>
      </c>
      <c r="G48" s="17">
        <f t="shared" si="35"/>
        <v>84.695522736393229</v>
      </c>
      <c r="H48" s="94">
        <f>SUM(H23:H30)</f>
        <v>107999439.09</v>
      </c>
      <c r="I48" s="94">
        <f>SUM(I23:I30)</f>
        <v>94119035.179999977</v>
      </c>
      <c r="J48" s="17">
        <f t="shared" si="36"/>
        <v>87.147707407597778</v>
      </c>
      <c r="K48" s="116">
        <v>104356783.73999999</v>
      </c>
      <c r="L48" s="116">
        <v>91482285.370000005</v>
      </c>
      <c r="M48" s="17">
        <f t="shared" si="37"/>
        <v>87.662998121831549</v>
      </c>
      <c r="N48" s="116">
        <f t="shared" ref="N48:O48" si="42">SUM(N23:N30)</f>
        <v>104187961.95</v>
      </c>
      <c r="O48" s="116">
        <f t="shared" si="42"/>
        <v>81673020.370000005</v>
      </c>
      <c r="P48" s="17">
        <f t="shared" si="38"/>
        <v>78.390073902390995</v>
      </c>
      <c r="Q48" s="116">
        <f t="shared" ref="Q48:R48" si="43">SUM(Q23:Q30)</f>
        <v>126116256.84999999</v>
      </c>
      <c r="R48" s="116">
        <f t="shared" si="43"/>
        <v>90101966.039999992</v>
      </c>
      <c r="S48" s="17">
        <f t="shared" si="39"/>
        <v>71.443577767428806</v>
      </c>
      <c r="T48" s="116">
        <f t="shared" ref="T48:U48" si="44">SUM(T23:T30)</f>
        <v>126733470.96000001</v>
      </c>
      <c r="U48" s="116">
        <f t="shared" si="44"/>
        <v>92225760.609999999</v>
      </c>
      <c r="V48" s="17">
        <f t="shared" si="40"/>
        <v>72.771431186563632</v>
      </c>
      <c r="W48" s="116">
        <f t="shared" ref="W48:X48" si="45">SUM(W23:W30)</f>
        <v>132367290.8</v>
      </c>
      <c r="X48" s="116">
        <f t="shared" si="45"/>
        <v>101103480.42999999</v>
      </c>
      <c r="Y48" s="17">
        <f t="shared" si="41"/>
        <v>76.381015142753071</v>
      </c>
      <c r="Z48" s="106">
        <f t="shared" si="8"/>
        <v>4.4454079867962832</v>
      </c>
      <c r="AA48" s="106">
        <f t="shared" si="8"/>
        <v>9.6260738445320868</v>
      </c>
    </row>
    <row r="49" spans="1:27" x14ac:dyDescent="0.3">
      <c r="A49" s="5" t="s">
        <v>64</v>
      </c>
      <c r="B49" s="24">
        <f>SUM(B31:B35)</f>
        <v>14186075.459999999</v>
      </c>
      <c r="C49" s="24">
        <f>SUM(C31:C35)</f>
        <v>11635052.389999999</v>
      </c>
      <c r="D49" s="17">
        <f t="shared" si="34"/>
        <v>82.017415054691938</v>
      </c>
      <c r="E49" s="24">
        <f>SUM(E31:E35)</f>
        <v>19519292.219999999</v>
      </c>
      <c r="F49" s="24">
        <f>SUM(F31:F35)</f>
        <v>15910311.02</v>
      </c>
      <c r="G49" s="17">
        <f t="shared" si="35"/>
        <v>81.510696395527404</v>
      </c>
      <c r="H49" s="24">
        <f>SUM(H31:H35)</f>
        <v>25502782.610000003</v>
      </c>
      <c r="I49" s="24">
        <f>SUM(I31:I35)</f>
        <v>19161901.640000001</v>
      </c>
      <c r="J49" s="17">
        <f t="shared" si="36"/>
        <v>75.136513270070964</v>
      </c>
      <c r="K49" s="111">
        <v>25487401.690000001</v>
      </c>
      <c r="L49" s="111">
        <v>19023784.960000001</v>
      </c>
      <c r="M49" s="17">
        <f t="shared" si="37"/>
        <v>74.639954246352218</v>
      </c>
      <c r="N49" s="111">
        <f t="shared" ref="N49:O49" si="46">SUM(N31:N35)</f>
        <v>23316235.609999999</v>
      </c>
      <c r="O49" s="111">
        <f t="shared" si="46"/>
        <v>17178136.279999997</v>
      </c>
      <c r="P49" s="17">
        <f t="shared" si="38"/>
        <v>73.674569803337135</v>
      </c>
      <c r="Q49" s="111">
        <f t="shared" ref="Q49:R49" si="47">SUM(Q31:Q35)</f>
        <v>25042700.310000002</v>
      </c>
      <c r="R49" s="111">
        <f t="shared" si="47"/>
        <v>18357232.209999997</v>
      </c>
      <c r="S49" s="17">
        <f t="shared" si="39"/>
        <v>73.303725168446093</v>
      </c>
      <c r="T49" s="111">
        <f t="shared" ref="T49:U49" si="48">SUM(T31:T35)</f>
        <v>29923480.170000002</v>
      </c>
      <c r="U49" s="111">
        <f t="shared" si="48"/>
        <v>19456361.540000003</v>
      </c>
      <c r="V49" s="17">
        <f t="shared" si="40"/>
        <v>65.020383422868434</v>
      </c>
      <c r="W49" s="111">
        <f t="shared" ref="W49:X49" si="49">SUM(W31:W35)</f>
        <v>35525430.970000006</v>
      </c>
      <c r="X49" s="111">
        <f t="shared" si="49"/>
        <v>28394235.190000001</v>
      </c>
      <c r="Y49" s="17">
        <f t="shared" si="41"/>
        <v>79.926504520037909</v>
      </c>
      <c r="Z49" s="106">
        <f t="shared" si="8"/>
        <v>18.720920053999194</v>
      </c>
      <c r="AA49" s="106">
        <f t="shared" si="8"/>
        <v>45.93805286576719</v>
      </c>
    </row>
    <row r="50" spans="1:27" x14ac:dyDescent="0.3">
      <c r="A50" s="5" t="s">
        <v>65</v>
      </c>
      <c r="B50" s="24">
        <f>SUM(B36:B39)</f>
        <v>1382840.7</v>
      </c>
      <c r="C50" s="24">
        <f>SUM(C36:C39)</f>
        <v>1382840.7</v>
      </c>
      <c r="D50" s="17">
        <f t="shared" si="34"/>
        <v>100</v>
      </c>
      <c r="E50" s="24">
        <f>SUM(E36:E39)</f>
        <v>0</v>
      </c>
      <c r="F50" s="24">
        <f>SUM(F36:F39)</f>
        <v>0</v>
      </c>
      <c r="G50" s="17" t="str">
        <f t="shared" si="35"/>
        <v>-</v>
      </c>
      <c r="H50" s="24">
        <f>SUM(H36:H39)</f>
        <v>356.65</v>
      </c>
      <c r="I50" s="24">
        <f>SUM(I36:I39)</f>
        <v>0</v>
      </c>
      <c r="J50" s="17">
        <f t="shared" si="36"/>
        <v>0</v>
      </c>
      <c r="K50" s="111">
        <v>994354.2</v>
      </c>
      <c r="L50" s="111">
        <v>0</v>
      </c>
      <c r="M50" s="17">
        <f t="shared" si="37"/>
        <v>0</v>
      </c>
      <c r="N50" s="111">
        <f t="shared" ref="N50:O50" si="50">SUM(N36:N39)</f>
        <v>2700000</v>
      </c>
      <c r="O50" s="111">
        <f t="shared" si="50"/>
        <v>0</v>
      </c>
      <c r="P50" s="17">
        <f t="shared" si="38"/>
        <v>0</v>
      </c>
      <c r="Q50" s="111">
        <f t="shared" ref="Q50:R50" si="51">SUM(Q36:Q39)</f>
        <v>5170000</v>
      </c>
      <c r="R50" s="111">
        <f t="shared" si="51"/>
        <v>0</v>
      </c>
      <c r="S50" s="17">
        <f t="shared" si="39"/>
        <v>0</v>
      </c>
      <c r="T50" s="111">
        <f t="shared" ref="T50:U50" si="52">SUM(T36:T39)</f>
        <v>1000000</v>
      </c>
      <c r="U50" s="111">
        <f t="shared" si="52"/>
        <v>0</v>
      </c>
      <c r="V50" s="17">
        <f t="shared" si="40"/>
        <v>0</v>
      </c>
      <c r="W50" s="111">
        <f t="shared" ref="W50:X50" si="53">SUM(W36:W39)</f>
        <v>9028990.8900000006</v>
      </c>
      <c r="X50" s="111">
        <f t="shared" si="53"/>
        <v>0</v>
      </c>
      <c r="Y50" s="17">
        <f t="shared" si="41"/>
        <v>0</v>
      </c>
      <c r="Z50" s="106">
        <f t="shared" si="8"/>
        <v>802.89908900000012</v>
      </c>
      <c r="AA50" s="106" t="str">
        <f t="shared" si="8"/>
        <v>-</v>
      </c>
    </row>
    <row r="51" spans="1:27" x14ac:dyDescent="0.3">
      <c r="A51" s="5" t="s">
        <v>66</v>
      </c>
      <c r="B51" s="24">
        <f>SUM(B40:B44)</f>
        <v>7232144.5499999998</v>
      </c>
      <c r="C51" s="24">
        <f>SUM(C40:C44)</f>
        <v>7232144.5499999998</v>
      </c>
      <c r="D51" s="17">
        <f t="shared" si="34"/>
        <v>100</v>
      </c>
      <c r="E51" s="24">
        <f>SUM(E40:E44)</f>
        <v>8777577.0700000003</v>
      </c>
      <c r="F51" s="26">
        <v>7926010.5700000003</v>
      </c>
      <c r="G51" s="17">
        <f t="shared" si="35"/>
        <v>90.29838766200659</v>
      </c>
      <c r="H51" s="24">
        <f>SUM(H40:H44)</f>
        <v>8232509.7200000007</v>
      </c>
      <c r="I51" s="26">
        <v>8204974.5300000003</v>
      </c>
      <c r="J51" s="17">
        <f t="shared" si="36"/>
        <v>99.665531035656031</v>
      </c>
      <c r="K51" s="111">
        <v>8803998.2100000009</v>
      </c>
      <c r="L51" s="114">
        <v>8379065.2199999997</v>
      </c>
      <c r="M51" s="17">
        <f t="shared" si="37"/>
        <v>95.173408945979318</v>
      </c>
      <c r="N51" s="111">
        <f t="shared" ref="N51:O51" si="54">SUM(N40:N44)</f>
        <v>6759039.9000000004</v>
      </c>
      <c r="O51" s="111">
        <f t="shared" si="54"/>
        <v>6754039.9000000004</v>
      </c>
      <c r="P51" s="17">
        <f t="shared" si="38"/>
        <v>99.926024996538345</v>
      </c>
      <c r="Q51" s="111">
        <f t="shared" ref="Q51:R51" si="55">SUM(Q40:Q44)</f>
        <v>8177554.3200000003</v>
      </c>
      <c r="R51" s="111">
        <f t="shared" si="55"/>
        <v>8177554.3200000003</v>
      </c>
      <c r="S51" s="17">
        <f t="shared" si="39"/>
        <v>100</v>
      </c>
      <c r="T51" s="111">
        <f t="shared" ref="T51" si="56">SUM(T40:T44)</f>
        <v>10291779.17</v>
      </c>
      <c r="U51" s="114">
        <v>9265984.0099999998</v>
      </c>
      <c r="V51" s="17">
        <f t="shared" si="40"/>
        <v>90.032868534624797</v>
      </c>
      <c r="W51" s="111">
        <f t="shared" ref="W51" si="57">SUM(W40:W44)</f>
        <v>10473690.370000001</v>
      </c>
      <c r="X51" s="114">
        <v>9163766</v>
      </c>
      <c r="Y51" s="17">
        <f t="shared" si="41"/>
        <v>87.493191762169673</v>
      </c>
      <c r="Z51" s="106">
        <f t="shared" si="8"/>
        <v>1.7675388967756049</v>
      </c>
      <c r="AA51" s="106">
        <f t="shared" si="8"/>
        <v>-1.1031533174424339</v>
      </c>
    </row>
    <row r="52" spans="1:27" x14ac:dyDescent="0.3">
      <c r="A52" s="5" t="s">
        <v>67</v>
      </c>
      <c r="B52" s="24">
        <f>B45</f>
        <v>0</v>
      </c>
      <c r="C52" s="24">
        <f>C45</f>
        <v>0</v>
      </c>
      <c r="D52" s="17" t="str">
        <f t="shared" si="34"/>
        <v>-</v>
      </c>
      <c r="E52" s="24">
        <f>E45</f>
        <v>0</v>
      </c>
      <c r="F52" s="24">
        <f>F45</f>
        <v>0</v>
      </c>
      <c r="G52" s="17" t="str">
        <f t="shared" si="35"/>
        <v>-</v>
      </c>
      <c r="H52" s="24">
        <f>H45</f>
        <v>0</v>
      </c>
      <c r="I52" s="24">
        <f>I45</f>
        <v>0</v>
      </c>
      <c r="J52" s="17" t="str">
        <f t="shared" si="36"/>
        <v>-</v>
      </c>
      <c r="K52" s="111">
        <v>0</v>
      </c>
      <c r="L52" s="111">
        <v>0</v>
      </c>
      <c r="M52" s="17" t="str">
        <f t="shared" si="37"/>
        <v>-</v>
      </c>
      <c r="N52" s="111">
        <f t="shared" ref="N52:O52" si="58">N45</f>
        <v>0</v>
      </c>
      <c r="O52" s="111">
        <f t="shared" si="58"/>
        <v>0</v>
      </c>
      <c r="P52" s="17" t="str">
        <f t="shared" si="38"/>
        <v>-</v>
      </c>
      <c r="Q52" s="111">
        <f t="shared" ref="Q52:R52" si="59">Q45</f>
        <v>0</v>
      </c>
      <c r="R52" s="111">
        <f t="shared" si="59"/>
        <v>0</v>
      </c>
      <c r="S52" s="17" t="str">
        <f t="shared" si="39"/>
        <v>-</v>
      </c>
      <c r="T52" s="111">
        <f t="shared" ref="T52:U52" si="60">T45</f>
        <v>0</v>
      </c>
      <c r="U52" s="111">
        <f t="shared" si="60"/>
        <v>0</v>
      </c>
      <c r="V52" s="17" t="str">
        <f t="shared" si="40"/>
        <v>-</v>
      </c>
      <c r="W52" s="111">
        <f t="shared" ref="W52:X52" si="61">W45</f>
        <v>0</v>
      </c>
      <c r="X52" s="111">
        <f t="shared" si="61"/>
        <v>0</v>
      </c>
      <c r="Y52" s="17" t="str">
        <f t="shared" si="41"/>
        <v>-</v>
      </c>
      <c r="Z52" s="106" t="str">
        <f t="shared" si="8"/>
        <v>-</v>
      </c>
      <c r="AA52" s="106" t="str">
        <f t="shared" si="8"/>
        <v>-</v>
      </c>
    </row>
    <row r="53" spans="1:27" x14ac:dyDescent="0.3">
      <c r="A53" s="5" t="s">
        <v>68</v>
      </c>
      <c r="B53" s="24">
        <f>SUM(B46:B47)</f>
        <v>20592672.630000003</v>
      </c>
      <c r="C53" s="96">
        <v>17911961.100000001</v>
      </c>
      <c r="D53" s="17">
        <f t="shared" si="34"/>
        <v>86.982206835577699</v>
      </c>
      <c r="E53" s="24">
        <f>SUM(E46:E47)</f>
        <v>20216443.689999998</v>
      </c>
      <c r="F53" s="96">
        <v>17135940.16</v>
      </c>
      <c r="G53" s="17">
        <f t="shared" si="35"/>
        <v>84.762386613409362</v>
      </c>
      <c r="H53" s="24">
        <f>SUM(H46:H47)</f>
        <v>19578118.18</v>
      </c>
      <c r="I53" s="96">
        <v>17054816.57</v>
      </c>
      <c r="J53" s="17">
        <f t="shared" si="36"/>
        <v>87.111623360320323</v>
      </c>
      <c r="K53" s="111">
        <v>19330887.98</v>
      </c>
      <c r="L53" s="113">
        <v>17168603.899999999</v>
      </c>
      <c r="M53" s="17">
        <f t="shared" si="37"/>
        <v>88.814357197470031</v>
      </c>
      <c r="N53" s="111">
        <f>SUM(N46:N47)</f>
        <v>18796945.799999997</v>
      </c>
      <c r="O53" s="113">
        <v>16646171.960000001</v>
      </c>
      <c r="P53" s="17">
        <f t="shared" si="38"/>
        <v>88.557854755318829</v>
      </c>
      <c r="Q53" s="111">
        <f>SUM(Q46:Q47)</f>
        <v>17693873.989999998</v>
      </c>
      <c r="R53" s="113">
        <v>15432571.25</v>
      </c>
      <c r="S53" s="17">
        <f t="shared" si="39"/>
        <v>87.219855068042122</v>
      </c>
      <c r="T53" s="111">
        <f>SUM(T46:T47)</f>
        <v>21722186.790000003</v>
      </c>
      <c r="U53" s="113">
        <v>19624570.75</v>
      </c>
      <c r="V53" s="17">
        <f t="shared" si="40"/>
        <v>90.34343981902569</v>
      </c>
      <c r="W53" s="111">
        <f>SUM(W46:W47)</f>
        <v>25071053.579999998</v>
      </c>
      <c r="X53" s="113">
        <v>24178676.850000001</v>
      </c>
      <c r="Y53" s="17">
        <f t="shared" si="41"/>
        <v>96.440609377852894</v>
      </c>
      <c r="Z53" s="106">
        <f t="shared" si="8"/>
        <v>15.4168032085134</v>
      </c>
      <c r="AA53" s="106">
        <f t="shared" si="8"/>
        <v>23.20614375730996</v>
      </c>
    </row>
    <row r="54" spans="1:27" x14ac:dyDescent="0.3">
      <c r="A54" s="5" t="s">
        <v>69</v>
      </c>
      <c r="B54" s="16">
        <f>SUM(B48:B53)</f>
        <v>175082294.78999999</v>
      </c>
      <c r="C54" s="16">
        <f>SUM(C48:C53)</f>
        <v>152331636.99000001</v>
      </c>
      <c r="D54" s="17">
        <f t="shared" si="34"/>
        <v>87.00573474474507</v>
      </c>
      <c r="E54" s="21">
        <f>SUM(E48:E53)</f>
        <v>181771939.31999999</v>
      </c>
      <c r="F54" s="16">
        <f>SUM(F48:F53)</f>
        <v>153836351.91999999</v>
      </c>
      <c r="G54" s="17">
        <f t="shared" si="35"/>
        <v>84.631518206547341</v>
      </c>
      <c r="H54" s="21">
        <f>SUM(H48:H53)</f>
        <v>161313206.25000003</v>
      </c>
      <c r="I54" s="16">
        <f>SUM(I48:I53)</f>
        <v>138540727.91999999</v>
      </c>
      <c r="J54" s="17">
        <f t="shared" si="36"/>
        <v>85.883066328303144</v>
      </c>
      <c r="K54" s="21">
        <f>SUM(K48:K53)</f>
        <v>158973425.81999999</v>
      </c>
      <c r="L54" s="16">
        <f>SUM(L48:L53)</f>
        <v>136053739.45000002</v>
      </c>
      <c r="M54" s="17">
        <f t="shared" si="37"/>
        <v>85.582693301236944</v>
      </c>
      <c r="N54" s="21">
        <f>SUM(N48:N53)</f>
        <v>155760183.25999999</v>
      </c>
      <c r="O54" s="16">
        <f>SUM(O48:O53)</f>
        <v>122251368.51000002</v>
      </c>
      <c r="P54" s="17">
        <f t="shared" si="38"/>
        <v>78.486918769178672</v>
      </c>
      <c r="Q54" s="21">
        <f>SUM(Q48:Q53)</f>
        <v>182200385.47</v>
      </c>
      <c r="R54" s="16">
        <f>SUM(R48:R53)</f>
        <v>132069323.81999999</v>
      </c>
      <c r="S54" s="17">
        <f t="shared" si="39"/>
        <v>72.485754340923563</v>
      </c>
      <c r="T54" s="21">
        <f>SUM(T48:T53)</f>
        <v>189670917.08999997</v>
      </c>
      <c r="U54" s="16">
        <f>SUM(U48:U53)</f>
        <v>140572676.91000003</v>
      </c>
      <c r="V54" s="17">
        <f t="shared" si="40"/>
        <v>74.113985985156305</v>
      </c>
      <c r="W54" s="112">
        <f t="shared" ref="W54:X54" si="62">SUM(W48:W53)</f>
        <v>212466456.61000001</v>
      </c>
      <c r="X54" s="112">
        <f t="shared" si="62"/>
        <v>162840158.47</v>
      </c>
      <c r="Y54" s="17">
        <f t="shared" si="41"/>
        <v>76.64276096480809</v>
      </c>
      <c r="Z54" s="106">
        <f t="shared" si="8"/>
        <v>12.018468550549272</v>
      </c>
      <c r="AA54" s="106">
        <f t="shared" si="8"/>
        <v>15.840547430320669</v>
      </c>
    </row>
    <row r="55" spans="1:27" x14ac:dyDescent="0.3">
      <c r="A55" s="12" t="s">
        <v>70</v>
      </c>
      <c r="B55" s="13">
        <f>B54-B53</f>
        <v>154489622.16</v>
      </c>
      <c r="C55" s="13">
        <f>C54-C53</f>
        <v>134419675.89000002</v>
      </c>
      <c r="D55" s="18">
        <f t="shared" si="34"/>
        <v>87.008870894114693</v>
      </c>
      <c r="E55" s="22">
        <f>E54-E53</f>
        <v>161555495.63</v>
      </c>
      <c r="F55" s="13">
        <f>F54-F53</f>
        <v>136700411.75999999</v>
      </c>
      <c r="G55" s="18">
        <f t="shared" si="35"/>
        <v>84.615141829081452</v>
      </c>
      <c r="H55" s="22">
        <f>H54-H53</f>
        <v>141735088.07000002</v>
      </c>
      <c r="I55" s="13">
        <f>I54-I53</f>
        <v>121485911.34999999</v>
      </c>
      <c r="J55" s="18">
        <f t="shared" si="36"/>
        <v>85.713363574445751</v>
      </c>
      <c r="K55" s="22">
        <f>K54-K53</f>
        <v>139642537.84</v>
      </c>
      <c r="L55" s="13">
        <f>L54-L53</f>
        <v>118885135.55000001</v>
      </c>
      <c r="M55" s="18">
        <f t="shared" si="37"/>
        <v>85.135330099927387</v>
      </c>
      <c r="N55" s="22">
        <f>N54-N53</f>
        <v>136963237.45999998</v>
      </c>
      <c r="O55" s="13">
        <f>O54-O53</f>
        <v>105605196.55000001</v>
      </c>
      <c r="P55" s="18">
        <f t="shared" si="38"/>
        <v>77.104775345896698</v>
      </c>
      <c r="Q55" s="22">
        <f>Q54-Q53</f>
        <v>164506511.47999999</v>
      </c>
      <c r="R55" s="13">
        <f>R54-R53</f>
        <v>116636752.56999999</v>
      </c>
      <c r="S55" s="18">
        <f t="shared" si="39"/>
        <v>70.900994447371886</v>
      </c>
      <c r="T55" s="22">
        <f>T54-T53</f>
        <v>167948730.29999998</v>
      </c>
      <c r="U55" s="13">
        <f>U54-U53</f>
        <v>120948106.16000003</v>
      </c>
      <c r="V55" s="18">
        <f t="shared" si="40"/>
        <v>72.014897608308999</v>
      </c>
      <c r="W55" s="112">
        <f t="shared" ref="W55:X55" si="63">W54-W53</f>
        <v>187395403.03000003</v>
      </c>
      <c r="X55" s="112">
        <f t="shared" si="63"/>
        <v>138661481.62</v>
      </c>
      <c r="Y55" s="18">
        <f t="shared" si="41"/>
        <v>73.994067825560137</v>
      </c>
      <c r="Z55" s="108">
        <f t="shared" si="8"/>
        <v>11.578934056401181</v>
      </c>
      <c r="AA55" s="108">
        <f t="shared" si="8"/>
        <v>14.64543432913888</v>
      </c>
    </row>
    <row r="56" spans="1:27" s="102" customFormat="1" x14ac:dyDescent="0.3">
      <c r="A56" s="110" t="s">
        <v>71</v>
      </c>
      <c r="B56" s="112">
        <f>B14-B48</f>
        <v>20459586.670000002</v>
      </c>
      <c r="C56" s="112">
        <f>C14-C48</f>
        <v>7819025.2800000012</v>
      </c>
      <c r="D56" s="19"/>
      <c r="E56" s="112">
        <f>E14-E48</f>
        <v>23779286.850000009</v>
      </c>
      <c r="F56" s="112">
        <f>F14-F48</f>
        <v>8088210.1500000209</v>
      </c>
      <c r="G56" s="19"/>
      <c r="H56" s="112">
        <f>H14-H48</f>
        <v>13936929.739999995</v>
      </c>
      <c r="I56" s="112">
        <f>I14-I48</f>
        <v>6073076.9600000232</v>
      </c>
      <c r="J56" s="19"/>
      <c r="K56" s="112">
        <f>K14-K48</f>
        <v>17221565.11999999</v>
      </c>
      <c r="L56" s="112">
        <f>L14-L48</f>
        <v>10393877.120000005</v>
      </c>
      <c r="M56" s="19"/>
      <c r="N56" s="112">
        <f>N14-N48</f>
        <v>21984541.069999993</v>
      </c>
      <c r="O56" s="112">
        <f>O14-O48</f>
        <v>24301574.370000005</v>
      </c>
      <c r="P56" s="19"/>
      <c r="Q56" s="112">
        <f>Q14-Q48</f>
        <v>11080219.860000014</v>
      </c>
      <c r="R56" s="112">
        <f>R14-R48</f>
        <v>22449827.090000004</v>
      </c>
      <c r="S56" s="19"/>
      <c r="T56" s="112">
        <f>T14-T48</f>
        <v>10701333.330000013</v>
      </c>
      <c r="U56" s="112">
        <f>U14-U48</f>
        <v>20908653.75999999</v>
      </c>
      <c r="V56" s="19"/>
      <c r="W56" s="112">
        <f>W14-W48</f>
        <v>4326738.5000000149</v>
      </c>
      <c r="X56" s="112">
        <f>X14-X48</f>
        <v>5419945.0100000054</v>
      </c>
      <c r="Y56" s="19"/>
      <c r="Z56" s="106">
        <f t="shared" ref="Z56:AA59" si="64">IF(T56&gt;0,W56/T56*100-100,"-")</f>
        <v>-59.56822980300521</v>
      </c>
      <c r="AA56" s="106">
        <f t="shared" si="64"/>
        <v>-74.077981910204016</v>
      </c>
    </row>
    <row r="57" spans="1:27" s="102" customFormat="1" x14ac:dyDescent="0.3">
      <c r="A57" s="110" t="s">
        <v>72</v>
      </c>
      <c r="B57" s="112">
        <f>B15-B49</f>
        <v>-8187155.629999999</v>
      </c>
      <c r="C57" s="112">
        <f>C15-C49</f>
        <v>-6358662.6199999992</v>
      </c>
      <c r="D57" s="19"/>
      <c r="E57" s="112">
        <f>E15-E49</f>
        <v>-3404615.1699999981</v>
      </c>
      <c r="F57" s="112">
        <f>F15-F49</f>
        <v>-2245497.1100000013</v>
      </c>
      <c r="G57" s="19"/>
      <c r="H57" s="112">
        <f>H15-H49</f>
        <v>-11192489.610000005</v>
      </c>
      <c r="I57" s="112">
        <f>I15-I49</f>
        <v>-8753344.5099999998</v>
      </c>
      <c r="J57" s="19"/>
      <c r="K57" s="112">
        <f>K15-K49</f>
        <v>-10635977.000000002</v>
      </c>
      <c r="L57" s="112">
        <f>L15-L49</f>
        <v>-10980444.82</v>
      </c>
      <c r="M57" s="19"/>
      <c r="N57" s="112">
        <f>N15-N49</f>
        <v>-10631312.43</v>
      </c>
      <c r="O57" s="112">
        <f>O15-O49</f>
        <v>-10449671.609999998</v>
      </c>
      <c r="P57" s="19"/>
      <c r="Q57" s="112">
        <f>Q15-Q49</f>
        <v>-8271339.7200000025</v>
      </c>
      <c r="R57" s="112">
        <f>R15-R49</f>
        <v>-9226270.3999999985</v>
      </c>
      <c r="S57" s="19"/>
      <c r="T57" s="112">
        <f>T15-T49</f>
        <v>-6316202.620000001</v>
      </c>
      <c r="U57" s="112">
        <f>U15-U49</f>
        <v>-4084628.4600000028</v>
      </c>
      <c r="V57" s="19"/>
      <c r="W57" s="112">
        <f>W15-W49</f>
        <v>-11396570.570000008</v>
      </c>
      <c r="X57" s="112">
        <f>X15-X49</f>
        <v>-16851897.469999999</v>
      </c>
      <c r="Y57" s="19"/>
      <c r="Z57" s="106" t="str">
        <f t="shared" si="64"/>
        <v>-</v>
      </c>
      <c r="AA57" s="106" t="str">
        <f t="shared" si="64"/>
        <v>-</v>
      </c>
    </row>
    <row r="58" spans="1:27" s="102" customFormat="1" x14ac:dyDescent="0.3">
      <c r="A58" s="110" t="s">
        <v>358</v>
      </c>
      <c r="B58" s="112">
        <f>SUM(B14:B16)-SUM(B48:B50)</f>
        <v>12272431.040000021</v>
      </c>
      <c r="C58" s="112">
        <f>SUM(C14:C16)-SUM(C48:C50)</f>
        <v>77521.959999993443</v>
      </c>
      <c r="D58" s="19"/>
      <c r="E58" s="112">
        <f>SUM(E14:E16)-SUM(E48:E50)</f>
        <v>20374671.680000007</v>
      </c>
      <c r="F58" s="112">
        <f>SUM(F14:F16)-SUM(F48:F50)</f>
        <v>5842713.0400000364</v>
      </c>
      <c r="G58" s="19"/>
      <c r="H58" s="112">
        <f>SUM(H14:H16)-SUM(H48:H50)</f>
        <v>2744083.4799999744</v>
      </c>
      <c r="I58" s="112">
        <f>SUM(I14:I16)-SUM(I48:I50)</f>
        <v>-2680267.5499999821</v>
      </c>
      <c r="J58" s="19"/>
      <c r="K58" s="112">
        <f>SUM(K14:K16)-SUM(K48:K50)</f>
        <v>6585588.119999975</v>
      </c>
      <c r="L58" s="112">
        <f>SUM(L14:L16)-SUM(L48:L50)</f>
        <v>-586567.70000000298</v>
      </c>
      <c r="M58" s="19"/>
      <c r="N58" s="112">
        <f>SUM(N14:N16)-SUM(N48:N50)</f>
        <v>11353228.639999986</v>
      </c>
      <c r="O58" s="112">
        <f>SUM(O14:O16)-SUM(O48:O50)</f>
        <v>13851902.760000005</v>
      </c>
      <c r="P58" s="19"/>
      <c r="Q58" s="112">
        <f>SUM(Q14:Q16)-SUM(Q48:Q50)</f>
        <v>2808880.1400000155</v>
      </c>
      <c r="R58" s="112">
        <f>SUM(R14:R16)-SUM(R48:R50)</f>
        <v>13223556.690000013</v>
      </c>
      <c r="S58" s="19"/>
      <c r="T58" s="112">
        <f>SUM(T14:T16)-SUM(T48:T50)</f>
        <v>4432883.0100000501</v>
      </c>
      <c r="U58" s="112">
        <f>SUM(U14:U16)-SUM(U48:U50)</f>
        <v>16871777.599999979</v>
      </c>
      <c r="V58" s="19"/>
      <c r="W58" s="112">
        <f>SUM(W14:W16)-SUM(W48:W50)</f>
        <v>-7069832.0699999928</v>
      </c>
      <c r="X58" s="112">
        <f>SUM(X14:X16)-SUM(X48:X50)</f>
        <v>-11431952.459999993</v>
      </c>
      <c r="Y58" s="19"/>
      <c r="Z58" s="106">
        <f t="shared" si="64"/>
        <v>-259.48609638583525</v>
      </c>
      <c r="AA58" s="106">
        <f t="shared" si="64"/>
        <v>-167.757842303469</v>
      </c>
    </row>
    <row r="59" spans="1:27" s="102" customFormat="1" x14ac:dyDescent="0.3">
      <c r="A59" s="110" t="s">
        <v>359</v>
      </c>
      <c r="B59" s="112">
        <f>B21-B55</f>
        <v>6883127.1899999976</v>
      </c>
      <c r="C59" s="112">
        <f>C21-C55</f>
        <v>-5771781.8900000006</v>
      </c>
      <c r="D59" s="101"/>
      <c r="E59" s="112">
        <f>E21-E55</f>
        <v>12017094.610000014</v>
      </c>
      <c r="F59" s="112">
        <f>F21-F55</f>
        <v>-2083297.5299999714</v>
      </c>
      <c r="G59" s="101"/>
      <c r="H59" s="112">
        <f>H21-H55</f>
        <v>-5488426.2400000393</v>
      </c>
      <c r="I59" s="112">
        <f>I21-I55</f>
        <v>-10885242.079999998</v>
      </c>
      <c r="J59" s="101"/>
      <c r="K59" s="112">
        <f>K21-K55</f>
        <v>1147944.1099999547</v>
      </c>
      <c r="L59" s="112">
        <f>L21-L55</f>
        <v>-6593632.9200000018</v>
      </c>
      <c r="M59" s="101"/>
      <c r="N59" s="112">
        <f>N21-N55</f>
        <v>7934188.7400000095</v>
      </c>
      <c r="O59" s="112">
        <f>O21-O55</f>
        <v>7737862.8599999845</v>
      </c>
      <c r="P59" s="101"/>
      <c r="Q59" s="112">
        <f>Q21-Q55</f>
        <v>876439.63000002503</v>
      </c>
      <c r="R59" s="112">
        <f>R21-R55</f>
        <v>5889148.9699999988</v>
      </c>
      <c r="S59" s="101"/>
      <c r="T59" s="112">
        <f>T21-T55</f>
        <v>2199255.0100000501</v>
      </c>
      <c r="U59" s="112">
        <f>U21-U55</f>
        <v>10578944.759999976</v>
      </c>
      <c r="V59" s="101"/>
      <c r="W59" s="112">
        <f>W21-W55</f>
        <v>-3047256.7899999619</v>
      </c>
      <c r="X59" s="112">
        <f>X21-X55</f>
        <v>-15128443.699999988</v>
      </c>
      <c r="Y59" s="101"/>
      <c r="Z59" s="106">
        <f t="shared" si="64"/>
        <v>-238.55859262086631</v>
      </c>
      <c r="AA59" s="106">
        <f t="shared" si="64"/>
        <v>-243.00522446437299</v>
      </c>
    </row>
    <row r="60" spans="1:27" s="102" customFormat="1" x14ac:dyDescent="0.3">
      <c r="A60" s="110" t="s">
        <v>360</v>
      </c>
      <c r="C60" s="105">
        <f>SUM(C14:C16)/SUM(B14:B16)*100</f>
        <v>79.775043048017196</v>
      </c>
      <c r="D60" s="101"/>
      <c r="F60" s="105">
        <f>SUM(F14:F16)/SUM(E14:E16)*100</f>
        <v>77.744788018136219</v>
      </c>
      <c r="G60" s="101"/>
      <c r="I60" s="105">
        <f>SUM(I14:I16)/SUM(H14:H16)*100</f>
        <v>81.176791992159451</v>
      </c>
      <c r="J60" s="101"/>
      <c r="L60" s="105">
        <f>SUM(L14:L16)/SUM(K14:K16)*100</f>
        <v>79.985592362619187</v>
      </c>
      <c r="M60" s="101"/>
      <c r="O60" s="105">
        <f>SUM(O14:O16)/SUM(N14:N16)*100</f>
        <v>79.61649376894367</v>
      </c>
      <c r="P60" s="101"/>
      <c r="R60" s="105">
        <f>SUM(R14:R16)/SUM(Q14:Q16)*100</f>
        <v>76.463748034107525</v>
      </c>
      <c r="S60" s="101"/>
      <c r="U60" s="105">
        <f>SUM(U14:U16)/SUM(T14:T16)*100</f>
        <v>79.310279038823353</v>
      </c>
      <c r="V60" s="101"/>
      <c r="X60" s="105">
        <f>SUM(X14:X16)/SUM(W14:W16)*100</f>
        <v>69.511013213327402</v>
      </c>
      <c r="Y60" s="101"/>
    </row>
    <row r="61" spans="1:27" s="102" customFormat="1" x14ac:dyDescent="0.3">
      <c r="A61" s="110" t="s">
        <v>361</v>
      </c>
      <c r="C61" s="105">
        <f>SUM(C48:C50)/SUM(B48:B50)*100</f>
        <v>86.370847446434141</v>
      </c>
      <c r="D61" s="101"/>
      <c r="F61" s="105">
        <f>SUM(F48:F50)/SUM(E48:E50)*100</f>
        <v>84.288621290142004</v>
      </c>
      <c r="G61" s="101"/>
      <c r="I61" s="105">
        <f>SUM(I48:I50)/SUM(H48:H50)*100</f>
        <v>84.852995515198586</v>
      </c>
      <c r="J61" s="101"/>
      <c r="L61" s="105">
        <f>SUM(L48:L50)/SUM(K48:K50)*100</f>
        <v>84.459877527295518</v>
      </c>
      <c r="M61" s="101"/>
      <c r="O61" s="105">
        <f>SUM(O48:O50)/SUM(N48:N50)*100</f>
        <v>75.920099737528005</v>
      </c>
      <c r="P61" s="101"/>
      <c r="R61" s="105">
        <f>SUM(R48:R50)/SUM(Q48:Q50)*100</f>
        <v>69.378827966589611</v>
      </c>
      <c r="S61" s="101"/>
      <c r="U61" s="105">
        <f>SUM(U48:U50)/SUM(T48:T50)*100</f>
        <v>70.838692077655182</v>
      </c>
      <c r="V61" s="101"/>
      <c r="X61" s="105">
        <f>SUM(X48:X50)/SUM(W48:W50)*100</f>
        <v>73.194925412497398</v>
      </c>
      <c r="Y61" s="101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activeCell="C15" sqref="C15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7" width="7.5546875" customWidth="1"/>
    <col min="8" max="12" width="7.5546875" style="102" customWidth="1"/>
  </cols>
  <sheetData>
    <row r="1" spans="1:12" ht="23.25" customHeight="1" x14ac:dyDescent="0.3">
      <c r="A1" s="68" t="s">
        <v>311</v>
      </c>
      <c r="B1" s="68" t="s">
        <v>312</v>
      </c>
      <c r="C1" s="68" t="s">
        <v>322</v>
      </c>
      <c r="D1" s="39" t="s">
        <v>211</v>
      </c>
      <c r="E1" s="39">
        <v>2016</v>
      </c>
      <c r="F1" s="39">
        <v>2017</v>
      </c>
      <c r="G1" s="39">
        <v>2018</v>
      </c>
      <c r="H1" s="121">
        <v>2019</v>
      </c>
      <c r="I1" s="121">
        <v>2020</v>
      </c>
      <c r="J1" s="121">
        <v>2021</v>
      </c>
      <c r="K1" s="121">
        <v>2022</v>
      </c>
      <c r="L1" s="121">
        <v>2023</v>
      </c>
    </row>
    <row r="2" spans="1:12" ht="29.25" customHeight="1" x14ac:dyDescent="0.3">
      <c r="A2" s="69" t="s">
        <v>313</v>
      </c>
      <c r="B2" s="69" t="s">
        <v>78</v>
      </c>
      <c r="C2" s="71" t="s">
        <v>321</v>
      </c>
      <c r="D2" s="83" t="s">
        <v>328</v>
      </c>
      <c r="E2" s="76">
        <f>Piano_indicatori!D3</f>
        <v>35.536000000000001</v>
      </c>
      <c r="F2" s="76">
        <f>Piano_indicatori!E3</f>
        <v>38.64</v>
      </c>
      <c r="G2" s="76">
        <f>Piano_indicatori!F3</f>
        <v>46.15</v>
      </c>
      <c r="H2" s="76">
        <f>Piano_indicatori!G3</f>
        <v>47.33</v>
      </c>
      <c r="I2" s="76">
        <f>Piano_indicatori!H3</f>
        <v>40.140999999999998</v>
      </c>
      <c r="J2" s="76">
        <f>Piano_indicatori!I3</f>
        <v>37.908999999999999</v>
      </c>
      <c r="K2" s="76">
        <f>Piano_indicatori!J3</f>
        <v>39.4</v>
      </c>
      <c r="L2" s="76">
        <f>Piano_indicatori!K3</f>
        <v>39.67</v>
      </c>
    </row>
    <row r="3" spans="1:12" ht="29.25" customHeight="1" x14ac:dyDescent="0.3">
      <c r="A3" s="70" t="s">
        <v>314</v>
      </c>
      <c r="B3" s="70" t="s">
        <v>95</v>
      </c>
      <c r="C3" s="72" t="s">
        <v>96</v>
      </c>
      <c r="D3" s="84" t="s">
        <v>329</v>
      </c>
      <c r="E3" s="77">
        <f>Piano_indicatori!D12</f>
        <v>75.977999999999994</v>
      </c>
      <c r="F3" s="77">
        <f>Piano_indicatori!E12</f>
        <v>64.349999999999994</v>
      </c>
      <c r="G3" s="77">
        <f>Piano_indicatori!F12</f>
        <v>67.86</v>
      </c>
      <c r="H3" s="77">
        <f>Piano_indicatori!G12</f>
        <v>46.67</v>
      </c>
      <c r="I3" s="77">
        <f>Piano_indicatori!H12</f>
        <v>44.317</v>
      </c>
      <c r="J3" s="77">
        <f>Piano_indicatori!I12</f>
        <v>45.061</v>
      </c>
      <c r="K3" s="77">
        <f>Piano_indicatori!J12</f>
        <v>45.88</v>
      </c>
      <c r="L3" s="77">
        <f>Piano_indicatori!K12</f>
        <v>47.79</v>
      </c>
    </row>
    <row r="4" spans="1:12" ht="29.25" customHeight="1" x14ac:dyDescent="0.3">
      <c r="A4" s="69" t="s">
        <v>315</v>
      </c>
      <c r="B4" s="69" t="s">
        <v>100</v>
      </c>
      <c r="C4" s="73" t="s">
        <v>324</v>
      </c>
      <c r="D4" s="83" t="s">
        <v>330</v>
      </c>
      <c r="E4" s="78">
        <f>Piano_indicatori!D15</f>
        <v>0</v>
      </c>
      <c r="F4" s="78">
        <f>Piano_indicatori!E15</f>
        <v>0</v>
      </c>
      <c r="G4" s="78">
        <f>Piano_indicatori!F15</f>
        <v>0</v>
      </c>
      <c r="H4" s="78">
        <f>Piano_indicatori!G15</f>
        <v>0</v>
      </c>
      <c r="I4" s="78">
        <f>Piano_indicatori!H15</f>
        <v>0</v>
      </c>
      <c r="J4" s="78">
        <f>Piano_indicatori!I15</f>
        <v>0</v>
      </c>
      <c r="K4" s="78">
        <f>Piano_indicatori!J15</f>
        <v>0</v>
      </c>
      <c r="L4" s="78">
        <f>Piano_indicatori!K15</f>
        <v>0</v>
      </c>
    </row>
    <row r="5" spans="1:12" ht="29.25" customHeight="1" x14ac:dyDescent="0.3">
      <c r="A5" s="70" t="s">
        <v>316</v>
      </c>
      <c r="B5" s="70" t="s">
        <v>165</v>
      </c>
      <c r="C5" s="74" t="s">
        <v>325</v>
      </c>
      <c r="D5" s="85" t="s">
        <v>331</v>
      </c>
      <c r="E5" s="79">
        <f>Piano_indicatori!D51</f>
        <v>5.8040000000000003</v>
      </c>
      <c r="F5" s="79">
        <f>Piano_indicatori!E51</f>
        <v>11.218999999999999</v>
      </c>
      <c r="G5" s="79">
        <f>Piano_indicatori!F51</f>
        <v>9.5500000000000007</v>
      </c>
      <c r="H5" s="79">
        <f>Piano_indicatori!G51</f>
        <v>9.3079999999999998</v>
      </c>
      <c r="I5" s="79">
        <f>Piano_indicatori!H51</f>
        <v>6.33</v>
      </c>
      <c r="J5" s="79">
        <f>Piano_indicatori!I51</f>
        <v>6.8330000000000002</v>
      </c>
      <c r="K5" s="79">
        <f>Piano_indicatori!J51</f>
        <v>8.6199999999999992</v>
      </c>
      <c r="L5" s="79">
        <f>Piano_indicatori!K51</f>
        <v>9.1</v>
      </c>
    </row>
    <row r="6" spans="1:12" ht="29.25" customHeight="1" x14ac:dyDescent="0.3">
      <c r="A6" s="69" t="s">
        <v>317</v>
      </c>
      <c r="B6" s="69" t="s">
        <v>185</v>
      </c>
      <c r="C6" s="87" t="s">
        <v>186</v>
      </c>
      <c r="D6" s="86" t="s">
        <v>332</v>
      </c>
      <c r="E6" s="80">
        <f>Piano_indicatori!D62</f>
        <v>0</v>
      </c>
      <c r="F6" s="80">
        <f>Piano_indicatori!E62</f>
        <v>0</v>
      </c>
      <c r="G6" s="80">
        <f>Piano_indicatori!F62</f>
        <v>0</v>
      </c>
      <c r="H6" s="80">
        <f>Piano_indicatori!G62</f>
        <v>0</v>
      </c>
      <c r="I6" s="80">
        <f>Piano_indicatori!H62</f>
        <v>0</v>
      </c>
      <c r="J6" s="80">
        <f>Piano_indicatori!I62</f>
        <v>0</v>
      </c>
      <c r="K6" s="80">
        <f>Piano_indicatori!J62</f>
        <v>0</v>
      </c>
      <c r="L6" s="80">
        <f>Piano_indicatori!K62</f>
        <v>0</v>
      </c>
    </row>
    <row r="7" spans="1:12" ht="29.25" customHeight="1" x14ac:dyDescent="0.3">
      <c r="A7" s="70" t="s">
        <v>318</v>
      </c>
      <c r="B7" s="70" t="s">
        <v>188</v>
      </c>
      <c r="C7" s="74" t="s">
        <v>189</v>
      </c>
      <c r="D7" s="84" t="s">
        <v>333</v>
      </c>
      <c r="E7" s="81">
        <f>Piano_indicatori!D64</f>
        <v>3.0000000000000001E-3</v>
      </c>
      <c r="F7" s="81">
        <f>Piano_indicatori!E64</f>
        <v>0.04</v>
      </c>
      <c r="G7" s="81">
        <f>Piano_indicatori!F64</f>
        <v>0.13700000000000001</v>
      </c>
      <c r="H7" s="81">
        <f>Piano_indicatori!G64</f>
        <v>8.9999999999999993E-3</v>
      </c>
      <c r="I7" s="81">
        <f>Piano_indicatori!H64</f>
        <v>0.03</v>
      </c>
      <c r="J7" s="81">
        <f>Piano_indicatori!I64</f>
        <v>0</v>
      </c>
      <c r="K7" s="81">
        <f>Piano_indicatori!J64</f>
        <v>0.01</v>
      </c>
      <c r="L7" s="81">
        <f>Piano_indicatori!K64</f>
        <v>0.03</v>
      </c>
    </row>
    <row r="8" spans="1:12" ht="29.25" customHeight="1" x14ac:dyDescent="0.3">
      <c r="A8" s="69" t="s">
        <v>319</v>
      </c>
      <c r="B8" s="69" t="s">
        <v>323</v>
      </c>
      <c r="C8" s="73" t="s">
        <v>326</v>
      </c>
      <c r="D8" s="83" t="s">
        <v>334</v>
      </c>
      <c r="E8" s="78">
        <f>Piano_indicatori!D65+Piano_indicatori!D66</f>
        <v>3.0000000000000001E-3</v>
      </c>
      <c r="F8" s="78">
        <f>Piano_indicatori!E65+Piano_indicatori!E66</f>
        <v>0.02</v>
      </c>
      <c r="G8" s="78">
        <f>Piano_indicatori!F65+Piano_indicatori!F66</f>
        <v>0</v>
      </c>
      <c r="H8" s="78">
        <f>Piano_indicatori!G65+Piano_indicatori!G66</f>
        <v>0.01</v>
      </c>
      <c r="I8" s="78">
        <f>Piano_indicatori!H65+Piano_indicatori!H66</f>
        <v>0</v>
      </c>
      <c r="J8" s="78">
        <f>Piano_indicatori!I65+Piano_indicatori!I66</f>
        <v>0</v>
      </c>
      <c r="K8" s="78">
        <f>Piano_indicatori!J65+Piano_indicatori!J66</f>
        <v>0.01</v>
      </c>
      <c r="L8" s="78">
        <f>Piano_indicatori!K65+Piano_indicatori!K66</f>
        <v>0</v>
      </c>
    </row>
    <row r="9" spans="1:12" ht="29.25" customHeight="1" x14ac:dyDescent="0.3">
      <c r="A9" s="70" t="s">
        <v>320</v>
      </c>
      <c r="B9" s="70"/>
      <c r="C9" s="75" t="s">
        <v>327</v>
      </c>
      <c r="D9" s="85" t="s">
        <v>335</v>
      </c>
      <c r="E9" s="82">
        <f>Piano_indicatori!D76</f>
        <v>78.275796682218257</v>
      </c>
      <c r="F9" s="82">
        <f>Piano_indicatori!E76</f>
        <v>75.853806413107662</v>
      </c>
      <c r="G9" s="82">
        <f>Piano_indicatori!F76</f>
        <v>78.313632712404555</v>
      </c>
      <c r="H9" s="82">
        <f>Piano_indicatori!G76</f>
        <v>76.004309655272706</v>
      </c>
      <c r="I9" s="82">
        <f>Piano_indicatori!H76</f>
        <v>73.969041318493296</v>
      </c>
      <c r="J9" s="82">
        <f>Piano_indicatori!I76</f>
        <v>72.1201287159044</v>
      </c>
      <c r="K9" s="82">
        <f>Piano_indicatori!J76</f>
        <v>74.27365780302739</v>
      </c>
      <c r="L9" s="82">
        <f>Piano_indicatori!K76</f>
        <v>68.266248173764438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33203125" customWidth="1"/>
    <col min="6" max="6" width="10" style="102" customWidth="1"/>
  </cols>
  <sheetData>
    <row r="1" spans="1:20" ht="43.2" x14ac:dyDescent="0.3">
      <c r="A1" s="90" t="s">
        <v>336</v>
      </c>
      <c r="B1" s="90" t="s">
        <v>337</v>
      </c>
      <c r="C1" s="90" t="s">
        <v>351</v>
      </c>
      <c r="D1" s="90" t="s">
        <v>352</v>
      </c>
      <c r="E1" s="90" t="s">
        <v>353</v>
      </c>
      <c r="F1" s="90" t="s">
        <v>364</v>
      </c>
      <c r="G1" s="90" t="s">
        <v>354</v>
      </c>
    </row>
    <row r="2" spans="1:20" s="102" customFormat="1" x14ac:dyDescent="0.3">
      <c r="A2" s="102">
        <v>2024</v>
      </c>
      <c r="B2" s="89">
        <v>129555</v>
      </c>
      <c r="C2" s="89">
        <v>339750</v>
      </c>
      <c r="D2" s="90"/>
    </row>
    <row r="3" spans="1:20" s="102" customFormat="1" x14ac:dyDescent="0.3">
      <c r="A3" s="102">
        <v>2023</v>
      </c>
      <c r="B3" s="89">
        <v>129724</v>
      </c>
      <c r="C3" s="89">
        <v>339287</v>
      </c>
      <c r="D3" s="89">
        <v>-1083</v>
      </c>
      <c r="E3" s="89">
        <v>914</v>
      </c>
      <c r="G3" s="103">
        <f t="shared" ref="G3:G4" si="0">B2-B3-D3-E3-F3</f>
        <v>0</v>
      </c>
    </row>
    <row r="4" spans="1:20" s="102" customFormat="1" x14ac:dyDescent="0.3">
      <c r="A4" s="102">
        <v>2022</v>
      </c>
      <c r="B4" s="89">
        <v>129872</v>
      </c>
      <c r="C4" s="89">
        <v>339573</v>
      </c>
      <c r="D4" s="89">
        <v>-1299</v>
      </c>
      <c r="E4" s="89">
        <f>389+959</f>
        <v>1348</v>
      </c>
      <c r="F4" s="89">
        <v>-197</v>
      </c>
      <c r="G4" s="103">
        <f t="shared" si="0"/>
        <v>0</v>
      </c>
    </row>
    <row r="5" spans="1:20" s="102" customFormat="1" x14ac:dyDescent="0.3">
      <c r="A5" s="102">
        <v>2021</v>
      </c>
      <c r="B5" s="89">
        <v>131669</v>
      </c>
      <c r="C5" s="89">
        <v>342061</v>
      </c>
      <c r="D5" s="89">
        <v>-1277</v>
      </c>
      <c r="E5" s="89">
        <v>636</v>
      </c>
      <c r="F5" s="89">
        <v>-1156</v>
      </c>
      <c r="G5" s="103">
        <f>B4-B5-D5-E5-F5</f>
        <v>0</v>
      </c>
    </row>
    <row r="6" spans="1:20" x14ac:dyDescent="0.3">
      <c r="A6" s="28">
        <v>2020</v>
      </c>
      <c r="B6" s="89">
        <v>132899</v>
      </c>
      <c r="C6" s="89">
        <v>344510</v>
      </c>
      <c r="D6" s="89">
        <v>-1282</v>
      </c>
      <c r="E6" s="89">
        <v>752</v>
      </c>
      <c r="F6" s="89">
        <v>-700</v>
      </c>
      <c r="G6" s="103">
        <f t="shared" ref="G6:G11" si="1">B5-B6-D6-E6-F6</f>
        <v>0</v>
      </c>
    </row>
    <row r="7" spans="1:20" x14ac:dyDescent="0.3">
      <c r="A7" s="28">
        <v>2019</v>
      </c>
      <c r="B7" s="89">
        <v>132931</v>
      </c>
      <c r="C7" s="1">
        <v>345538</v>
      </c>
      <c r="D7" s="89">
        <v>-1064</v>
      </c>
      <c r="E7" s="89">
        <v>1035</v>
      </c>
      <c r="F7" s="89">
        <v>-3</v>
      </c>
      <c r="G7" s="103">
        <f t="shared" si="1"/>
        <v>0</v>
      </c>
      <c r="K7" s="127"/>
      <c r="L7" s="128"/>
      <c r="M7" s="127"/>
      <c r="N7" s="128"/>
      <c r="O7" s="128"/>
      <c r="P7" s="128"/>
      <c r="Q7" s="127"/>
      <c r="R7" s="127"/>
      <c r="S7" s="128"/>
      <c r="T7" s="128"/>
    </row>
    <row r="8" spans="1:20" x14ac:dyDescent="0.3">
      <c r="A8" s="28">
        <v>2018</v>
      </c>
      <c r="B8" s="89">
        <v>132889</v>
      </c>
      <c r="C8" s="1">
        <v>346447</v>
      </c>
      <c r="D8" s="89">
        <v>-1064</v>
      </c>
      <c r="E8" s="89">
        <v>1106</v>
      </c>
      <c r="F8" s="89"/>
      <c r="G8" s="103">
        <f t="shared" si="1"/>
        <v>0</v>
      </c>
      <c r="K8" s="127"/>
      <c r="L8" s="128"/>
      <c r="M8" s="127"/>
      <c r="N8" s="128"/>
      <c r="O8" s="128"/>
      <c r="P8" s="128"/>
      <c r="Q8" s="127"/>
      <c r="R8" s="127"/>
      <c r="S8" s="128"/>
      <c r="T8" s="128"/>
    </row>
    <row r="9" spans="1:20" x14ac:dyDescent="0.3">
      <c r="A9" s="28">
        <v>2017</v>
      </c>
      <c r="B9" s="89">
        <v>132378</v>
      </c>
      <c r="C9" s="1">
        <v>347788</v>
      </c>
      <c r="D9" s="89">
        <v>-1154</v>
      </c>
      <c r="E9" s="89">
        <v>1665</v>
      </c>
      <c r="F9" s="89"/>
      <c r="G9" s="103">
        <f t="shared" si="1"/>
        <v>0</v>
      </c>
      <c r="K9" s="127"/>
      <c r="L9" s="128"/>
      <c r="M9" s="127"/>
      <c r="N9" s="128"/>
      <c r="O9" s="128"/>
      <c r="P9" s="128"/>
      <c r="Q9" s="128"/>
      <c r="R9" s="127"/>
      <c r="S9" s="128"/>
      <c r="T9" s="128"/>
    </row>
    <row r="10" spans="1:20" x14ac:dyDescent="0.3">
      <c r="A10" s="28">
        <v>2016</v>
      </c>
      <c r="B10" s="89">
        <v>133365</v>
      </c>
      <c r="C10" s="1">
        <v>350704</v>
      </c>
      <c r="D10" s="89">
        <v>-936</v>
      </c>
      <c r="E10" s="89">
        <v>-51</v>
      </c>
      <c r="F10" s="89"/>
      <c r="G10" s="103">
        <f t="shared" si="1"/>
        <v>0</v>
      </c>
      <c r="K10" s="127"/>
      <c r="L10" s="128"/>
      <c r="M10" s="127"/>
      <c r="N10" s="128"/>
      <c r="O10" s="128"/>
      <c r="P10" s="128"/>
      <c r="Q10" s="128"/>
      <c r="R10" s="127"/>
      <c r="S10" s="128"/>
      <c r="T10" s="128"/>
    </row>
    <row r="11" spans="1:20" x14ac:dyDescent="0.3">
      <c r="A11" s="28">
        <v>2015</v>
      </c>
      <c r="B11" s="89">
        <v>133747</v>
      </c>
      <c r="C11" s="1">
        <v>353293</v>
      </c>
      <c r="D11" s="89">
        <v>-1167</v>
      </c>
      <c r="E11" s="89">
        <v>785</v>
      </c>
      <c r="F11" s="89"/>
      <c r="G11" s="103">
        <f t="shared" si="1"/>
        <v>0</v>
      </c>
      <c r="N11" s="103"/>
    </row>
    <row r="32" spans="6:6" x14ac:dyDescent="0.3">
      <c r="F32" s="127"/>
    </row>
    <row r="33" spans="6:6" x14ac:dyDescent="0.3">
      <c r="F33" s="127"/>
    </row>
    <row r="34" spans="6:6" x14ac:dyDescent="0.3">
      <c r="F34" s="127"/>
    </row>
    <row r="35" spans="6:6" x14ac:dyDescent="0.3">
      <c r="F35" s="127"/>
    </row>
    <row r="36" spans="6:6" x14ac:dyDescent="0.3">
      <c r="F36" s="127"/>
    </row>
    <row r="37" spans="6:6" x14ac:dyDescent="0.3">
      <c r="F37" s="127"/>
    </row>
    <row r="38" spans="6:6" x14ac:dyDescent="0.3">
      <c r="F38" s="127"/>
    </row>
    <row r="39" spans="6:6" x14ac:dyDescent="0.3">
      <c r="F39" s="127"/>
    </row>
    <row r="40" spans="6:6" x14ac:dyDescent="0.3">
      <c r="F40" s="127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opLeftCell="B1" workbookViewId="0">
      <selection activeCell="I1" sqref="I1:L1"/>
    </sheetView>
  </sheetViews>
  <sheetFormatPr defaultRowHeight="14.4" x14ac:dyDescent="0.3"/>
  <cols>
    <col min="1" max="1" width="55.6640625" bestFit="1" customWidth="1"/>
    <col min="2" max="3" width="12.5546875" bestFit="1" customWidth="1"/>
    <col min="4" max="8" width="12.5546875" style="102" bestFit="1" customWidth="1"/>
    <col min="9" max="9" width="12.5546875" bestFit="1" customWidth="1"/>
    <col min="10" max="10" width="8.44140625" customWidth="1"/>
    <col min="11" max="11" width="6.5546875" style="102" bestFit="1" customWidth="1"/>
    <col min="12" max="12" width="12.5546875" bestFit="1" customWidth="1"/>
    <col min="13" max="13" width="7" bestFit="1" customWidth="1"/>
  </cols>
  <sheetData>
    <row r="1" spans="1:13" ht="28.8" x14ac:dyDescent="0.3">
      <c r="A1" s="38"/>
      <c r="B1" s="39">
        <v>2016</v>
      </c>
      <c r="C1" s="39">
        <v>2017</v>
      </c>
      <c r="D1" s="121">
        <v>2018</v>
      </c>
      <c r="E1" s="121">
        <v>2019</v>
      </c>
      <c r="F1" s="121">
        <v>2020</v>
      </c>
      <c r="G1" s="121">
        <v>2021</v>
      </c>
      <c r="H1" s="121">
        <v>2022</v>
      </c>
      <c r="I1" s="121">
        <v>2023</v>
      </c>
      <c r="J1" s="122" t="s">
        <v>297</v>
      </c>
      <c r="K1" s="121" t="s">
        <v>233</v>
      </c>
      <c r="L1" s="122" t="s">
        <v>366</v>
      </c>
      <c r="M1" s="39" t="s">
        <v>269</v>
      </c>
    </row>
    <row r="2" spans="1:13" x14ac:dyDescent="0.3">
      <c r="A2" s="49" t="s">
        <v>20</v>
      </c>
      <c r="B2" s="50">
        <f>Entrate_Uscite!B3</f>
        <v>117851844.65000001</v>
      </c>
      <c r="C2" s="50">
        <f>Entrate_Uscite!E3</f>
        <v>115062084.84999999</v>
      </c>
      <c r="D2" s="118">
        <f>Entrate_Uscite!H3</f>
        <v>84688981.359999999</v>
      </c>
      <c r="E2" s="118">
        <f>Entrate_Uscite!K3</f>
        <v>83950731.849999994</v>
      </c>
      <c r="F2" s="118">
        <f>Entrate_Uscite!N3</f>
        <v>80260816.659999996</v>
      </c>
      <c r="G2" s="118">
        <f>Entrate_Uscite!Q3</f>
        <v>82671704.579999998</v>
      </c>
      <c r="H2" s="118">
        <f>Entrate_Uscite!T3</f>
        <v>83561246.180000007</v>
      </c>
      <c r="I2" s="50">
        <f>Entrate_Uscite!W3</f>
        <v>83147756.799999997</v>
      </c>
      <c r="J2" s="50">
        <f>I2/I$21*100</f>
        <v>45.10365766941382</v>
      </c>
      <c r="K2" s="51">
        <f>IF(H2&gt;0,I2/H2*100-100,"-")</f>
        <v>-0.49483390794496529</v>
      </c>
      <c r="L2" s="50">
        <f>Entrate_Uscite!X3</f>
        <v>65362944.5</v>
      </c>
      <c r="M2" s="52">
        <f>IF(I2&gt;0,L2/I2*100,"-")</f>
        <v>78.610592775486637</v>
      </c>
    </row>
    <row r="3" spans="1:13" x14ac:dyDescent="0.3">
      <c r="A3" s="49" t="s">
        <v>21</v>
      </c>
      <c r="B3" s="50">
        <f>Entrate_Uscite!B4</f>
        <v>11286040.07</v>
      </c>
      <c r="C3" s="50">
        <f>Entrate_Uscite!E4</f>
        <v>17912296.079999998</v>
      </c>
      <c r="D3" s="118">
        <f>Entrate_Uscite!H4</f>
        <v>15278765.560000001</v>
      </c>
      <c r="E3" s="118">
        <f>Entrate_Uscite!K4</f>
        <v>15931774.550000001</v>
      </c>
      <c r="F3" s="118">
        <f>Entrate_Uscite!N4</f>
        <v>29634028.010000002</v>
      </c>
      <c r="G3" s="118">
        <f>Entrate_Uscite!Q4</f>
        <v>29351123.640000001</v>
      </c>
      <c r="H3" s="118">
        <f>Entrate_Uscite!T4</f>
        <v>24656492.280000001</v>
      </c>
      <c r="I3" s="50">
        <f>Entrate_Uscite!W4</f>
        <v>24598718.280000001</v>
      </c>
      <c r="J3" s="50">
        <f t="shared" ref="J3:J21" si="0">I3/I$21*100</f>
        <v>13.343621176410043</v>
      </c>
      <c r="K3" s="51">
        <f t="shared" ref="K3:K21" si="1">IF(H3&gt;0,I3/H3*100-100,"-")</f>
        <v>-0.23431556826459143</v>
      </c>
      <c r="L3" s="50">
        <f>Entrate_Uscite!X4</f>
        <v>18776548.050000001</v>
      </c>
      <c r="M3" s="52">
        <f t="shared" ref="M3:M21" si="2">IF(I3&gt;0,L3/I3*100,"-")</f>
        <v>76.331408150099762</v>
      </c>
    </row>
    <row r="4" spans="1:13" x14ac:dyDescent="0.3">
      <c r="A4" s="49" t="s">
        <v>22</v>
      </c>
      <c r="B4" s="50">
        <f>Entrate_Uscite!B5</f>
        <v>23010263.399999999</v>
      </c>
      <c r="C4" s="50">
        <f>Entrate_Uscite!E5</f>
        <v>24063532.260000002</v>
      </c>
      <c r="D4" s="118">
        <f>Entrate_Uscite!H5</f>
        <v>21968621.91</v>
      </c>
      <c r="E4" s="118">
        <f>Entrate_Uscite!K5</f>
        <v>21695842.460000001</v>
      </c>
      <c r="F4" s="118">
        <f>Entrate_Uscite!N5</f>
        <v>16277658.35</v>
      </c>
      <c r="G4" s="118">
        <f>Entrate_Uscite!Q5</f>
        <v>25173648.489999998</v>
      </c>
      <c r="H4" s="118">
        <f>Entrate_Uscite!T5</f>
        <v>29217065.829999998</v>
      </c>
      <c r="I4" s="50">
        <f>Entrate_Uscite!W5</f>
        <v>28947554.219999999</v>
      </c>
      <c r="J4" s="50">
        <f t="shared" si="0"/>
        <v>15.702655443203433</v>
      </c>
      <c r="K4" s="51">
        <f t="shared" si="1"/>
        <v>-0.92244584575384181</v>
      </c>
      <c r="L4" s="50">
        <f>Entrate_Uscite!X5</f>
        <v>22383932.890000001</v>
      </c>
      <c r="M4" s="52">
        <f t="shared" si="2"/>
        <v>77.325817303538685</v>
      </c>
    </row>
    <row r="5" spans="1:13" x14ac:dyDescent="0.3">
      <c r="A5" s="4" t="s">
        <v>31</v>
      </c>
      <c r="B5" s="40">
        <f t="shared" ref="B5:I5" si="3">SUM(B2:B4)</f>
        <v>152148148.12</v>
      </c>
      <c r="C5" s="40">
        <f t="shared" si="3"/>
        <v>157037913.19</v>
      </c>
      <c r="D5" s="40">
        <f t="shared" si="3"/>
        <v>121936368.83</v>
      </c>
      <c r="E5" s="40">
        <f t="shared" si="3"/>
        <v>121578348.85999998</v>
      </c>
      <c r="F5" s="40">
        <f t="shared" si="3"/>
        <v>126172503.02</v>
      </c>
      <c r="G5" s="40">
        <f t="shared" ref="G5:H5" si="4">SUM(G2:G4)</f>
        <v>137196476.71000001</v>
      </c>
      <c r="H5" s="40">
        <f t="shared" si="4"/>
        <v>137434804.29000002</v>
      </c>
      <c r="I5" s="40">
        <f t="shared" si="3"/>
        <v>136694029.30000001</v>
      </c>
      <c r="J5" s="40">
        <f t="shared" si="0"/>
        <v>74.149934289027314</v>
      </c>
      <c r="K5" s="107">
        <f t="shared" si="1"/>
        <v>-0.53900101493717045</v>
      </c>
      <c r="L5" s="40">
        <f>SUM(L2:L4)</f>
        <v>106523425.44</v>
      </c>
      <c r="M5" s="41">
        <f>IF(I5&gt;0,L5/I5*100,"-")</f>
        <v>77.928367453573912</v>
      </c>
    </row>
    <row r="6" spans="1:13" x14ac:dyDescent="0.3">
      <c r="A6" s="49" t="s">
        <v>23</v>
      </c>
      <c r="B6" s="50">
        <f>Entrate_Uscite!B6</f>
        <v>0</v>
      </c>
      <c r="C6" s="50">
        <f>Entrate_Uscite!E6</f>
        <v>0</v>
      </c>
      <c r="D6" s="118">
        <f>Entrate_Uscite!H6</f>
        <v>0</v>
      </c>
      <c r="E6" s="118">
        <f>Entrate_Uscite!K6</f>
        <v>0</v>
      </c>
      <c r="F6" s="118">
        <f>Entrate_Uscite!N6</f>
        <v>0</v>
      </c>
      <c r="G6" s="118">
        <f>Entrate_Uscite!Q6</f>
        <v>0</v>
      </c>
      <c r="H6" s="118">
        <f>Entrate_Uscite!T6</f>
        <v>0</v>
      </c>
      <c r="I6" s="50">
        <f>Entrate_Uscite!W6</f>
        <v>0</v>
      </c>
      <c r="J6" s="50">
        <f t="shared" si="0"/>
        <v>0</v>
      </c>
      <c r="K6" s="51" t="str">
        <f t="shared" si="1"/>
        <v>-</v>
      </c>
      <c r="L6" s="50">
        <f>Entrate_Uscite!X6</f>
        <v>0</v>
      </c>
      <c r="M6" s="52" t="str">
        <f t="shared" si="2"/>
        <v>-</v>
      </c>
    </row>
    <row r="7" spans="1:13" x14ac:dyDescent="0.3">
      <c r="A7" s="49" t="s">
        <v>24</v>
      </c>
      <c r="B7" s="50">
        <f>Entrate_Uscite!B7</f>
        <v>3092836.38</v>
      </c>
      <c r="C7" s="50">
        <f>Entrate_Uscite!E7</f>
        <v>12508143.720000001</v>
      </c>
      <c r="D7" s="118">
        <f>Entrate_Uscite!H7</f>
        <v>10808066.869999999</v>
      </c>
      <c r="E7" s="118">
        <f>Entrate_Uscite!K7</f>
        <v>10951981.699999999</v>
      </c>
      <c r="F7" s="118">
        <f>Entrate_Uscite!N7</f>
        <v>9807499.8599999994</v>
      </c>
      <c r="G7" s="118">
        <f>Entrate_Uscite!Q7</f>
        <v>13404607.369999999</v>
      </c>
      <c r="H7" s="118">
        <f>Entrate_Uscite!T7</f>
        <v>18848328.440000001</v>
      </c>
      <c r="I7" s="50">
        <f>Entrate_Uscite!W7</f>
        <v>20544385.199999999</v>
      </c>
      <c r="J7" s="50">
        <f t="shared" si="0"/>
        <v>11.144340542081489</v>
      </c>
      <c r="K7" s="51">
        <f t="shared" si="1"/>
        <v>8.9984465487168706</v>
      </c>
      <c r="L7" s="50">
        <f>Entrate_Uscite!X7</f>
        <v>7959403.5199999996</v>
      </c>
      <c r="M7" s="52">
        <f t="shared" si="2"/>
        <v>38.742476070785507</v>
      </c>
    </row>
    <row r="8" spans="1:13" x14ac:dyDescent="0.3">
      <c r="A8" s="49" t="s">
        <v>25</v>
      </c>
      <c r="B8" s="50">
        <f>Entrate_Uscite!B8</f>
        <v>0</v>
      </c>
      <c r="C8" s="50">
        <f>Entrate_Uscite!E8</f>
        <v>0</v>
      </c>
      <c r="D8" s="118">
        <f>Entrate_Uscite!H8</f>
        <v>116145.33</v>
      </c>
      <c r="E8" s="118">
        <f>Entrate_Uscite!K8</f>
        <v>149701.84</v>
      </c>
      <c r="F8" s="118">
        <f>Entrate_Uscite!N8</f>
        <v>14036.73</v>
      </c>
      <c r="G8" s="118">
        <f>Entrate_Uscite!Q8</f>
        <v>154442.62</v>
      </c>
      <c r="H8" s="118">
        <f>Entrate_Uscite!T8</f>
        <v>307185.03000000003</v>
      </c>
      <c r="I8" s="50">
        <f>Entrate_Uscite!W8</f>
        <v>1500</v>
      </c>
      <c r="J8" s="50">
        <f t="shared" si="0"/>
        <v>8.1367783218561497E-4</v>
      </c>
      <c r="K8" s="51">
        <f t="shared" si="1"/>
        <v>-99.511694954666254</v>
      </c>
      <c r="L8" s="50">
        <f>Entrate_Uscite!X8</f>
        <v>1500</v>
      </c>
      <c r="M8" s="52">
        <f t="shared" si="2"/>
        <v>100</v>
      </c>
    </row>
    <row r="9" spans="1:13" x14ac:dyDescent="0.3">
      <c r="A9" s="49" t="s">
        <v>26</v>
      </c>
      <c r="B9" s="50">
        <f>Entrate_Uscite!B9</f>
        <v>821445.79</v>
      </c>
      <c r="C9" s="50">
        <f>Entrate_Uscite!E9</f>
        <v>319741.71000000002</v>
      </c>
      <c r="D9" s="118">
        <f>Entrate_Uscite!H9</f>
        <v>452092.87</v>
      </c>
      <c r="E9" s="118">
        <f>Entrate_Uscite!K9</f>
        <v>448528.72</v>
      </c>
      <c r="F9" s="118">
        <f>Entrate_Uscite!N9</f>
        <v>830468.74</v>
      </c>
      <c r="G9" s="118">
        <f>Entrate_Uscite!Q9</f>
        <v>364992.9</v>
      </c>
      <c r="H9" s="118">
        <f>Entrate_Uscite!T9</f>
        <v>1349420.47</v>
      </c>
      <c r="I9" s="50">
        <f>Entrate_Uscite!W9</f>
        <v>1107727.3</v>
      </c>
      <c r="J9" s="50">
        <f t="shared" si="0"/>
        <v>0.60088876541121627</v>
      </c>
      <c r="K9" s="51">
        <f t="shared" si="1"/>
        <v>-17.910886589707658</v>
      </c>
      <c r="L9" s="50">
        <f>Entrate_Uscite!X9</f>
        <v>1107727.3</v>
      </c>
      <c r="M9" s="52">
        <f t="shared" si="2"/>
        <v>100</v>
      </c>
    </row>
    <row r="10" spans="1:13" x14ac:dyDescent="0.3">
      <c r="A10" s="49" t="s">
        <v>27</v>
      </c>
      <c r="B10" s="50">
        <f>Entrate_Uscite!B10</f>
        <v>2084637.66</v>
      </c>
      <c r="C10" s="50">
        <f>Entrate_Uscite!E10</f>
        <v>3286791.62</v>
      </c>
      <c r="D10" s="118">
        <f>Entrate_Uscite!H10</f>
        <v>2933987.93</v>
      </c>
      <c r="E10" s="118">
        <f>Entrate_Uscite!K10</f>
        <v>3301212.43</v>
      </c>
      <c r="F10" s="118">
        <f>Entrate_Uscite!N10</f>
        <v>2032917.85</v>
      </c>
      <c r="G10" s="118">
        <f>Entrate_Uscite!Q10</f>
        <v>2847317.7</v>
      </c>
      <c r="H10" s="118">
        <f>Entrate_Uscite!T10</f>
        <v>3102343.61</v>
      </c>
      <c r="I10" s="50">
        <f>Entrate_Uscite!W10</f>
        <v>2475247.9</v>
      </c>
      <c r="J10" s="50">
        <f t="shared" si="0"/>
        <v>1.3427028969293306</v>
      </c>
      <c r="K10" s="51">
        <f t="shared" si="1"/>
        <v>-20.213612314852512</v>
      </c>
      <c r="L10" s="50">
        <f>Entrate_Uscite!X10</f>
        <v>2473706.9</v>
      </c>
      <c r="M10" s="52">
        <f t="shared" si="2"/>
        <v>99.937743609438073</v>
      </c>
    </row>
    <row r="11" spans="1:13" x14ac:dyDescent="0.3">
      <c r="A11" s="4" t="s">
        <v>32</v>
      </c>
      <c r="B11" s="42">
        <f t="shared" ref="B11:I11" si="5">SUM(B6:B10)</f>
        <v>5998919.8300000001</v>
      </c>
      <c r="C11" s="42">
        <f t="shared" si="5"/>
        <v>16114677.050000001</v>
      </c>
      <c r="D11" s="42">
        <f t="shared" si="5"/>
        <v>14310292.999999998</v>
      </c>
      <c r="E11" s="42">
        <f t="shared" si="5"/>
        <v>14851424.689999999</v>
      </c>
      <c r="F11" s="42">
        <f t="shared" si="5"/>
        <v>12684923.18</v>
      </c>
      <c r="G11" s="42">
        <f t="shared" ref="G11" si="6">SUM(G6:G10)</f>
        <v>16771360.59</v>
      </c>
      <c r="H11" s="42">
        <f t="shared" ref="H11" si="7">SUM(H6:H10)</f>
        <v>23607277.550000001</v>
      </c>
      <c r="I11" s="42">
        <f t="shared" si="5"/>
        <v>24128860.399999999</v>
      </c>
      <c r="J11" s="42">
        <f t="shared" si="0"/>
        <v>13.088745882254221</v>
      </c>
      <c r="K11" s="107">
        <f t="shared" si="1"/>
        <v>2.2094155028901099</v>
      </c>
      <c r="L11" s="42">
        <f>SUM(L6:L10)</f>
        <v>11542337.720000001</v>
      </c>
      <c r="M11" s="41">
        <f>IF(I11&gt;0,L11/I11*100,"-")</f>
        <v>47.836232331967082</v>
      </c>
    </row>
    <row r="12" spans="1:13" x14ac:dyDescent="0.3">
      <c r="A12" s="49" t="s">
        <v>28</v>
      </c>
      <c r="B12" s="50">
        <f>Entrate_Uscite!B11</f>
        <v>0</v>
      </c>
      <c r="C12" s="50">
        <f>Entrate_Uscite!E11</f>
        <v>0</v>
      </c>
      <c r="D12" s="118">
        <f>Entrate_Uscite!H11</f>
        <v>0</v>
      </c>
      <c r="E12" s="118">
        <f>Entrate_Uscite!K11</f>
        <v>0</v>
      </c>
      <c r="F12" s="118">
        <f>Entrate_Uscite!N11</f>
        <v>0</v>
      </c>
      <c r="G12" s="118">
        <f>Entrate_Uscite!Q11</f>
        <v>0</v>
      </c>
      <c r="H12" s="118">
        <f>Entrate_Uscite!T11</f>
        <v>47752.3</v>
      </c>
      <c r="I12" s="50">
        <f>Entrate_Uscite!W11</f>
        <v>0</v>
      </c>
      <c r="J12" s="50">
        <f t="shared" si="0"/>
        <v>0</v>
      </c>
      <c r="K12" s="51">
        <f t="shared" si="1"/>
        <v>-100</v>
      </c>
      <c r="L12" s="50">
        <f>Entrate_Uscite!X11</f>
        <v>0</v>
      </c>
      <c r="M12" s="52" t="str">
        <f t="shared" si="2"/>
        <v>-</v>
      </c>
    </row>
    <row r="13" spans="1:13" x14ac:dyDescent="0.3">
      <c r="A13" s="49" t="s">
        <v>29</v>
      </c>
      <c r="B13" s="50">
        <f>Entrate_Uscite!B12</f>
        <v>0</v>
      </c>
      <c r="C13" s="50">
        <f>Entrate_Uscite!E12</f>
        <v>0</v>
      </c>
      <c r="D13" s="118">
        <f>Entrate_Uscite!H12</f>
        <v>0</v>
      </c>
      <c r="E13" s="118">
        <f>Entrate_Uscite!K12</f>
        <v>0</v>
      </c>
      <c r="F13" s="118">
        <f>Entrate_Uscite!N12</f>
        <v>0</v>
      </c>
      <c r="G13" s="118">
        <f>Entrate_Uscite!Q12</f>
        <v>0</v>
      </c>
      <c r="H13" s="118">
        <f>Entrate_Uscite!T12</f>
        <v>0</v>
      </c>
      <c r="I13" s="50">
        <f>Entrate_Uscite!W12</f>
        <v>0</v>
      </c>
      <c r="J13" s="50">
        <f t="shared" si="0"/>
        <v>0</v>
      </c>
      <c r="K13" s="51" t="str">
        <f t="shared" si="1"/>
        <v>-</v>
      </c>
      <c r="L13" s="50">
        <f>Entrate_Uscite!X12</f>
        <v>0</v>
      </c>
      <c r="M13" s="52" t="str">
        <f t="shared" si="2"/>
        <v>-</v>
      </c>
    </row>
    <row r="14" spans="1:13" x14ac:dyDescent="0.3">
      <c r="A14" s="49" t="s">
        <v>30</v>
      </c>
      <c r="B14" s="50">
        <f>Entrate_Uscite!B13</f>
        <v>1382840.7</v>
      </c>
      <c r="C14" s="50">
        <f>Entrate_Uscite!E13</f>
        <v>0</v>
      </c>
      <c r="D14" s="118">
        <f>Entrate_Uscite!H13</f>
        <v>0</v>
      </c>
      <c r="E14" s="118">
        <f>Entrate_Uscite!K13</f>
        <v>994354.2</v>
      </c>
      <c r="F14" s="118">
        <f>Entrate_Uscite!N13</f>
        <v>2700000</v>
      </c>
      <c r="G14" s="118">
        <f>Entrate_Uscite!Q13</f>
        <v>5170000</v>
      </c>
      <c r="H14" s="118">
        <f>Entrate_Uscite!T13</f>
        <v>1000000</v>
      </c>
      <c r="I14" s="50">
        <f>Entrate_Uscite!W13</f>
        <v>9028990.8900000006</v>
      </c>
      <c r="J14" s="50">
        <f t="shared" si="0"/>
        <v>4.8977931561325789</v>
      </c>
      <c r="K14" s="51">
        <f t="shared" si="1"/>
        <v>802.89908900000012</v>
      </c>
      <c r="L14" s="50">
        <f>Entrate_Uscite!X13</f>
        <v>0</v>
      </c>
      <c r="M14" s="52">
        <f t="shared" si="2"/>
        <v>0</v>
      </c>
    </row>
    <row r="15" spans="1:13" x14ac:dyDescent="0.3">
      <c r="A15" s="4" t="s">
        <v>33</v>
      </c>
      <c r="B15" s="40">
        <f t="shared" ref="B15:I15" si="8">SUM(B12:B14)</f>
        <v>1382840.7</v>
      </c>
      <c r="C15" s="40">
        <f t="shared" si="8"/>
        <v>0</v>
      </c>
      <c r="D15" s="40">
        <f t="shared" si="8"/>
        <v>0</v>
      </c>
      <c r="E15" s="40">
        <f t="shared" si="8"/>
        <v>994354.2</v>
      </c>
      <c r="F15" s="40">
        <f t="shared" si="8"/>
        <v>2700000</v>
      </c>
      <c r="G15" s="40">
        <f t="shared" ref="G15" si="9">SUM(G12:G14)</f>
        <v>5170000</v>
      </c>
      <c r="H15" s="40">
        <f t="shared" ref="H15" si="10">SUM(H12:H14)</f>
        <v>1047752.3</v>
      </c>
      <c r="I15" s="40">
        <f t="shared" si="8"/>
        <v>9028990.8900000006</v>
      </c>
      <c r="J15" s="40">
        <f t="shared" si="0"/>
        <v>4.8977931561325789</v>
      </c>
      <c r="K15" s="107">
        <f t="shared" si="1"/>
        <v>761.74861081192569</v>
      </c>
      <c r="L15" s="40">
        <f>SUM(L12:L14)</f>
        <v>0</v>
      </c>
      <c r="M15" s="41">
        <f t="shared" si="2"/>
        <v>0</v>
      </c>
    </row>
    <row r="16" spans="1:13" x14ac:dyDescent="0.3">
      <c r="A16" s="43" t="s">
        <v>348</v>
      </c>
      <c r="B16" s="44">
        <f t="shared" ref="B16:I16" si="11">B5+B11+B15</f>
        <v>159529908.65000001</v>
      </c>
      <c r="C16" s="44">
        <f t="shared" si="11"/>
        <v>173152590.24000001</v>
      </c>
      <c r="D16" s="44">
        <f t="shared" si="11"/>
        <v>136246661.82999998</v>
      </c>
      <c r="E16" s="44">
        <f t="shared" si="11"/>
        <v>137424127.74999997</v>
      </c>
      <c r="F16" s="44">
        <f t="shared" si="11"/>
        <v>141557426.19999999</v>
      </c>
      <c r="G16" s="44">
        <f t="shared" ref="G16:H16" si="12">G5+G11+G15</f>
        <v>159137837.30000001</v>
      </c>
      <c r="H16" s="44">
        <f t="shared" si="12"/>
        <v>162089834.14000005</v>
      </c>
      <c r="I16" s="44">
        <f t="shared" si="11"/>
        <v>169851880.59000003</v>
      </c>
      <c r="J16" s="44">
        <f t="shared" si="0"/>
        <v>92.136473327414109</v>
      </c>
      <c r="K16" s="120">
        <f t="shared" si="1"/>
        <v>4.7887311941449582</v>
      </c>
      <c r="L16" s="44">
        <f>L5+L11+L15</f>
        <v>118065763.16</v>
      </c>
      <c r="M16" s="45">
        <f t="shared" si="2"/>
        <v>69.511013213327402</v>
      </c>
    </row>
    <row r="17" spans="1:13" x14ac:dyDescent="0.3">
      <c r="A17" s="4" t="s">
        <v>34</v>
      </c>
      <c r="B17" s="40">
        <f>Entrate_Uscite!B17</f>
        <v>1842840.7</v>
      </c>
      <c r="C17" s="40">
        <f>Entrate_Uscite!E17</f>
        <v>420000</v>
      </c>
      <c r="D17" s="40">
        <f>Entrate_Uscite!H17</f>
        <v>0</v>
      </c>
      <c r="E17" s="40">
        <f>Entrate_Uscite!K17</f>
        <v>3366354.2</v>
      </c>
      <c r="F17" s="40">
        <f>Entrate_Uscite!N17</f>
        <v>3340000</v>
      </c>
      <c r="G17" s="40">
        <f>Entrate_Uscite!Q17</f>
        <v>6245113.8099999996</v>
      </c>
      <c r="H17" s="40">
        <f>Entrate_Uscite!T17</f>
        <v>8058151.1699999999</v>
      </c>
      <c r="I17" s="40">
        <f>Entrate_Uscite!W17</f>
        <v>14496265.65</v>
      </c>
      <c r="J17" s="40">
        <f t="shared" si="0"/>
        <v>7.8635266725858646</v>
      </c>
      <c r="K17" s="107">
        <f t="shared" si="1"/>
        <v>79.895677608639346</v>
      </c>
      <c r="L17" s="40">
        <f>Entrate_Uscite!X17</f>
        <v>5467274.7599999998</v>
      </c>
      <c r="M17" s="41">
        <f t="shared" si="2"/>
        <v>37.715056360049523</v>
      </c>
    </row>
    <row r="18" spans="1:13" x14ac:dyDescent="0.3">
      <c r="A18" s="4" t="s">
        <v>35</v>
      </c>
      <c r="B18" s="40">
        <f>Entrate_Uscite!B18</f>
        <v>0</v>
      </c>
      <c r="C18" s="40">
        <f>Entrate_Uscite!E18</f>
        <v>0</v>
      </c>
      <c r="D18" s="40">
        <f>Entrate_Uscite!H18</f>
        <v>0</v>
      </c>
      <c r="E18" s="40">
        <f>Entrate_Uscite!K18</f>
        <v>0</v>
      </c>
      <c r="F18" s="40">
        <f>Entrate_Uscite!N18</f>
        <v>0</v>
      </c>
      <c r="G18" s="40">
        <f>Entrate_Uscite!Q18</f>
        <v>0</v>
      </c>
      <c r="H18" s="40">
        <f>Entrate_Uscite!T18</f>
        <v>0</v>
      </c>
      <c r="I18" s="40">
        <f>Entrate_Uscite!W18</f>
        <v>0</v>
      </c>
      <c r="J18" s="40">
        <f t="shared" si="0"/>
        <v>0</v>
      </c>
      <c r="K18" s="107" t="str">
        <f t="shared" si="1"/>
        <v>-</v>
      </c>
      <c r="L18" s="40">
        <f>Entrate_Uscite!X18</f>
        <v>0</v>
      </c>
      <c r="M18" s="41" t="str">
        <f t="shared" si="2"/>
        <v>-</v>
      </c>
    </row>
    <row r="19" spans="1:13" x14ac:dyDescent="0.3">
      <c r="A19" s="4" t="s">
        <v>36</v>
      </c>
      <c r="B19" s="40">
        <f>Entrate_Uscite!B19</f>
        <v>20592672.629999999</v>
      </c>
      <c r="C19" s="40">
        <f>Entrate_Uscite!E19</f>
        <v>20216443.690000001</v>
      </c>
      <c r="D19" s="40">
        <f>Entrate_Uscite!H19</f>
        <v>19578118.18</v>
      </c>
      <c r="E19" s="40">
        <f>Entrate_Uscite!K19</f>
        <v>19330887.98</v>
      </c>
      <c r="F19" s="40">
        <f>Entrate_Uscite!N19</f>
        <v>18796945.800000001</v>
      </c>
      <c r="G19" s="40">
        <f>Entrate_Uscite!Q19</f>
        <v>17693873.989999998</v>
      </c>
      <c r="H19" s="40">
        <f>Entrate_Uscite!T19</f>
        <v>21722186.789999999</v>
      </c>
      <c r="I19" s="40">
        <f>Entrate_Uscite!W19</f>
        <v>25071053.579999998</v>
      </c>
      <c r="J19" s="40"/>
      <c r="K19" s="107">
        <f t="shared" si="1"/>
        <v>15.416803208513414</v>
      </c>
      <c r="L19" s="40">
        <f>Entrate_Uscite!X19</f>
        <v>25040150.75</v>
      </c>
      <c r="M19" s="41">
        <f t="shared" si="2"/>
        <v>99.876739005397638</v>
      </c>
    </row>
    <row r="20" spans="1:13" x14ac:dyDescent="0.3">
      <c r="A20" s="43" t="s">
        <v>37</v>
      </c>
      <c r="B20" s="44">
        <f t="shared" ref="B20:I20" si="13">B5+B11+B15+B17+B18+B19</f>
        <v>181965421.97999999</v>
      </c>
      <c r="C20" s="44">
        <f t="shared" si="13"/>
        <v>193789033.93000001</v>
      </c>
      <c r="D20" s="44">
        <f t="shared" si="13"/>
        <v>155824780.00999999</v>
      </c>
      <c r="E20" s="44">
        <f t="shared" si="13"/>
        <v>160121369.92999995</v>
      </c>
      <c r="F20" s="44">
        <f t="shared" si="13"/>
        <v>163694372</v>
      </c>
      <c r="G20" s="44">
        <f t="shared" ref="G20:H20" si="14">G5+G11+G15+G17+G18+G19</f>
        <v>183076825.10000002</v>
      </c>
      <c r="H20" s="44">
        <f t="shared" si="14"/>
        <v>191870172.10000002</v>
      </c>
      <c r="I20" s="44">
        <f t="shared" si="13"/>
        <v>209419199.82000005</v>
      </c>
      <c r="J20" s="44"/>
      <c r="K20" s="120">
        <f t="shared" si="1"/>
        <v>9.1463032153083788</v>
      </c>
      <c r="L20" s="44">
        <f>L5+L11+L15+L17+L18+L19</f>
        <v>148573188.67000002</v>
      </c>
      <c r="M20" s="45">
        <f t="shared" si="2"/>
        <v>70.945352096513417</v>
      </c>
    </row>
    <row r="21" spans="1:13" x14ac:dyDescent="0.3">
      <c r="A21" s="35" t="s">
        <v>38</v>
      </c>
      <c r="B21" s="46">
        <f t="shared" ref="B21:I21" si="15">B20-B19</f>
        <v>161372749.34999999</v>
      </c>
      <c r="C21" s="46">
        <f t="shared" si="15"/>
        <v>173572590.24000001</v>
      </c>
      <c r="D21" s="46">
        <f t="shared" si="15"/>
        <v>136246661.82999998</v>
      </c>
      <c r="E21" s="46">
        <f t="shared" si="15"/>
        <v>140790481.94999996</v>
      </c>
      <c r="F21" s="46">
        <f t="shared" si="15"/>
        <v>144897426.19999999</v>
      </c>
      <c r="G21" s="46">
        <f t="shared" ref="G21:H21" si="16">G20-G19</f>
        <v>165382951.11000001</v>
      </c>
      <c r="H21" s="46">
        <f t="shared" si="16"/>
        <v>170147985.31000003</v>
      </c>
      <c r="I21" s="46">
        <f t="shared" si="15"/>
        <v>184348146.24000007</v>
      </c>
      <c r="J21" s="46">
        <f t="shared" si="0"/>
        <v>100</v>
      </c>
      <c r="K21" s="47">
        <f t="shared" si="1"/>
        <v>8.3457708324480961</v>
      </c>
      <c r="L21" s="46">
        <f>L20-L19</f>
        <v>123533037.92000002</v>
      </c>
      <c r="M21" s="48">
        <f t="shared" si="2"/>
        <v>67.010729665366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opLeftCell="B1" workbookViewId="0">
      <selection activeCell="K1" sqref="K1:K31"/>
    </sheetView>
  </sheetViews>
  <sheetFormatPr defaultRowHeight="14.4" x14ac:dyDescent="0.3"/>
  <cols>
    <col min="1" max="1" width="50.6640625" bestFit="1" customWidth="1"/>
    <col min="2" max="3" width="12.5546875" bestFit="1" customWidth="1"/>
    <col min="4" max="8" width="12.5546875" style="102" bestFit="1" customWidth="1"/>
    <col min="9" max="9" width="12.5546875" bestFit="1" customWidth="1"/>
    <col min="10" max="10" width="8.5546875" customWidth="1"/>
    <col min="11" max="11" width="6.5546875" style="102" customWidth="1"/>
    <col min="12" max="12" width="12.5546875" bestFit="1" customWidth="1"/>
    <col min="13" max="13" width="7" bestFit="1" customWidth="1"/>
  </cols>
  <sheetData>
    <row r="1" spans="1:13" ht="28.8" x14ac:dyDescent="0.3">
      <c r="A1" s="38"/>
      <c r="B1" s="39">
        <v>2016</v>
      </c>
      <c r="C1" s="39">
        <v>2017</v>
      </c>
      <c r="D1" s="121">
        <v>2018</v>
      </c>
      <c r="E1" s="121">
        <v>2019</v>
      </c>
      <c r="F1" s="121">
        <v>2020</v>
      </c>
      <c r="G1" s="121">
        <v>2021</v>
      </c>
      <c r="H1" s="121">
        <v>2022</v>
      </c>
      <c r="I1" s="121">
        <v>2023</v>
      </c>
      <c r="J1" s="122" t="s">
        <v>297</v>
      </c>
      <c r="K1" s="121" t="s">
        <v>233</v>
      </c>
      <c r="L1" s="122" t="s">
        <v>367</v>
      </c>
      <c r="M1" s="39" t="s">
        <v>339</v>
      </c>
    </row>
    <row r="2" spans="1:13" x14ac:dyDescent="0.3">
      <c r="A2" s="53" t="s">
        <v>270</v>
      </c>
      <c r="B2" s="50">
        <f>Entrate_Uscite!B23</f>
        <v>42179644.789999999</v>
      </c>
      <c r="C2" s="50">
        <f>Entrate_Uscite!E23</f>
        <v>41137948.560000002</v>
      </c>
      <c r="D2" s="118">
        <f>Entrate_Uscite!H23</f>
        <v>42584454.840000004</v>
      </c>
      <c r="E2" s="118">
        <f>Entrate_Uscite!K23</f>
        <v>42836143.859999999</v>
      </c>
      <c r="F2" s="118">
        <f>Entrate_Uscite!N23</f>
        <v>40216480.950000003</v>
      </c>
      <c r="G2" s="118">
        <f>Entrate_Uscite!Q23</f>
        <v>37785390.259999998</v>
      </c>
      <c r="H2" s="118">
        <f>Entrate_Uscite!T23</f>
        <v>40136512.719999999</v>
      </c>
      <c r="I2" s="50">
        <f>Entrate_Uscite!W23</f>
        <v>39520437.759999998</v>
      </c>
      <c r="J2" s="50">
        <f>I2/I$31*100</f>
        <v>21.089331499595641</v>
      </c>
      <c r="K2" s="51">
        <f>IF(H2&gt;0,I2/H2*100-100,"-")</f>
        <v>-1.5349488987692013</v>
      </c>
      <c r="L2" s="50">
        <f>Entrate_Uscite!X23</f>
        <v>38815208.149999999</v>
      </c>
      <c r="M2" s="52">
        <f>IF(I2&gt;0,L2/I2*100,"-")</f>
        <v>98.215531886861356</v>
      </c>
    </row>
    <row r="3" spans="1:13" x14ac:dyDescent="0.3">
      <c r="A3" s="53" t="s">
        <v>271</v>
      </c>
      <c r="B3" s="50">
        <f>Entrate_Uscite!B24</f>
        <v>2250792.12</v>
      </c>
      <c r="C3" s="50">
        <f>Entrate_Uscite!E24</f>
        <v>2262981.17</v>
      </c>
      <c r="D3" s="118">
        <f>Entrate_Uscite!H24</f>
        <v>2554375.38</v>
      </c>
      <c r="E3" s="118">
        <f>Entrate_Uscite!K24</f>
        <v>2683050.2200000002</v>
      </c>
      <c r="F3" s="118">
        <f>Entrate_Uscite!N24</f>
        <v>2465413.42</v>
      </c>
      <c r="G3" s="118">
        <f>Entrate_Uscite!Q24</f>
        <v>2398444.6800000002</v>
      </c>
      <c r="H3" s="118">
        <f>Entrate_Uscite!T24</f>
        <v>2431956.84</v>
      </c>
      <c r="I3" s="50">
        <f>Entrate_Uscite!W24</f>
        <v>2459936.2999999998</v>
      </c>
      <c r="J3" s="50">
        <f t="shared" ref="J3:J31" si="0">I3/I$31*100</f>
        <v>1.3126983160873962</v>
      </c>
      <c r="K3" s="51">
        <f t="shared" ref="K3:K31" si="1">IF(H3&gt;0,I3/H3*100-100,"-")</f>
        <v>1.1504916345472509</v>
      </c>
      <c r="L3" s="50">
        <f>Entrate_Uscite!X24</f>
        <v>2300494.96</v>
      </c>
      <c r="M3" s="52">
        <f>IF(I3&gt;0,L3/I3*100,"-")</f>
        <v>93.518476880885089</v>
      </c>
    </row>
    <row r="4" spans="1:13" x14ac:dyDescent="0.3">
      <c r="A4" s="53" t="s">
        <v>272</v>
      </c>
      <c r="B4" s="50">
        <f>Entrate_Uscite!B25</f>
        <v>64955209.090000004</v>
      </c>
      <c r="C4" s="50">
        <f>Entrate_Uscite!E25</f>
        <v>62872885.299999997</v>
      </c>
      <c r="D4" s="118">
        <f>Entrate_Uscite!H25</f>
        <v>40564923.340000004</v>
      </c>
      <c r="E4" s="118">
        <f>Entrate_Uscite!K25</f>
        <v>37650270.270000003</v>
      </c>
      <c r="F4" s="118">
        <f>Entrate_Uscite!N25</f>
        <v>38343302.130000003</v>
      </c>
      <c r="G4" s="118">
        <f>Entrate_Uscite!Q25</f>
        <v>58625781.630000003</v>
      </c>
      <c r="H4" s="118">
        <f>Entrate_Uscite!T25</f>
        <v>64638626.799999997</v>
      </c>
      <c r="I4" s="50">
        <f>Entrate_Uscite!W25</f>
        <v>65778409.100000001</v>
      </c>
      <c r="J4" s="50">
        <f t="shared" si="0"/>
        <v>35.1013995201737</v>
      </c>
      <c r="K4" s="51">
        <f t="shared" si="1"/>
        <v>1.7633145325420116</v>
      </c>
      <c r="L4" s="50">
        <f>Entrate_Uscite!X25</f>
        <v>45759210.57</v>
      </c>
      <c r="M4" s="52">
        <f t="shared" ref="M4:M9" si="2">IF(I4&gt;0,L4/I4*100,"-")</f>
        <v>69.565699742653095</v>
      </c>
    </row>
    <row r="5" spans="1:13" x14ac:dyDescent="0.3">
      <c r="A5" s="53" t="s">
        <v>273</v>
      </c>
      <c r="B5" s="50">
        <f>Entrate_Uscite!B26</f>
        <v>14286288.85</v>
      </c>
      <c r="C5" s="50">
        <f>Entrate_Uscite!E26</f>
        <v>13797796.560000001</v>
      </c>
      <c r="D5" s="118">
        <f>Entrate_Uscite!H26</f>
        <v>13935127.65</v>
      </c>
      <c r="E5" s="118">
        <f>Entrate_Uscite!K26</f>
        <v>14608953.970000001</v>
      </c>
      <c r="F5" s="118">
        <f>Entrate_Uscite!N26</f>
        <v>19462115.300000001</v>
      </c>
      <c r="G5" s="118">
        <f>Entrate_Uscite!Q26</f>
        <v>22178674.34</v>
      </c>
      <c r="H5" s="118">
        <f>Entrate_Uscite!T26</f>
        <v>15384459.9</v>
      </c>
      <c r="I5" s="50">
        <f>Entrate_Uscite!W26</f>
        <v>19949959.98</v>
      </c>
      <c r="J5" s="50">
        <f t="shared" si="0"/>
        <v>10.645917486463754</v>
      </c>
      <c r="K5" s="51">
        <f t="shared" si="1"/>
        <v>29.676050441003781</v>
      </c>
      <c r="L5" s="50">
        <f>Entrate_Uscite!X26</f>
        <v>10544510.83</v>
      </c>
      <c r="M5" s="52">
        <f t="shared" si="2"/>
        <v>52.854796904710376</v>
      </c>
    </row>
    <row r="6" spans="1:13" x14ac:dyDescent="0.3">
      <c r="A6" s="53" t="s">
        <v>274</v>
      </c>
      <c r="B6" s="50">
        <f>Entrate_Uscite!B27</f>
        <v>1734388.48</v>
      </c>
      <c r="C6" s="50">
        <f>Entrate_Uscite!E27</f>
        <v>8840082.5399999991</v>
      </c>
      <c r="D6" s="118">
        <f>Entrate_Uscite!H27</f>
        <v>3413852.6</v>
      </c>
      <c r="E6" s="118">
        <f>Entrate_Uscite!K27</f>
        <v>2935699.62</v>
      </c>
      <c r="F6" s="118">
        <f>Entrate_Uscite!N27</f>
        <v>1227454.01</v>
      </c>
      <c r="G6" s="118">
        <f>Entrate_Uscite!Q27</f>
        <v>1197047.8</v>
      </c>
      <c r="H6" s="118">
        <f>Entrate_Uscite!T27</f>
        <v>1708016.44</v>
      </c>
      <c r="I6" s="50">
        <f>Entrate_Uscite!W27</f>
        <v>1998402.24</v>
      </c>
      <c r="J6" s="50">
        <f t="shared" si="0"/>
        <v>1.0664094250380713</v>
      </c>
      <c r="K6" s="51">
        <f t="shared" si="1"/>
        <v>17.001346895700848</v>
      </c>
      <c r="L6" s="50">
        <f>Entrate_Uscite!X27</f>
        <v>1789835.46</v>
      </c>
      <c r="M6" s="52">
        <f t="shared" si="2"/>
        <v>89.563323347756054</v>
      </c>
    </row>
    <row r="7" spans="1:13" x14ac:dyDescent="0.3">
      <c r="A7" s="53" t="s">
        <v>275</v>
      </c>
      <c r="B7" s="50">
        <f>Entrate_Uscite!B28</f>
        <v>0</v>
      </c>
      <c r="C7" s="50">
        <f>Entrate_Uscite!E28</f>
        <v>0</v>
      </c>
      <c r="D7" s="118">
        <f>Entrate_Uscite!H28</f>
        <v>0</v>
      </c>
      <c r="E7" s="118">
        <f>Entrate_Uscite!K28</f>
        <v>30000</v>
      </c>
      <c r="F7" s="118">
        <f>Entrate_Uscite!N28</f>
        <v>0</v>
      </c>
      <c r="G7" s="118">
        <f>Entrate_Uscite!Q28</f>
        <v>0</v>
      </c>
      <c r="H7" s="118">
        <f>Entrate_Uscite!T28</f>
        <v>0</v>
      </c>
      <c r="I7" s="50">
        <f>Entrate_Uscite!W28</f>
        <v>0</v>
      </c>
      <c r="J7" s="50">
        <f t="shared" si="0"/>
        <v>0</v>
      </c>
      <c r="K7" s="51" t="str">
        <f t="shared" si="1"/>
        <v>-</v>
      </c>
      <c r="L7" s="50">
        <f>Entrate_Uscite!X28</f>
        <v>0</v>
      </c>
      <c r="M7" s="52" t="str">
        <f t="shared" si="2"/>
        <v>-</v>
      </c>
    </row>
    <row r="8" spans="1:13" x14ac:dyDescent="0.3">
      <c r="A8" s="53" t="s">
        <v>276</v>
      </c>
      <c r="B8" s="50">
        <f>Entrate_Uscite!B29</f>
        <v>3087464.54</v>
      </c>
      <c r="C8" s="50">
        <f>Entrate_Uscite!E29</f>
        <v>1483464.35</v>
      </c>
      <c r="D8" s="118">
        <f>Entrate_Uscite!H29</f>
        <v>2134639.62</v>
      </c>
      <c r="E8" s="118">
        <f>Entrate_Uscite!K29</f>
        <v>1442293.58</v>
      </c>
      <c r="F8" s="118">
        <f>Entrate_Uscite!N29</f>
        <v>522215.85</v>
      </c>
      <c r="G8" s="118">
        <f>Entrate_Uscite!Q29</f>
        <v>1488519.28</v>
      </c>
      <c r="H8" s="118">
        <f>Entrate_Uscite!T29</f>
        <v>276699.98</v>
      </c>
      <c r="I8" s="50">
        <f>Entrate_Uscite!W29</f>
        <v>320004.42</v>
      </c>
      <c r="J8" s="50">
        <f t="shared" si="0"/>
        <v>0.17076428494287593</v>
      </c>
      <c r="K8" s="51">
        <f t="shared" si="1"/>
        <v>15.650322779206576</v>
      </c>
      <c r="L8" s="50">
        <f>Entrate_Uscite!X29</f>
        <v>97290.89</v>
      </c>
      <c r="M8" s="52">
        <f t="shared" si="2"/>
        <v>30.402983183794774</v>
      </c>
    </row>
    <row r="9" spans="1:13" x14ac:dyDescent="0.3">
      <c r="A9" s="53" t="s">
        <v>277</v>
      </c>
      <c r="B9" s="50">
        <f>Entrate_Uscite!B30</f>
        <v>3194773.58</v>
      </c>
      <c r="C9" s="50">
        <f>Entrate_Uscite!E30</f>
        <v>2863467.86</v>
      </c>
      <c r="D9" s="118">
        <f>Entrate_Uscite!H30</f>
        <v>2812065.66</v>
      </c>
      <c r="E9" s="118">
        <f>Entrate_Uscite!K30</f>
        <v>2170372.2200000002</v>
      </c>
      <c r="F9" s="118">
        <f>Entrate_Uscite!N30</f>
        <v>1950980.29</v>
      </c>
      <c r="G9" s="118">
        <f>Entrate_Uscite!Q30</f>
        <v>2442398.86</v>
      </c>
      <c r="H9" s="118">
        <f>Entrate_Uscite!T30</f>
        <v>2157198.2799999998</v>
      </c>
      <c r="I9" s="50">
        <f>Entrate_Uscite!W30</f>
        <v>2340141</v>
      </c>
      <c r="J9" s="50">
        <f t="shared" si="0"/>
        <v>1.2487718279969588</v>
      </c>
      <c r="K9" s="51">
        <f t="shared" si="1"/>
        <v>8.4805704554891577</v>
      </c>
      <c r="L9" s="50">
        <f>Entrate_Uscite!X30</f>
        <v>1796929.57</v>
      </c>
      <c r="M9" s="52">
        <f t="shared" si="2"/>
        <v>76.78723504267478</v>
      </c>
    </row>
    <row r="10" spans="1:13" x14ac:dyDescent="0.3">
      <c r="A10" s="4" t="s">
        <v>282</v>
      </c>
      <c r="B10" s="40">
        <f t="shared" ref="B10:I10" si="3">SUM(B2:B9)</f>
        <v>131688561.45</v>
      </c>
      <c r="C10" s="40">
        <f t="shared" si="3"/>
        <v>133258626.33999999</v>
      </c>
      <c r="D10" s="40">
        <f t="shared" si="3"/>
        <v>107999439.09</v>
      </c>
      <c r="E10" s="40">
        <f t="shared" si="3"/>
        <v>104356783.73999999</v>
      </c>
      <c r="F10" s="40">
        <f t="shared" si="3"/>
        <v>104187961.95</v>
      </c>
      <c r="G10" s="40">
        <f t="shared" ref="G10:H10" si="4">SUM(G2:G9)</f>
        <v>126116256.84999999</v>
      </c>
      <c r="H10" s="40">
        <f t="shared" si="4"/>
        <v>126733470.96000001</v>
      </c>
      <c r="I10" s="40">
        <f t="shared" si="3"/>
        <v>132367290.8</v>
      </c>
      <c r="J10" s="40">
        <f t="shared" si="0"/>
        <v>70.635292360298394</v>
      </c>
      <c r="K10" s="107">
        <f t="shared" si="1"/>
        <v>4.4454079867962832</v>
      </c>
      <c r="L10" s="40">
        <f>SUM(L2:L9)</f>
        <v>101103480.42999999</v>
      </c>
      <c r="M10" s="41">
        <f t="shared" ref="M10:M17" si="5">IF(I10&gt;0,L10/I10*100,"-")</f>
        <v>76.381015142753071</v>
      </c>
    </row>
    <row r="11" spans="1:13" x14ac:dyDescent="0.3">
      <c r="A11" s="53" t="s">
        <v>278</v>
      </c>
      <c r="B11" s="50">
        <f>Entrate_Uscite!B32</f>
        <v>11622707</v>
      </c>
      <c r="C11" s="50">
        <f>Entrate_Uscite!E32</f>
        <v>17468629.57</v>
      </c>
      <c r="D11" s="118">
        <f>Entrate_Uscite!H32</f>
        <v>23239769.370000001</v>
      </c>
      <c r="E11" s="118">
        <f>Entrate_Uscite!K32</f>
        <v>24858056.710000001</v>
      </c>
      <c r="F11" s="118">
        <f>Entrate_Uscite!N32</f>
        <v>22463245.469999999</v>
      </c>
      <c r="G11" s="118">
        <f>Entrate_Uscite!Q32</f>
        <v>24564777.120000001</v>
      </c>
      <c r="H11" s="118">
        <f>Entrate_Uscite!T32</f>
        <v>28273529.640000001</v>
      </c>
      <c r="I11" s="50">
        <f>Entrate_Uscite!W32</f>
        <v>34065162.020000003</v>
      </c>
      <c r="J11" s="50">
        <f t="shared" si="0"/>
        <v>18.178227143889185</v>
      </c>
      <c r="K11" s="51">
        <f t="shared" si="1"/>
        <v>20.484292034788211</v>
      </c>
      <c r="L11" s="50">
        <f>Entrate_Uscite!X32</f>
        <v>27387830.359999999</v>
      </c>
      <c r="M11" s="52">
        <f t="shared" si="5"/>
        <v>80.398356373353892</v>
      </c>
    </row>
    <row r="12" spans="1:13" x14ac:dyDescent="0.3">
      <c r="A12" s="53" t="s">
        <v>279</v>
      </c>
      <c r="B12" s="50">
        <f>Entrate_Uscite!B33</f>
        <v>1964210.35</v>
      </c>
      <c r="C12" s="50">
        <f>Entrate_Uscite!E33</f>
        <v>1672522.93</v>
      </c>
      <c r="D12" s="118">
        <f>Entrate_Uscite!H33</f>
        <v>1786781.6</v>
      </c>
      <c r="E12" s="118">
        <f>Entrate_Uscite!K33</f>
        <v>558218.17000000004</v>
      </c>
      <c r="F12" s="118">
        <f>Entrate_Uscite!N33</f>
        <v>720208.46</v>
      </c>
      <c r="G12" s="118">
        <f>Entrate_Uscite!Q33</f>
        <v>388091.82</v>
      </c>
      <c r="H12" s="118">
        <f>Entrate_Uscite!T33</f>
        <v>1559847.3</v>
      </c>
      <c r="I12" s="50">
        <f>Entrate_Uscite!W33</f>
        <v>1275831.81</v>
      </c>
      <c r="J12" s="50">
        <f t="shared" si="0"/>
        <v>0.68082342969520593</v>
      </c>
      <c r="K12" s="51">
        <f t="shared" si="1"/>
        <v>-18.2079034274701</v>
      </c>
      <c r="L12" s="50">
        <f>Entrate_Uscite!X33</f>
        <v>874407.14</v>
      </c>
      <c r="M12" s="52">
        <f t="shared" si="5"/>
        <v>68.536239114464465</v>
      </c>
    </row>
    <row r="13" spans="1:13" x14ac:dyDescent="0.3">
      <c r="A13" s="53" t="s">
        <v>280</v>
      </c>
      <c r="B13" s="50">
        <f>Entrate_Uscite!B34</f>
        <v>0</v>
      </c>
      <c r="C13" s="50">
        <f>Entrate_Uscite!E34</f>
        <v>0</v>
      </c>
      <c r="D13" s="118">
        <f>Entrate_Uscite!H34</f>
        <v>0</v>
      </c>
      <c r="E13" s="118">
        <f>Entrate_Uscite!K34</f>
        <v>0</v>
      </c>
      <c r="F13" s="118">
        <f>Entrate_Uscite!N34</f>
        <v>0</v>
      </c>
      <c r="G13" s="118">
        <f>Entrate_Uscite!Q34</f>
        <v>0</v>
      </c>
      <c r="H13" s="118">
        <f>Entrate_Uscite!T34</f>
        <v>0</v>
      </c>
      <c r="I13" s="50">
        <f>Entrate_Uscite!W34</f>
        <v>0</v>
      </c>
      <c r="J13" s="50">
        <f t="shared" si="0"/>
        <v>0</v>
      </c>
      <c r="K13" s="51" t="str">
        <f t="shared" si="1"/>
        <v>-</v>
      </c>
      <c r="L13" s="50">
        <f>Entrate_Uscite!X34</f>
        <v>0</v>
      </c>
      <c r="M13" s="52" t="str">
        <f t="shared" si="5"/>
        <v>-</v>
      </c>
    </row>
    <row r="14" spans="1:13" x14ac:dyDescent="0.3">
      <c r="A14" s="53" t="s">
        <v>281</v>
      </c>
      <c r="B14" s="50">
        <f>Entrate_Uscite!B35</f>
        <v>599158.11</v>
      </c>
      <c r="C14" s="50">
        <f>Entrate_Uscite!E35</f>
        <v>378139.72</v>
      </c>
      <c r="D14" s="118">
        <f>Entrate_Uscite!H35</f>
        <v>476231.64</v>
      </c>
      <c r="E14" s="118">
        <f>Entrate_Uscite!K35</f>
        <v>71126.81</v>
      </c>
      <c r="F14" s="118">
        <f>Entrate_Uscite!N35</f>
        <v>132781.68</v>
      </c>
      <c r="G14" s="118">
        <f>Entrate_Uscite!Q35</f>
        <v>89831.37</v>
      </c>
      <c r="H14" s="118">
        <f>Entrate_Uscite!T35</f>
        <v>90103.23</v>
      </c>
      <c r="I14" s="50">
        <f>Entrate_Uscite!W35</f>
        <v>184437.14</v>
      </c>
      <c r="J14" s="50">
        <f t="shared" si="0"/>
        <v>9.8421379082854851E-2</v>
      </c>
      <c r="K14" s="51">
        <f t="shared" si="1"/>
        <v>104.69536996620437</v>
      </c>
      <c r="L14" s="50">
        <f>Entrate_Uscite!X35</f>
        <v>131997.69</v>
      </c>
      <c r="M14" s="52">
        <f t="shared" si="5"/>
        <v>71.567846909792678</v>
      </c>
    </row>
    <row r="15" spans="1:13" x14ac:dyDescent="0.3">
      <c r="A15" s="4" t="s">
        <v>283</v>
      </c>
      <c r="B15" s="42">
        <f t="shared" ref="B15:I15" si="6">SUM(B11:B14)</f>
        <v>14186075.459999999</v>
      </c>
      <c r="C15" s="42">
        <f t="shared" si="6"/>
        <v>19519292.219999999</v>
      </c>
      <c r="D15" s="42">
        <f t="shared" si="6"/>
        <v>25502782.610000003</v>
      </c>
      <c r="E15" s="42">
        <f t="shared" si="6"/>
        <v>25487401.690000001</v>
      </c>
      <c r="F15" s="42">
        <f t="shared" si="6"/>
        <v>23316235.609999999</v>
      </c>
      <c r="G15" s="42">
        <f t="shared" ref="G15:H15" si="7">SUM(G11:G14)</f>
        <v>25042700.310000002</v>
      </c>
      <c r="H15" s="42">
        <f t="shared" si="7"/>
        <v>29923480.170000002</v>
      </c>
      <c r="I15" s="42">
        <f t="shared" si="6"/>
        <v>35525430.970000006</v>
      </c>
      <c r="J15" s="42">
        <f t="shared" si="0"/>
        <v>18.957471952667248</v>
      </c>
      <c r="K15" s="107">
        <f t="shared" si="1"/>
        <v>18.720920053999194</v>
      </c>
      <c r="L15" s="42">
        <f>SUM(L11:L14)</f>
        <v>28394235.190000001</v>
      </c>
      <c r="M15" s="41">
        <f t="shared" si="5"/>
        <v>79.926504520037909</v>
      </c>
    </row>
    <row r="16" spans="1:13" x14ac:dyDescent="0.3">
      <c r="A16" s="53" t="s">
        <v>284</v>
      </c>
      <c r="B16" s="50">
        <f>Entrate_Uscite!B36</f>
        <v>0</v>
      </c>
      <c r="C16" s="50">
        <f>Entrate_Uscite!E36</f>
        <v>0</v>
      </c>
      <c r="D16" s="118">
        <f>Entrate_Uscite!H36</f>
        <v>356.65</v>
      </c>
      <c r="E16" s="118">
        <f>Entrate_Uscite!K36</f>
        <v>0</v>
      </c>
      <c r="F16" s="118">
        <f>Entrate_Uscite!N36</f>
        <v>0</v>
      </c>
      <c r="G16" s="118">
        <f>Entrate_Uscite!Q36</f>
        <v>0</v>
      </c>
      <c r="H16" s="118">
        <f>Entrate_Uscite!T36</f>
        <v>0</v>
      </c>
      <c r="I16" s="50">
        <f>Entrate_Uscite!W36</f>
        <v>0</v>
      </c>
      <c r="J16" s="50">
        <f t="shared" si="0"/>
        <v>0</v>
      </c>
      <c r="K16" s="51" t="str">
        <f t="shared" si="1"/>
        <v>-</v>
      </c>
      <c r="L16" s="50">
        <f>Entrate_Uscite!X36</f>
        <v>0</v>
      </c>
      <c r="M16" s="52" t="str">
        <f t="shared" si="5"/>
        <v>-</v>
      </c>
    </row>
    <row r="17" spans="1:13" x14ac:dyDescent="0.3">
      <c r="A17" s="53" t="s">
        <v>285</v>
      </c>
      <c r="B17" s="50">
        <f>Entrate_Uscite!B37</f>
        <v>0</v>
      </c>
      <c r="C17" s="50">
        <f>Entrate_Uscite!E37</f>
        <v>0</v>
      </c>
      <c r="D17" s="118">
        <f>Entrate_Uscite!H37</f>
        <v>0</v>
      </c>
      <c r="E17" s="118">
        <f>Entrate_Uscite!K37</f>
        <v>0</v>
      </c>
      <c r="F17" s="118">
        <f>Entrate_Uscite!N37</f>
        <v>0</v>
      </c>
      <c r="G17" s="118">
        <f>Entrate_Uscite!Q37</f>
        <v>0</v>
      </c>
      <c r="H17" s="118">
        <f>Entrate_Uscite!T37</f>
        <v>0</v>
      </c>
      <c r="I17" s="50">
        <f>Entrate_Uscite!W37</f>
        <v>0</v>
      </c>
      <c r="J17" s="50">
        <f t="shared" si="0"/>
        <v>0</v>
      </c>
      <c r="K17" s="51" t="str">
        <f t="shared" si="1"/>
        <v>-</v>
      </c>
      <c r="L17" s="50">
        <f>Entrate_Uscite!X37</f>
        <v>0</v>
      </c>
      <c r="M17" s="52" t="str">
        <f t="shared" si="5"/>
        <v>-</v>
      </c>
    </row>
    <row r="18" spans="1:13" x14ac:dyDescent="0.3">
      <c r="A18" s="53" t="s">
        <v>286</v>
      </c>
      <c r="B18" s="50">
        <f>Entrate_Uscite!B38</f>
        <v>0</v>
      </c>
      <c r="C18" s="50">
        <f>Entrate_Uscite!E38</f>
        <v>0</v>
      </c>
      <c r="D18" s="118">
        <f>Entrate_Uscite!H38</f>
        <v>0</v>
      </c>
      <c r="E18" s="118">
        <f>Entrate_Uscite!K38</f>
        <v>0</v>
      </c>
      <c r="F18" s="118">
        <f>Entrate_Uscite!N38</f>
        <v>0</v>
      </c>
      <c r="G18" s="118">
        <f>Entrate_Uscite!Q38</f>
        <v>0</v>
      </c>
      <c r="H18" s="118">
        <f>Entrate_Uscite!T38</f>
        <v>0</v>
      </c>
      <c r="I18" s="50">
        <f>Entrate_Uscite!W38</f>
        <v>0</v>
      </c>
      <c r="J18" s="50">
        <f t="shared" si="0"/>
        <v>0</v>
      </c>
      <c r="K18" s="51" t="str">
        <f t="shared" si="1"/>
        <v>-</v>
      </c>
      <c r="L18" s="50">
        <f>Entrate_Uscite!X38</f>
        <v>0</v>
      </c>
      <c r="M18" s="52" t="str">
        <f t="shared" ref="M18:M26" si="8">IF(I18&gt;0,L18/I18*100,"-")</f>
        <v>-</v>
      </c>
    </row>
    <row r="19" spans="1:13" x14ac:dyDescent="0.3">
      <c r="A19" s="53" t="s">
        <v>287</v>
      </c>
      <c r="B19" s="50">
        <f>Entrate_Uscite!B39</f>
        <v>1382840.7</v>
      </c>
      <c r="C19" s="50">
        <f>Entrate_Uscite!E39</f>
        <v>0</v>
      </c>
      <c r="D19" s="118">
        <f>Entrate_Uscite!H39</f>
        <v>0</v>
      </c>
      <c r="E19" s="118">
        <f>Entrate_Uscite!K39</f>
        <v>994354.2</v>
      </c>
      <c r="F19" s="118">
        <f>Entrate_Uscite!N39</f>
        <v>2700000</v>
      </c>
      <c r="G19" s="118">
        <f>Entrate_Uscite!Q39</f>
        <v>5170000</v>
      </c>
      <c r="H19" s="118">
        <f>Entrate_Uscite!T39</f>
        <v>1000000</v>
      </c>
      <c r="I19" s="50">
        <f>Entrate_Uscite!W39</f>
        <v>9028990.8900000006</v>
      </c>
      <c r="J19" s="50">
        <f t="shared" si="0"/>
        <v>4.8181496152040371</v>
      </c>
      <c r="K19" s="51">
        <f t="shared" si="1"/>
        <v>802.89908900000012</v>
      </c>
      <c r="L19" s="50">
        <f>Entrate_Uscite!X39</f>
        <v>0</v>
      </c>
      <c r="M19" s="52">
        <f t="shared" si="8"/>
        <v>0</v>
      </c>
    </row>
    <row r="20" spans="1:13" x14ac:dyDescent="0.3">
      <c r="A20" s="4" t="s">
        <v>288</v>
      </c>
      <c r="B20" s="40">
        <f t="shared" ref="B20:I20" si="9">SUM(B16:B19)</f>
        <v>1382840.7</v>
      </c>
      <c r="C20" s="40">
        <f t="shared" si="9"/>
        <v>0</v>
      </c>
      <c r="D20" s="40">
        <f t="shared" si="9"/>
        <v>356.65</v>
      </c>
      <c r="E20" s="40">
        <f t="shared" si="9"/>
        <v>994354.2</v>
      </c>
      <c r="F20" s="40">
        <f t="shared" si="9"/>
        <v>2700000</v>
      </c>
      <c r="G20" s="40">
        <f t="shared" ref="G20:H20" si="10">SUM(G16:G19)</f>
        <v>5170000</v>
      </c>
      <c r="H20" s="40">
        <f t="shared" si="10"/>
        <v>1000000</v>
      </c>
      <c r="I20" s="40">
        <f t="shared" si="9"/>
        <v>9028990.8900000006</v>
      </c>
      <c r="J20" s="40">
        <f t="shared" si="0"/>
        <v>4.8181496152040371</v>
      </c>
      <c r="K20" s="107">
        <f t="shared" si="1"/>
        <v>802.89908900000012</v>
      </c>
      <c r="L20" s="40">
        <f>SUM(L16:L19)</f>
        <v>0</v>
      </c>
      <c r="M20" s="37">
        <f t="shared" si="8"/>
        <v>0</v>
      </c>
    </row>
    <row r="21" spans="1:13" x14ac:dyDescent="0.3">
      <c r="A21" s="43" t="s">
        <v>349</v>
      </c>
      <c r="B21" s="44">
        <f t="shared" ref="B21:I21" si="11">B10+B15+B20</f>
        <v>147257477.60999998</v>
      </c>
      <c r="C21" s="44">
        <f t="shared" si="11"/>
        <v>152777918.56</v>
      </c>
      <c r="D21" s="44">
        <f t="shared" si="11"/>
        <v>133502578.35000001</v>
      </c>
      <c r="E21" s="44">
        <f t="shared" si="11"/>
        <v>130838539.63</v>
      </c>
      <c r="F21" s="44">
        <f t="shared" si="11"/>
        <v>130204197.56</v>
      </c>
      <c r="G21" s="44">
        <f t="shared" ref="G21:H21" si="12">G10+G15+G20</f>
        <v>156328957.16</v>
      </c>
      <c r="H21" s="44">
        <f t="shared" si="12"/>
        <v>157656951.13</v>
      </c>
      <c r="I21" s="44">
        <f t="shared" si="11"/>
        <v>176921712.66000003</v>
      </c>
      <c r="J21" s="44">
        <f>I21/I$31*100</f>
        <v>94.410913928169691</v>
      </c>
      <c r="K21" s="120">
        <f t="shared" si="1"/>
        <v>12.219417787747773</v>
      </c>
      <c r="L21" s="44">
        <f>L10+L15+L20</f>
        <v>129497715.61999999</v>
      </c>
      <c r="M21" s="45">
        <f>IF(I21&gt;0,L21/I21*100,"-")</f>
        <v>73.194925412497398</v>
      </c>
    </row>
    <row r="22" spans="1:13" x14ac:dyDescent="0.3">
      <c r="A22" s="53" t="s">
        <v>289</v>
      </c>
      <c r="B22" s="54">
        <f>Entrate_Uscite!B40</f>
        <v>2477503.37</v>
      </c>
      <c r="C22" s="54">
        <f>Entrate_Uscite!E40</f>
        <v>2557902.19</v>
      </c>
      <c r="D22" s="54">
        <f>Entrate_Uscite!H40</f>
        <v>2640726.9700000002</v>
      </c>
      <c r="E22" s="54">
        <f>Entrate_Uscite!K40</f>
        <v>2726839.47</v>
      </c>
      <c r="F22" s="54">
        <f>Entrate_Uscite!N40</f>
        <v>2815705.8</v>
      </c>
      <c r="G22" s="54">
        <f>Entrate_Uscite!Q40</f>
        <v>2907527.47</v>
      </c>
      <c r="H22" s="54">
        <f>Entrate_Uscite!T40</f>
        <v>3002565.44</v>
      </c>
      <c r="I22" s="54">
        <f>Entrate_Uscite!W40</f>
        <v>3100819.71</v>
      </c>
      <c r="J22" s="54">
        <f t="shared" si="0"/>
        <v>1.6546935836540193</v>
      </c>
      <c r="K22" s="55">
        <f t="shared" si="1"/>
        <v>3.2723439992701628</v>
      </c>
      <c r="L22" s="54">
        <f>Entrate_Uscite!X40</f>
        <v>0</v>
      </c>
      <c r="M22" s="52">
        <f t="shared" si="8"/>
        <v>0</v>
      </c>
    </row>
    <row r="23" spans="1:13" x14ac:dyDescent="0.3">
      <c r="A23" s="53" t="s">
        <v>290</v>
      </c>
      <c r="B23" s="54">
        <f>Entrate_Uscite!B41</f>
        <v>0</v>
      </c>
      <c r="C23" s="54">
        <f>Entrate_Uscite!E41</f>
        <v>0</v>
      </c>
      <c r="D23" s="54">
        <f>Entrate_Uscite!H41</f>
        <v>0</v>
      </c>
      <c r="E23" s="54">
        <f>Entrate_Uscite!K41</f>
        <v>0</v>
      </c>
      <c r="F23" s="54">
        <f>Entrate_Uscite!N41</f>
        <v>0</v>
      </c>
      <c r="G23" s="54">
        <f>Entrate_Uscite!Q41</f>
        <v>0</v>
      </c>
      <c r="H23" s="54">
        <f>Entrate_Uscite!T41</f>
        <v>0</v>
      </c>
      <c r="I23" s="54">
        <f>Entrate_Uscite!W41</f>
        <v>0</v>
      </c>
      <c r="J23" s="54">
        <f t="shared" si="0"/>
        <v>0</v>
      </c>
      <c r="K23" s="55" t="str">
        <f t="shared" si="1"/>
        <v>-</v>
      </c>
      <c r="L23" s="54">
        <f>Entrate_Uscite!X41</f>
        <v>0</v>
      </c>
      <c r="M23" s="52" t="str">
        <f t="shared" si="8"/>
        <v>-</v>
      </c>
    </row>
    <row r="24" spans="1:13" x14ac:dyDescent="0.3">
      <c r="A24" s="53" t="s">
        <v>291</v>
      </c>
      <c r="B24" s="54">
        <f>Entrate_Uscite!B42</f>
        <v>4754641.18</v>
      </c>
      <c r="C24" s="54">
        <f>Entrate_Uscite!E42</f>
        <v>6219674.8799999999</v>
      </c>
      <c r="D24" s="54">
        <f>Entrate_Uscite!H42</f>
        <v>5591782.75</v>
      </c>
      <c r="E24" s="54">
        <f>Entrate_Uscite!K42</f>
        <v>6077158.7400000002</v>
      </c>
      <c r="F24" s="54">
        <f>Entrate_Uscite!N42</f>
        <v>3943334.1</v>
      </c>
      <c r="G24" s="54">
        <f>Entrate_Uscite!Q42</f>
        <v>5270026.8499999996</v>
      </c>
      <c r="H24" s="54">
        <f>Entrate_Uscite!T42</f>
        <v>7289213.7300000004</v>
      </c>
      <c r="I24" s="54">
        <f>Entrate_Uscite!W42</f>
        <v>7372870.6600000001</v>
      </c>
      <c r="J24" s="54">
        <f t="shared" si="0"/>
        <v>3.9343924881762873</v>
      </c>
      <c r="K24" s="55">
        <f t="shared" si="1"/>
        <v>1.1476811230777315</v>
      </c>
      <c r="L24" s="54">
        <f>Entrate_Uscite!X42</f>
        <v>0</v>
      </c>
      <c r="M24" s="52">
        <f t="shared" si="8"/>
        <v>0</v>
      </c>
    </row>
    <row r="25" spans="1:13" x14ac:dyDescent="0.3">
      <c r="A25" s="53" t="s">
        <v>292</v>
      </c>
      <c r="B25" s="54">
        <f>Entrate_Uscite!B43</f>
        <v>0</v>
      </c>
      <c r="C25" s="54">
        <f>Entrate_Uscite!E43</f>
        <v>0</v>
      </c>
      <c r="D25" s="54">
        <f>Entrate_Uscite!H43</f>
        <v>0</v>
      </c>
      <c r="E25" s="54">
        <f>Entrate_Uscite!K43</f>
        <v>0</v>
      </c>
      <c r="F25" s="54">
        <f>Entrate_Uscite!N43</f>
        <v>0</v>
      </c>
      <c r="G25" s="54">
        <f>Entrate_Uscite!Q43</f>
        <v>0</v>
      </c>
      <c r="H25" s="54">
        <f>Entrate_Uscite!T43</f>
        <v>0</v>
      </c>
      <c r="I25" s="54">
        <f>Entrate_Uscite!W43</f>
        <v>0</v>
      </c>
      <c r="J25" s="54">
        <f t="shared" si="0"/>
        <v>0</v>
      </c>
      <c r="K25" s="55" t="str">
        <f t="shared" si="1"/>
        <v>-</v>
      </c>
      <c r="L25" s="54">
        <f>Entrate_Uscite!X43</f>
        <v>0</v>
      </c>
      <c r="M25" s="52" t="str">
        <f t="shared" si="8"/>
        <v>-</v>
      </c>
    </row>
    <row r="26" spans="1:13" x14ac:dyDescent="0.3">
      <c r="A26" s="53" t="s">
        <v>293</v>
      </c>
      <c r="B26" s="54">
        <f>Entrate_Uscite!B44</f>
        <v>0</v>
      </c>
      <c r="C26" s="54">
        <f>Entrate_Uscite!E44</f>
        <v>0</v>
      </c>
      <c r="D26" s="54">
        <f>Entrate_Uscite!H44</f>
        <v>0</v>
      </c>
      <c r="E26" s="54">
        <f>Entrate_Uscite!K44</f>
        <v>0</v>
      </c>
      <c r="F26" s="54">
        <f>Entrate_Uscite!N44</f>
        <v>0</v>
      </c>
      <c r="G26" s="54">
        <f>Entrate_Uscite!Q44</f>
        <v>0</v>
      </c>
      <c r="H26" s="54">
        <f>Entrate_Uscite!T44</f>
        <v>0</v>
      </c>
      <c r="I26" s="54">
        <f>Entrate_Uscite!W44</f>
        <v>0</v>
      </c>
      <c r="J26" s="54">
        <f t="shared" si="0"/>
        <v>0</v>
      </c>
      <c r="K26" s="55" t="str">
        <f t="shared" si="1"/>
        <v>-</v>
      </c>
      <c r="L26" s="54">
        <f>Entrate_Uscite!X44</f>
        <v>0</v>
      </c>
      <c r="M26" s="52" t="str">
        <f t="shared" si="8"/>
        <v>-</v>
      </c>
    </row>
    <row r="27" spans="1:13" x14ac:dyDescent="0.3">
      <c r="A27" s="4" t="s">
        <v>294</v>
      </c>
      <c r="B27" s="40">
        <f t="shared" ref="B27:I27" si="13">SUM(B22:B26)</f>
        <v>7232144.5499999998</v>
      </c>
      <c r="C27" s="40">
        <f t="shared" si="13"/>
        <v>8777577.0700000003</v>
      </c>
      <c r="D27" s="40">
        <f t="shared" si="13"/>
        <v>8232509.7200000007</v>
      </c>
      <c r="E27" s="40">
        <f t="shared" si="13"/>
        <v>8803998.2100000009</v>
      </c>
      <c r="F27" s="40">
        <f t="shared" si="13"/>
        <v>6759039.9000000004</v>
      </c>
      <c r="G27" s="40">
        <f t="shared" ref="G27" si="14">SUM(G22:G26)</f>
        <v>8177554.3200000003</v>
      </c>
      <c r="H27" s="40">
        <f t="shared" ref="H27" si="15">SUM(H22:H26)</f>
        <v>10291779.17</v>
      </c>
      <c r="I27" s="40">
        <f t="shared" si="13"/>
        <v>10473690.370000001</v>
      </c>
      <c r="J27" s="40">
        <f t="shared" si="0"/>
        <v>5.589086071830307</v>
      </c>
      <c r="K27" s="107">
        <f t="shared" si="1"/>
        <v>1.7675388967756049</v>
      </c>
      <c r="L27" s="40">
        <f>SUM(L22:L26)</f>
        <v>0</v>
      </c>
      <c r="M27" s="41">
        <f>IF(I27&gt;0,L27/I27*100,"-")</f>
        <v>0</v>
      </c>
    </row>
    <row r="28" spans="1:13" x14ac:dyDescent="0.3">
      <c r="A28" s="4" t="s">
        <v>295</v>
      </c>
      <c r="B28" s="40">
        <f>Entrate_Uscite!B52</f>
        <v>0</v>
      </c>
      <c r="C28" s="40">
        <f>Entrate_Uscite!E52</f>
        <v>0</v>
      </c>
      <c r="D28" s="40">
        <f>Entrate_Uscite!H52</f>
        <v>0</v>
      </c>
      <c r="E28" s="40">
        <f>Entrate_Uscite!K52</f>
        <v>0</v>
      </c>
      <c r="F28" s="40">
        <f>Entrate_Uscite!N52</f>
        <v>0</v>
      </c>
      <c r="G28" s="40">
        <f>Entrate_Uscite!Q52</f>
        <v>0</v>
      </c>
      <c r="H28" s="40">
        <f>Entrate_Uscite!T52</f>
        <v>0</v>
      </c>
      <c r="I28" s="40">
        <f>Entrate_Uscite!W52</f>
        <v>0</v>
      </c>
      <c r="J28" s="40">
        <f t="shared" si="0"/>
        <v>0</v>
      </c>
      <c r="K28" s="107" t="str">
        <f t="shared" si="1"/>
        <v>-</v>
      </c>
      <c r="L28" s="40">
        <f>Entrate_Uscite!X52</f>
        <v>0</v>
      </c>
      <c r="M28" s="41" t="str">
        <f>IF(I28&gt;0,L28/I28*100,"-")</f>
        <v>-</v>
      </c>
    </row>
    <row r="29" spans="1:13" x14ac:dyDescent="0.3">
      <c r="A29" s="4" t="s">
        <v>296</v>
      </c>
      <c r="B29" s="40">
        <f>Entrate_Uscite!B53</f>
        <v>20592672.630000003</v>
      </c>
      <c r="C29" s="40">
        <f>Entrate_Uscite!E53</f>
        <v>20216443.689999998</v>
      </c>
      <c r="D29" s="40">
        <f>Entrate_Uscite!H53</f>
        <v>19578118.18</v>
      </c>
      <c r="E29" s="40">
        <f>Entrate_Uscite!K53</f>
        <v>19330887.98</v>
      </c>
      <c r="F29" s="40">
        <f>Entrate_Uscite!N53</f>
        <v>18796945.799999997</v>
      </c>
      <c r="G29" s="40">
        <f>Entrate_Uscite!Q53</f>
        <v>17693873.989999998</v>
      </c>
      <c r="H29" s="40">
        <f>Entrate_Uscite!T53</f>
        <v>21722186.790000003</v>
      </c>
      <c r="I29" s="40">
        <f>Entrate_Uscite!W53</f>
        <v>25071053.579999998</v>
      </c>
      <c r="J29" s="40"/>
      <c r="K29" s="107">
        <f t="shared" si="1"/>
        <v>15.4168032085134</v>
      </c>
      <c r="L29" s="40">
        <f>Entrate_Uscite!X53</f>
        <v>24178676.850000001</v>
      </c>
      <c r="M29" s="41">
        <f>IF(I29&gt;0,L29/I29*100,"-")</f>
        <v>96.440609377852894</v>
      </c>
    </row>
    <row r="30" spans="1:13" x14ac:dyDescent="0.3">
      <c r="A30" s="43" t="s">
        <v>69</v>
      </c>
      <c r="B30" s="44">
        <f t="shared" ref="B30:I30" si="16">B10+B15+B20+B27+B28+B29</f>
        <v>175082294.78999999</v>
      </c>
      <c r="C30" s="44">
        <f t="shared" si="16"/>
        <v>181771939.31999999</v>
      </c>
      <c r="D30" s="44">
        <f t="shared" si="16"/>
        <v>161313206.25000003</v>
      </c>
      <c r="E30" s="44">
        <f t="shared" si="16"/>
        <v>158973425.81999999</v>
      </c>
      <c r="F30" s="44">
        <f t="shared" si="16"/>
        <v>155760183.25999999</v>
      </c>
      <c r="G30" s="44">
        <f t="shared" ref="G30:H30" si="17">G10+G15+G20+G27+G28+G29</f>
        <v>182200385.47</v>
      </c>
      <c r="H30" s="44">
        <f t="shared" si="17"/>
        <v>189670917.08999997</v>
      </c>
      <c r="I30" s="44">
        <f t="shared" si="16"/>
        <v>212466456.61000001</v>
      </c>
      <c r="J30" s="44"/>
      <c r="K30" s="120">
        <f t="shared" si="1"/>
        <v>12.018468550549272</v>
      </c>
      <c r="L30" s="44">
        <f>L10+L15+L20+L27+L28+L29</f>
        <v>153676392.47</v>
      </c>
      <c r="M30" s="45">
        <f>IF(I30&gt;0,L30/I30*100,"-")</f>
        <v>72.32971967527368</v>
      </c>
    </row>
    <row r="31" spans="1:13" x14ac:dyDescent="0.3">
      <c r="A31" s="35" t="s">
        <v>70</v>
      </c>
      <c r="B31" s="46">
        <f t="shared" ref="B31:I31" si="18">B30-B29</f>
        <v>154489622.16</v>
      </c>
      <c r="C31" s="46">
        <f t="shared" si="18"/>
        <v>161555495.63</v>
      </c>
      <c r="D31" s="46">
        <f t="shared" si="18"/>
        <v>141735088.07000002</v>
      </c>
      <c r="E31" s="46">
        <f t="shared" si="18"/>
        <v>139642537.84</v>
      </c>
      <c r="F31" s="46">
        <f t="shared" si="18"/>
        <v>136963237.45999998</v>
      </c>
      <c r="G31" s="46">
        <f t="shared" ref="G31:H31" si="19">G30-G29</f>
        <v>164506511.47999999</v>
      </c>
      <c r="H31" s="46">
        <f t="shared" si="19"/>
        <v>167948730.29999998</v>
      </c>
      <c r="I31" s="46">
        <f t="shared" si="18"/>
        <v>187395403.03000003</v>
      </c>
      <c r="J31" s="46">
        <f t="shared" si="0"/>
        <v>100</v>
      </c>
      <c r="K31" s="47">
        <f t="shared" si="1"/>
        <v>11.578934056401181</v>
      </c>
      <c r="L31" s="46">
        <f>L30-L29</f>
        <v>129497715.62</v>
      </c>
      <c r="M31" s="48">
        <f>IF(I31&gt;0,L31/I31*100,"-")</f>
        <v>69.103998030980932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J2" sqref="J2:J6"/>
    </sheetView>
  </sheetViews>
  <sheetFormatPr defaultRowHeight="14.4" x14ac:dyDescent="0.3"/>
  <cols>
    <col min="1" max="1" width="43.5546875" bestFit="1" customWidth="1"/>
    <col min="2" max="3" width="10.5546875" bestFit="1" customWidth="1"/>
    <col min="4" max="4" width="11.33203125" bestFit="1" customWidth="1"/>
    <col min="5" max="8" width="11.33203125" style="102" bestFit="1" customWidth="1"/>
    <col min="9" max="9" width="11.33203125" bestFit="1" customWidth="1"/>
    <col min="10" max="10" width="11.21875" bestFit="1" customWidth="1"/>
    <col min="11" max="11" width="11.33203125" bestFit="1" customWidth="1"/>
  </cols>
  <sheetData>
    <row r="1" spans="1:11" x14ac:dyDescent="0.3">
      <c r="A1" s="38"/>
      <c r="B1" s="121">
        <v>2016</v>
      </c>
      <c r="C1" s="121">
        <v>2017</v>
      </c>
      <c r="D1" s="121">
        <v>2018</v>
      </c>
      <c r="E1" s="121">
        <v>2019</v>
      </c>
      <c r="F1" s="121">
        <v>2020</v>
      </c>
      <c r="G1" s="121">
        <v>2021</v>
      </c>
      <c r="H1" s="121">
        <v>2022</v>
      </c>
      <c r="I1" s="121">
        <v>2023</v>
      </c>
      <c r="J1" s="121" t="s">
        <v>266</v>
      </c>
      <c r="K1" s="121" t="s">
        <v>340</v>
      </c>
    </row>
    <row r="2" spans="1:11" x14ac:dyDescent="0.3">
      <c r="A2" s="56" t="s">
        <v>298</v>
      </c>
      <c r="B2" s="58">
        <f>Entrate_Uscite!B56</f>
        <v>20459586.670000002</v>
      </c>
      <c r="C2" s="58">
        <f>Entrate_Uscite!E56</f>
        <v>23779286.850000009</v>
      </c>
      <c r="D2" s="58">
        <f>Entrate_Uscite!H56</f>
        <v>13936929.739999995</v>
      </c>
      <c r="E2" s="58">
        <f>Entrate_Uscite!K56</f>
        <v>17221565.11999999</v>
      </c>
      <c r="F2" s="58">
        <f>Entrate_Uscite!N56</f>
        <v>21984541.069999993</v>
      </c>
      <c r="G2" s="58">
        <f>Entrate_Uscite!Q56</f>
        <v>11080219.860000014</v>
      </c>
      <c r="H2" s="58">
        <f>Entrate_Uscite!T56</f>
        <v>10701333.330000013</v>
      </c>
      <c r="I2" s="58">
        <f>Entrate_Uscite!W56</f>
        <v>4326738.5000000149</v>
      </c>
      <c r="J2" s="58">
        <f>I2-H2</f>
        <v>-6374594.8299999982</v>
      </c>
      <c r="K2" s="58">
        <f>Entrate_Uscite!X56</f>
        <v>5419945.0100000054</v>
      </c>
    </row>
    <row r="3" spans="1:11" x14ac:dyDescent="0.3">
      <c r="A3" s="56" t="s">
        <v>72</v>
      </c>
      <c r="B3" s="59">
        <f>Entrate_Uscite!B57</f>
        <v>-8187155.629999999</v>
      </c>
      <c r="C3" s="59">
        <f>Entrate_Uscite!E57</f>
        <v>-3404615.1699999981</v>
      </c>
      <c r="D3" s="59">
        <f>Entrate_Uscite!H57</f>
        <v>-11192489.610000005</v>
      </c>
      <c r="E3" s="59">
        <f>Entrate_Uscite!K57</f>
        <v>-10635977.000000002</v>
      </c>
      <c r="F3" s="59">
        <f>Entrate_Uscite!N57</f>
        <v>-10631312.43</v>
      </c>
      <c r="G3" s="59">
        <f>Entrate_Uscite!Q57</f>
        <v>-8271339.7200000025</v>
      </c>
      <c r="H3" s="59">
        <f>Entrate_Uscite!T57</f>
        <v>-6316202.620000001</v>
      </c>
      <c r="I3" s="59">
        <f>Entrate_Uscite!W57</f>
        <v>-11396570.570000008</v>
      </c>
      <c r="J3" s="58">
        <f t="shared" ref="J3:J6" si="0">I3-H3</f>
        <v>-5080367.9500000067</v>
      </c>
      <c r="K3" s="58">
        <f>Entrate_Uscite!X57</f>
        <v>-16851897.469999999</v>
      </c>
    </row>
    <row r="4" spans="1:11" x14ac:dyDescent="0.3">
      <c r="A4" s="56" t="s">
        <v>301</v>
      </c>
      <c r="B4" s="59">
        <f>Entrate_Uscite!B16-Entrate_Uscite!B50</f>
        <v>0</v>
      </c>
      <c r="C4" s="59">
        <f>Entrate_Uscite!E16-Entrate_Uscite!E50</f>
        <v>0</v>
      </c>
      <c r="D4" s="59">
        <f>Entrate_Uscite!H16-Entrate_Uscite!H50</f>
        <v>-356.65</v>
      </c>
      <c r="E4" s="59">
        <f>Entrate_Uscite!K16-Entrate_Uscite!K50</f>
        <v>0</v>
      </c>
      <c r="F4" s="59">
        <f>Entrate_Uscite!N16-Entrate_Uscite!N50</f>
        <v>0</v>
      </c>
      <c r="G4" s="59">
        <f>Entrate_Uscite!Q16-Entrate_Uscite!Q50</f>
        <v>0</v>
      </c>
      <c r="H4" s="59">
        <f>Entrate_Uscite!T16-Entrate_Uscite!T50</f>
        <v>47752.300000000047</v>
      </c>
      <c r="I4" s="59">
        <f>Entrate_Uscite!W16-Entrate_Uscite!W50</f>
        <v>0</v>
      </c>
      <c r="J4" s="58">
        <f t="shared" si="0"/>
        <v>-47752.300000000047</v>
      </c>
      <c r="K4" s="59">
        <f>Entrate_Uscite!X16-Entrate_Uscite!X50</f>
        <v>0</v>
      </c>
    </row>
    <row r="5" spans="1:11" x14ac:dyDescent="0.3">
      <c r="A5" s="119" t="s">
        <v>299</v>
      </c>
      <c r="B5" s="60">
        <f>Entrate_Uscite!B58</f>
        <v>12272431.040000021</v>
      </c>
      <c r="C5" s="60">
        <f>Entrate_Uscite!E58</f>
        <v>20374671.680000007</v>
      </c>
      <c r="D5" s="60">
        <f>Entrate_Uscite!H58</f>
        <v>2744083.4799999744</v>
      </c>
      <c r="E5" s="60">
        <f>Entrate_Uscite!K58</f>
        <v>6585588.119999975</v>
      </c>
      <c r="F5" s="60">
        <f>Entrate_Uscite!N58</f>
        <v>11353228.639999986</v>
      </c>
      <c r="G5" s="60">
        <f>Entrate_Uscite!Q58</f>
        <v>2808880.1400000155</v>
      </c>
      <c r="H5" s="60">
        <f>Entrate_Uscite!T58</f>
        <v>4432883.0100000501</v>
      </c>
      <c r="I5" s="60">
        <f>Entrate_Uscite!W58</f>
        <v>-7069832.0699999928</v>
      </c>
      <c r="J5" s="60">
        <f t="shared" si="0"/>
        <v>-11502715.080000043</v>
      </c>
      <c r="K5" s="60">
        <f>Entrate_Uscite!X58</f>
        <v>-11431952.459999993</v>
      </c>
    </row>
    <row r="6" spans="1:11" x14ac:dyDescent="0.3">
      <c r="A6" s="35" t="s">
        <v>300</v>
      </c>
      <c r="B6" s="61">
        <f>Entrate_Uscite!B59</f>
        <v>6883127.1899999976</v>
      </c>
      <c r="C6" s="61">
        <f>Entrate_Uscite!E59</f>
        <v>12017094.610000014</v>
      </c>
      <c r="D6" s="61">
        <f>Entrate_Uscite!H59</f>
        <v>-5488426.2400000393</v>
      </c>
      <c r="E6" s="61">
        <f>Entrate_Uscite!K59</f>
        <v>1147944.1099999547</v>
      </c>
      <c r="F6" s="61">
        <f>Entrate_Uscite!N59</f>
        <v>7934188.7400000095</v>
      </c>
      <c r="G6" s="61">
        <f>Entrate_Uscite!Q59</f>
        <v>876439.63000002503</v>
      </c>
      <c r="H6" s="61">
        <f>Entrate_Uscite!T59</f>
        <v>2199255.0100000501</v>
      </c>
      <c r="I6" s="61">
        <f>Entrate_Uscite!W59</f>
        <v>-3047256.7899999619</v>
      </c>
      <c r="J6" s="61">
        <f t="shared" si="0"/>
        <v>-5246511.8000000119</v>
      </c>
      <c r="K6" s="61">
        <f>Entrate_Uscite!X59</f>
        <v>-15128443.699999988</v>
      </c>
    </row>
    <row r="7" spans="1:11" x14ac:dyDescent="0.3">
      <c r="J7" s="6"/>
    </row>
    <row r="8" spans="1:11" x14ac:dyDescent="0.3">
      <c r="J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J2" sqref="J2:J23"/>
    </sheetView>
  </sheetViews>
  <sheetFormatPr defaultRowHeight="14.4" x14ac:dyDescent="0.3"/>
  <cols>
    <col min="1" max="1" width="36.44140625" bestFit="1" customWidth="1"/>
    <col min="2" max="6" width="13.5546875" bestFit="1" customWidth="1"/>
    <col min="7" max="10" width="13.5546875" style="102" bestFit="1" customWidth="1"/>
    <col min="13" max="13" width="10" bestFit="1" customWidth="1"/>
  </cols>
  <sheetData>
    <row r="1" spans="1:10" x14ac:dyDescent="0.3">
      <c r="A1" s="38"/>
      <c r="B1" s="93">
        <v>2015</v>
      </c>
      <c r="C1" s="93">
        <v>2016</v>
      </c>
      <c r="D1" s="93">
        <v>2017</v>
      </c>
      <c r="E1" s="63">
        <v>2018</v>
      </c>
      <c r="F1" s="93">
        <v>2019</v>
      </c>
      <c r="G1" s="63">
        <v>2020</v>
      </c>
      <c r="H1" s="93">
        <v>2021</v>
      </c>
      <c r="I1" s="93">
        <v>2022</v>
      </c>
      <c r="J1" s="93">
        <v>2023</v>
      </c>
    </row>
    <row r="2" spans="1:10" x14ac:dyDescent="0.3">
      <c r="A2" t="s">
        <v>5</v>
      </c>
      <c r="B2" s="1">
        <v>40197354.880000003</v>
      </c>
      <c r="C2" s="1">
        <v>42892191.399999999</v>
      </c>
      <c r="D2" s="1">
        <v>50336973.509999998</v>
      </c>
      <c r="E2" s="1">
        <v>51513339.399999999</v>
      </c>
      <c r="F2" s="1">
        <v>50372356.140000001</v>
      </c>
      <c r="G2" s="103">
        <v>62387202.490000002</v>
      </c>
      <c r="H2" s="103">
        <v>70548795.909999996</v>
      </c>
      <c r="I2" s="103">
        <v>80478098.900000006</v>
      </c>
      <c r="J2" s="103">
        <v>58673671.409999996</v>
      </c>
    </row>
    <row r="3" spans="1:10" x14ac:dyDescent="0.3">
      <c r="A3" t="s">
        <v>6</v>
      </c>
      <c r="B3" s="1">
        <v>42360043.609999999</v>
      </c>
      <c r="C3" s="1">
        <v>48964645.850000001</v>
      </c>
      <c r="D3" s="1">
        <v>58174539.630000003</v>
      </c>
      <c r="E3" s="1">
        <v>46282233.390000001</v>
      </c>
      <c r="F3" s="1">
        <v>49231992.829999998</v>
      </c>
      <c r="G3" s="103">
        <v>54933727.090000004</v>
      </c>
      <c r="H3" s="103">
        <v>66054621.450000003</v>
      </c>
      <c r="I3" s="103">
        <v>66124964.170000002</v>
      </c>
      <c r="J3" s="103">
        <v>87449631.290000007</v>
      </c>
    </row>
    <row r="4" spans="1:10" x14ac:dyDescent="0.3">
      <c r="A4" t="s">
        <v>7</v>
      </c>
      <c r="B4" s="1">
        <v>23300695.420000002</v>
      </c>
      <c r="C4" s="1">
        <v>24072160.050000001</v>
      </c>
      <c r="D4" s="1">
        <v>29259013.649999999</v>
      </c>
      <c r="E4" s="1">
        <v>24352273.379999999</v>
      </c>
      <c r="F4" s="1">
        <v>24822790.010000002</v>
      </c>
      <c r="G4" s="103">
        <v>35519938.229999997</v>
      </c>
      <c r="H4" s="103">
        <v>54063081.210000001</v>
      </c>
      <c r="I4" s="103">
        <v>59828095.100000001</v>
      </c>
      <c r="J4" s="103">
        <v>57701843.710000001</v>
      </c>
    </row>
    <row r="5" spans="1:10" x14ac:dyDescent="0.3">
      <c r="A5" t="s">
        <v>8</v>
      </c>
      <c r="B5" s="1">
        <v>8609819.0999999996</v>
      </c>
      <c r="C5" s="1">
        <v>9745477.7699999996</v>
      </c>
      <c r="D5" s="1">
        <v>12764819.5</v>
      </c>
      <c r="E5" s="1">
        <v>11912990.279999999</v>
      </c>
      <c r="F5" s="1">
        <v>13251752.32</v>
      </c>
      <c r="G5" s="103">
        <v>17005005.73</v>
      </c>
      <c r="H5" s="103">
        <v>4220813.55</v>
      </c>
      <c r="I5" s="103">
        <v>5272265.3899999997</v>
      </c>
      <c r="J5" s="103">
        <v>2829149.66</v>
      </c>
    </row>
    <row r="6" spans="1:10" x14ac:dyDescent="0.3">
      <c r="A6" t="s">
        <v>9</v>
      </c>
      <c r="B6" s="1">
        <v>15412051.859999999</v>
      </c>
      <c r="C6" s="1">
        <v>13754528.07</v>
      </c>
      <c r="D6" s="1">
        <v>22401390.010000002</v>
      </c>
      <c r="E6" s="1">
        <v>21487148.129999999</v>
      </c>
      <c r="F6" s="1">
        <v>20312003.710000001</v>
      </c>
      <c r="G6" s="103">
        <v>21855179.559999999</v>
      </c>
      <c r="H6" s="103">
        <v>25998565.09</v>
      </c>
      <c r="I6" s="103">
        <v>39719605.009999998</v>
      </c>
      <c r="J6" s="103">
        <v>49296518.079999998</v>
      </c>
    </row>
    <row r="7" spans="1:10" x14ac:dyDescent="0.3">
      <c r="A7" s="4" t="s">
        <v>0</v>
      </c>
      <c r="B7" s="3">
        <f t="shared" ref="B7:J7" si="0">B2+B3-B4-B5-B6</f>
        <v>35234832.110000007</v>
      </c>
      <c r="C7" s="3">
        <f t="shared" si="0"/>
        <v>44284671.360000007</v>
      </c>
      <c r="D7" s="3">
        <f t="shared" si="0"/>
        <v>44086289.980000004</v>
      </c>
      <c r="E7" s="3">
        <f t="shared" si="0"/>
        <v>40043161</v>
      </c>
      <c r="F7" s="3">
        <f t="shared" si="0"/>
        <v>41217802.929999992</v>
      </c>
      <c r="G7" s="3">
        <f t="shared" ref="G7:I7" si="1">G2+G3-G4-G5-G6</f>
        <v>42940806.060000017</v>
      </c>
      <c r="H7" s="3">
        <f t="shared" si="1"/>
        <v>52320957.510000005</v>
      </c>
      <c r="I7" s="3">
        <f t="shared" si="1"/>
        <v>41783097.57</v>
      </c>
      <c r="J7" s="3">
        <f t="shared" si="0"/>
        <v>36295791.249999985</v>
      </c>
    </row>
    <row r="8" spans="1:10" x14ac:dyDescent="0.3">
      <c r="A8" t="s">
        <v>10</v>
      </c>
      <c r="B8" s="1">
        <v>8722993.9800000004</v>
      </c>
      <c r="C8" s="1">
        <v>12921570.68</v>
      </c>
      <c r="D8" s="1">
        <v>15583320.390000001</v>
      </c>
      <c r="E8" s="1">
        <v>18660384.210000001</v>
      </c>
      <c r="F8" s="1">
        <v>18386159.530000001</v>
      </c>
      <c r="G8" s="103">
        <v>17287597.489999998</v>
      </c>
      <c r="H8" s="103">
        <v>19301297.370000001</v>
      </c>
      <c r="I8" s="103">
        <v>18321911.390000001</v>
      </c>
      <c r="J8" s="103">
        <v>18945978.030000001</v>
      </c>
    </row>
    <row r="9" spans="1:10" x14ac:dyDescent="0.3">
      <c r="A9" t="s">
        <v>11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03">
        <v>0</v>
      </c>
      <c r="H9" s="103">
        <v>0</v>
      </c>
      <c r="I9" s="103">
        <v>0</v>
      </c>
      <c r="J9" s="103">
        <v>0</v>
      </c>
    </row>
    <row r="10" spans="1:10" x14ac:dyDescent="0.3">
      <c r="A10" t="s">
        <v>12</v>
      </c>
      <c r="B10" s="1">
        <v>0</v>
      </c>
      <c r="C10" s="1">
        <v>0</v>
      </c>
      <c r="D10" s="1">
        <v>0</v>
      </c>
      <c r="E10" s="1">
        <v>195852.72</v>
      </c>
      <c r="F10" s="1">
        <v>4578.8999999999996</v>
      </c>
      <c r="G10" s="103">
        <v>5578.9</v>
      </c>
      <c r="H10" s="103">
        <v>0</v>
      </c>
      <c r="I10" s="103">
        <v>0</v>
      </c>
      <c r="J10" s="103">
        <v>0</v>
      </c>
    </row>
    <row r="11" spans="1:10" x14ac:dyDescent="0.3">
      <c r="A11" t="s">
        <v>13</v>
      </c>
      <c r="B11" s="1">
        <v>1645000</v>
      </c>
      <c r="C11" s="1">
        <v>1869781.17</v>
      </c>
      <c r="D11" s="1">
        <v>3472376.48</v>
      </c>
      <c r="E11" s="1">
        <v>3156679.54</v>
      </c>
      <c r="F11" s="1">
        <v>3234279.54</v>
      </c>
      <c r="G11" s="103">
        <v>3334279.54</v>
      </c>
      <c r="H11" s="103">
        <v>2200000</v>
      </c>
      <c r="I11" s="103">
        <v>1220187.78</v>
      </c>
      <c r="J11" s="103">
        <v>1451412.49</v>
      </c>
    </row>
    <row r="12" spans="1:10" x14ac:dyDescent="0.3">
      <c r="A12" t="s">
        <v>14</v>
      </c>
      <c r="B12" s="1">
        <f>4444562.86+1237877.93</f>
        <v>5682440.79</v>
      </c>
      <c r="C12" s="1">
        <f>5633068.58+5988728.38</f>
        <v>11621796.960000001</v>
      </c>
      <c r="D12" s="1">
        <f>2139912+4018809.93</f>
        <v>6158721.9299999997</v>
      </c>
      <c r="E12" s="1">
        <v>3352699.58</v>
      </c>
      <c r="F12" s="1">
        <v>1737366.26</v>
      </c>
      <c r="G12" s="103">
        <v>943197.13</v>
      </c>
      <c r="H12" s="103">
        <v>1798769.49</v>
      </c>
      <c r="I12" s="103">
        <v>698167.77</v>
      </c>
      <c r="J12" s="103">
        <v>1207364.43</v>
      </c>
    </row>
    <row r="13" spans="1:10" x14ac:dyDescent="0.3">
      <c r="A13" s="4" t="s">
        <v>1</v>
      </c>
      <c r="B13" s="3">
        <f t="shared" ref="B13:J13" si="2">SUM(B8:B12)</f>
        <v>16050434.77</v>
      </c>
      <c r="C13" s="3">
        <f t="shared" si="2"/>
        <v>26413148.810000002</v>
      </c>
      <c r="D13" s="3">
        <f t="shared" si="2"/>
        <v>25214418.800000001</v>
      </c>
      <c r="E13" s="3">
        <f t="shared" si="2"/>
        <v>25365616.049999997</v>
      </c>
      <c r="F13" s="3">
        <f t="shared" si="2"/>
        <v>23362384.23</v>
      </c>
      <c r="G13" s="3">
        <f t="shared" ref="G13" si="3">SUM(G8:G12)</f>
        <v>21570653.059999995</v>
      </c>
      <c r="H13" s="3">
        <f t="shared" ref="H13" si="4">SUM(H8:H12)</f>
        <v>23300066.859999999</v>
      </c>
      <c r="I13" s="3">
        <f t="shared" ref="I13" si="5">SUM(I8:I12)</f>
        <v>20240266.940000001</v>
      </c>
      <c r="J13" s="3">
        <f t="shared" si="2"/>
        <v>21604754.949999999</v>
      </c>
    </row>
    <row r="14" spans="1:10" x14ac:dyDescent="0.3">
      <c r="A14" t="s">
        <v>16</v>
      </c>
      <c r="B14" s="1">
        <v>481902.81</v>
      </c>
      <c r="C14" s="1">
        <v>584588.73</v>
      </c>
      <c r="D14" s="1">
        <v>628236.09</v>
      </c>
      <c r="E14" s="1">
        <v>691343.85</v>
      </c>
      <c r="F14" s="1">
        <v>164436.34</v>
      </c>
      <c r="G14" s="103">
        <v>4291118.9400000004</v>
      </c>
      <c r="H14" s="103">
        <v>5039916.58</v>
      </c>
      <c r="I14" s="103">
        <v>137155.31</v>
      </c>
      <c r="J14" s="103">
        <v>248899.23</v>
      </c>
    </row>
    <row r="15" spans="1:10" x14ac:dyDescent="0.3">
      <c r="A15" t="s">
        <v>15</v>
      </c>
      <c r="B15" s="1">
        <v>788328.23</v>
      </c>
      <c r="C15" s="1">
        <v>388617.89</v>
      </c>
      <c r="D15" s="1">
        <v>1971213.8</v>
      </c>
      <c r="E15" s="1">
        <v>1855058.73</v>
      </c>
      <c r="F15" s="1">
        <v>1815419.4</v>
      </c>
      <c r="G15" s="103">
        <v>3376656.08</v>
      </c>
      <c r="H15" s="103">
        <v>3680141.33</v>
      </c>
      <c r="I15" s="103">
        <v>6510554.2400000002</v>
      </c>
      <c r="J15" s="103">
        <v>5032366.54</v>
      </c>
    </row>
    <row r="16" spans="1:10" x14ac:dyDescent="0.3">
      <c r="A16" t="s">
        <v>17</v>
      </c>
      <c r="B16" s="1">
        <v>788689.82</v>
      </c>
      <c r="C16" s="1">
        <v>623098.89</v>
      </c>
      <c r="D16" s="1">
        <v>842833.13</v>
      </c>
      <c r="E16" s="1">
        <v>815297.94</v>
      </c>
      <c r="F16" s="1">
        <v>225128.01</v>
      </c>
      <c r="G16" s="103">
        <v>225128.01</v>
      </c>
      <c r="H16" s="103">
        <v>191358.21</v>
      </c>
      <c r="I16" s="103">
        <v>280024.84000000003</v>
      </c>
      <c r="J16" s="103">
        <v>1864753.74</v>
      </c>
    </row>
    <row r="17" spans="1:10" x14ac:dyDescent="0.3">
      <c r="A17" t="s">
        <v>18</v>
      </c>
      <c r="B17" s="1">
        <v>10421214.300000001</v>
      </c>
      <c r="C17" s="1">
        <v>8761116.6400000006</v>
      </c>
      <c r="D17" s="1">
        <v>8035532.3799999999</v>
      </c>
      <c r="E17" s="1">
        <v>6527538.0999999996</v>
      </c>
      <c r="F17" s="1">
        <v>6596766.6799999997</v>
      </c>
      <c r="G17" s="103">
        <v>4533042.59</v>
      </c>
      <c r="H17" s="103">
        <v>5367786.92</v>
      </c>
      <c r="I17" s="103">
        <v>4123455.46</v>
      </c>
      <c r="J17" s="103">
        <v>4033027.59</v>
      </c>
    </row>
    <row r="18" spans="1:10" x14ac:dyDescent="0.3">
      <c r="A18" t="s">
        <v>19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03">
        <v>0</v>
      </c>
      <c r="H18" s="103">
        <v>0</v>
      </c>
      <c r="I18" s="103">
        <v>0</v>
      </c>
      <c r="J18" s="103">
        <v>0</v>
      </c>
    </row>
    <row r="19" spans="1:10" x14ac:dyDescent="0.3">
      <c r="A19" s="4" t="s">
        <v>2</v>
      </c>
      <c r="B19" s="3">
        <f t="shared" ref="B19:J19" si="6">SUM(B14:B18)</f>
        <v>12480135.16</v>
      </c>
      <c r="C19" s="3">
        <f t="shared" si="6"/>
        <v>10357422.15</v>
      </c>
      <c r="D19" s="3">
        <f t="shared" si="6"/>
        <v>11477815.4</v>
      </c>
      <c r="E19" s="3">
        <f t="shared" si="6"/>
        <v>9889238.6199999992</v>
      </c>
      <c r="F19" s="3">
        <f t="shared" si="6"/>
        <v>8801750.4299999997</v>
      </c>
      <c r="G19" s="3">
        <f t="shared" ref="G19:I19" si="7">SUM(G14:G18)</f>
        <v>12425945.620000001</v>
      </c>
      <c r="H19" s="3">
        <f t="shared" si="7"/>
        <v>14279203.040000001</v>
      </c>
      <c r="I19" s="3">
        <f t="shared" si="7"/>
        <v>11051189.85</v>
      </c>
      <c r="J19" s="3">
        <f t="shared" si="6"/>
        <v>11179047.100000001</v>
      </c>
    </row>
    <row r="20" spans="1:10" x14ac:dyDescent="0.3">
      <c r="A20" s="4" t="s">
        <v>3</v>
      </c>
      <c r="B20" s="3">
        <v>3721291.34</v>
      </c>
      <c r="C20" s="3">
        <v>1041755.29</v>
      </c>
      <c r="D20" s="3">
        <v>917116.05</v>
      </c>
      <c r="E20" s="3">
        <v>590916.57999999996</v>
      </c>
      <c r="F20" s="3">
        <v>1162219.07</v>
      </c>
      <c r="G20" s="3">
        <v>424783.74</v>
      </c>
      <c r="H20" s="3">
        <v>688578.08</v>
      </c>
      <c r="I20" s="3">
        <v>1530750.68</v>
      </c>
      <c r="J20" s="3">
        <v>512237.35</v>
      </c>
    </row>
    <row r="21" spans="1:10" x14ac:dyDescent="0.3">
      <c r="A21" s="64" t="s">
        <v>4</v>
      </c>
      <c r="B21" s="34">
        <f t="shared" ref="B21:J21" si="8">B7-B13-B19-B20</f>
        <v>2982970.8400000073</v>
      </c>
      <c r="C21" s="34">
        <f t="shared" si="8"/>
        <v>6472345.1100000041</v>
      </c>
      <c r="D21" s="34">
        <f t="shared" si="8"/>
        <v>6476939.7300000032</v>
      </c>
      <c r="E21" s="34">
        <f t="shared" si="8"/>
        <v>4197389.7500000037</v>
      </c>
      <c r="F21" s="34">
        <f t="shared" si="8"/>
        <v>7891449.1999999918</v>
      </c>
      <c r="G21" s="34">
        <f t="shared" ref="G21:I21" si="9">G7-G13-G19-G20</f>
        <v>8519423.6400000211</v>
      </c>
      <c r="H21" s="34">
        <f t="shared" si="9"/>
        <v>14053109.530000005</v>
      </c>
      <c r="I21" s="34">
        <f t="shared" si="9"/>
        <v>8960890.0999999996</v>
      </c>
      <c r="J21" s="34">
        <f t="shared" si="8"/>
        <v>2999751.8499999843</v>
      </c>
    </row>
    <row r="22" spans="1:10" x14ac:dyDescent="0.3">
      <c r="A22" t="s">
        <v>356</v>
      </c>
      <c r="B22" s="1"/>
      <c r="C22" s="1">
        <v>1066670.24</v>
      </c>
      <c r="D22" s="1">
        <v>1827343.21</v>
      </c>
      <c r="E22" s="1">
        <v>-583062.43000000005</v>
      </c>
      <c r="F22" s="1">
        <v>-1233457.67</v>
      </c>
      <c r="G22" s="103">
        <v>-1894079.15</v>
      </c>
      <c r="H22" s="103">
        <v>-1084704.23</v>
      </c>
      <c r="I22" s="103">
        <v>-892668.02</v>
      </c>
      <c r="J22" s="103">
        <v>28770.999999999902</v>
      </c>
    </row>
    <row r="23" spans="1:10" x14ac:dyDescent="0.3">
      <c r="A23" t="s">
        <v>357</v>
      </c>
      <c r="B23" s="6">
        <f t="shared" ref="B23:J23" si="10">B8/B3*100</f>
        <v>20.592504720511549</v>
      </c>
      <c r="C23" s="6">
        <f t="shared" si="10"/>
        <v>26.389592849470183</v>
      </c>
      <c r="D23" s="6">
        <f t="shared" si="10"/>
        <v>26.787182999835629</v>
      </c>
      <c r="E23" s="6">
        <f t="shared" si="10"/>
        <v>40.318677045589304</v>
      </c>
      <c r="F23" s="6">
        <f t="shared" si="10"/>
        <v>37.34595833544283</v>
      </c>
      <c r="G23" s="105">
        <f t="shared" ref="G23:I23" si="11">G8/G3*100</f>
        <v>31.46991548867069</v>
      </c>
      <c r="H23" s="105">
        <f t="shared" si="11"/>
        <v>29.220207377329537</v>
      </c>
      <c r="I23" s="105">
        <f t="shared" si="11"/>
        <v>27.708009554298407</v>
      </c>
      <c r="J23" s="105">
        <f t="shared" si="10"/>
        <v>21.665017622740397</v>
      </c>
    </row>
  </sheetData>
  <conditionalFormatting sqref="C21:F21 J21">
    <cfRule type="cellIs" dxfId="109" priority="24" operator="greaterThan">
      <formula>0</formula>
    </cfRule>
  </conditionalFormatting>
  <conditionalFormatting sqref="C21:F21 J21">
    <cfRule type="cellIs" dxfId="108" priority="21" operator="greaterThan">
      <formula>0</formula>
    </cfRule>
    <cfRule type="cellIs" dxfId="107" priority="22" operator="lessThan">
      <formula>0</formula>
    </cfRule>
  </conditionalFormatting>
  <conditionalFormatting sqref="B21">
    <cfRule type="cellIs" dxfId="106" priority="15" operator="greaterThan">
      <formula>0</formula>
    </cfRule>
  </conditionalFormatting>
  <conditionalFormatting sqref="B21">
    <cfRule type="cellIs" dxfId="105" priority="13" operator="greaterThan">
      <formula>0</formula>
    </cfRule>
    <cfRule type="cellIs" dxfId="104" priority="14" operator="lessThan">
      <formula>0</formula>
    </cfRule>
  </conditionalFormatting>
  <conditionalFormatting sqref="G21">
    <cfRule type="cellIs" dxfId="103" priority="9" operator="greaterThan">
      <formula>0</formula>
    </cfRule>
  </conditionalFormatting>
  <conditionalFormatting sqref="G21">
    <cfRule type="cellIs" dxfId="102" priority="7" operator="greaterThan">
      <formula>0</formula>
    </cfRule>
    <cfRule type="cellIs" dxfId="101" priority="8" operator="lessThan">
      <formula>0</formula>
    </cfRule>
  </conditionalFormatting>
  <conditionalFormatting sqref="H21">
    <cfRule type="cellIs" dxfId="100" priority="6" operator="greaterThan">
      <formula>0</formula>
    </cfRule>
  </conditionalFormatting>
  <conditionalFormatting sqref="H21">
    <cfRule type="cellIs" dxfId="99" priority="4" operator="greaterThan">
      <formula>0</formula>
    </cfRule>
    <cfRule type="cellIs" dxfId="98" priority="5" operator="lessThan">
      <formula>0</formula>
    </cfRule>
  </conditionalFormatting>
  <conditionalFormatting sqref="I21">
    <cfRule type="cellIs" dxfId="97" priority="3" operator="greaterThan">
      <formula>0</formula>
    </cfRule>
  </conditionalFormatting>
  <conditionalFormatting sqref="I21">
    <cfRule type="cellIs" dxfId="96" priority="1" operator="greaterThan">
      <formula>0</formula>
    </cfRule>
    <cfRule type="cellIs" dxfId="95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pane xSplit="2" ySplit="1" topLeftCell="I2" activePane="bottomRight" state="frozen"/>
      <selection pane="topRight" activeCell="C1" sqref="C1"/>
      <selection pane="bottomLeft" activeCell="A2" sqref="A2"/>
      <selection pane="bottomRight" activeCell="J2" sqref="J2:J29"/>
    </sheetView>
  </sheetViews>
  <sheetFormatPr defaultRowHeight="14.4" x14ac:dyDescent="0.3"/>
  <cols>
    <col min="1" max="1" width="65.33203125" bestFit="1" customWidth="1"/>
    <col min="2" max="2" width="3.44140625" bestFit="1" customWidth="1"/>
    <col min="3" max="6" width="11.109375" bestFit="1" customWidth="1"/>
    <col min="7" max="10" width="11.109375" style="102" bestFit="1" customWidth="1"/>
    <col min="11" max="11" width="12.33203125" style="102" bestFit="1" customWidth="1"/>
  </cols>
  <sheetData>
    <row r="1" spans="1:11" x14ac:dyDescent="0.3">
      <c r="C1" s="92">
        <v>2016</v>
      </c>
      <c r="D1" s="91">
        <v>2017</v>
      </c>
      <c r="E1" s="91">
        <v>2018</v>
      </c>
      <c r="F1" s="97">
        <v>2019</v>
      </c>
      <c r="G1" s="129">
        <v>2020</v>
      </c>
      <c r="H1" s="133">
        <v>2021</v>
      </c>
      <c r="I1" s="141">
        <v>2022</v>
      </c>
      <c r="J1" s="129">
        <v>2023</v>
      </c>
      <c r="K1" s="115" t="s">
        <v>266</v>
      </c>
    </row>
    <row r="2" spans="1:11" x14ac:dyDescent="0.3">
      <c r="A2" t="s">
        <v>236</v>
      </c>
      <c r="B2" s="23" t="s">
        <v>260</v>
      </c>
      <c r="C2" s="1">
        <v>86700015.879999995</v>
      </c>
      <c r="D2" s="1">
        <v>85612107.170000002</v>
      </c>
      <c r="E2" s="1">
        <v>56169868.380000003</v>
      </c>
      <c r="F2" s="1">
        <v>55440001.649999999</v>
      </c>
      <c r="G2" s="103">
        <v>52691700.439999998</v>
      </c>
      <c r="H2" s="103">
        <v>54913233.829999998</v>
      </c>
      <c r="I2" s="103">
        <v>55879195.409999996</v>
      </c>
      <c r="J2" s="103">
        <v>55795268.140000001</v>
      </c>
      <c r="K2" s="103">
        <f>J2-I2</f>
        <v>-83927.269999995828</v>
      </c>
    </row>
    <row r="3" spans="1:11" x14ac:dyDescent="0.3">
      <c r="A3" t="s">
        <v>237</v>
      </c>
      <c r="B3" s="23" t="s">
        <v>260</v>
      </c>
      <c r="C3" s="1">
        <v>31151828.77</v>
      </c>
      <c r="D3" s="1">
        <v>29449977.68</v>
      </c>
      <c r="E3" s="1">
        <v>28519112.98</v>
      </c>
      <c r="F3" s="1">
        <v>28510730.199999999</v>
      </c>
      <c r="G3" s="103">
        <v>27569116.219999999</v>
      </c>
      <c r="H3" s="103">
        <v>27636141.75</v>
      </c>
      <c r="I3" s="103">
        <v>27682050.77</v>
      </c>
      <c r="J3" s="103">
        <v>27352488.66</v>
      </c>
      <c r="K3" s="103">
        <f t="shared" ref="K3:K29" si="0">J3-I3</f>
        <v>-329562.1099999994</v>
      </c>
    </row>
    <row r="4" spans="1:11" x14ac:dyDescent="0.3">
      <c r="A4" t="s">
        <v>238</v>
      </c>
      <c r="B4" s="23" t="s">
        <v>260</v>
      </c>
      <c r="C4" s="1">
        <f>11054745.15+2154839.89</f>
        <v>13209585.040000001</v>
      </c>
      <c r="D4" s="1">
        <f>16789350.78+12402078.11</f>
        <v>29191428.890000001</v>
      </c>
      <c r="E4" s="1">
        <f>15438680.85+10728795.67</f>
        <v>26167476.52</v>
      </c>
      <c r="F4" s="1">
        <v>25535355.550000001</v>
      </c>
      <c r="G4" s="103">
        <v>39388448.119999997</v>
      </c>
      <c r="H4" s="103">
        <v>30940306.57</v>
      </c>
      <c r="I4" s="103">
        <v>27085495.379999999</v>
      </c>
      <c r="J4" s="103">
        <v>25031607.859999999</v>
      </c>
      <c r="K4" s="103">
        <f t="shared" si="0"/>
        <v>-2053887.5199999996</v>
      </c>
    </row>
    <row r="5" spans="1:11" x14ac:dyDescent="0.3">
      <c r="A5" t="s">
        <v>239</v>
      </c>
      <c r="B5" s="23" t="s">
        <v>260</v>
      </c>
      <c r="C5" s="1">
        <f>9773092.53+719160.83+2538369.02</f>
        <v>13030622.379999999</v>
      </c>
      <c r="D5" s="1">
        <f>9645180.42+710233.05+2789895.26</f>
        <v>13145308.73</v>
      </c>
      <c r="E5" s="1">
        <f>7780327.72+719304.95+2833291.8</f>
        <v>11332924.469999999</v>
      </c>
      <c r="F5" s="1">
        <v>10785797.949999999</v>
      </c>
      <c r="G5" s="103">
        <v>7689927.9100000001</v>
      </c>
      <c r="H5" s="103">
        <v>15520838.939999999</v>
      </c>
      <c r="I5" s="103">
        <v>17181270.120000001</v>
      </c>
      <c r="J5" s="103">
        <v>17420652.48</v>
      </c>
      <c r="K5" s="103">
        <f t="shared" si="0"/>
        <v>239382.3599999994</v>
      </c>
    </row>
    <row r="6" spans="1:11" x14ac:dyDescent="0.3">
      <c r="A6" t="s">
        <v>240</v>
      </c>
      <c r="B6" s="23" t="s">
        <v>260</v>
      </c>
      <c r="C6" s="1">
        <v>0</v>
      </c>
      <c r="D6" s="103">
        <v>0</v>
      </c>
      <c r="E6" s="103">
        <v>0</v>
      </c>
      <c r="F6" s="103">
        <v>0</v>
      </c>
      <c r="G6" s="103">
        <v>0</v>
      </c>
      <c r="H6" s="103">
        <v>0</v>
      </c>
      <c r="I6" s="103">
        <v>0</v>
      </c>
      <c r="J6" s="103">
        <v>0</v>
      </c>
      <c r="K6" s="103">
        <f t="shared" si="0"/>
        <v>0</v>
      </c>
    </row>
    <row r="7" spans="1:11" x14ac:dyDescent="0.3">
      <c r="A7" t="s">
        <v>241</v>
      </c>
      <c r="B7" s="23" t="s">
        <v>260</v>
      </c>
      <c r="C7" s="1">
        <v>0</v>
      </c>
      <c r="D7" s="103">
        <v>0</v>
      </c>
      <c r="E7" s="103">
        <v>0</v>
      </c>
      <c r="F7" s="103">
        <v>0</v>
      </c>
      <c r="G7" s="103">
        <v>0</v>
      </c>
      <c r="H7" s="103">
        <v>0</v>
      </c>
      <c r="I7" s="103">
        <v>0</v>
      </c>
      <c r="J7" s="103">
        <v>0</v>
      </c>
      <c r="K7" s="103">
        <f t="shared" si="0"/>
        <v>0</v>
      </c>
    </row>
    <row r="8" spans="1:11" x14ac:dyDescent="0.3">
      <c r="A8" t="s">
        <v>242</v>
      </c>
      <c r="B8" s="23" t="s">
        <v>260</v>
      </c>
      <c r="C8" s="1">
        <v>0</v>
      </c>
      <c r="D8" s="103">
        <v>0</v>
      </c>
      <c r="E8" s="103">
        <v>0</v>
      </c>
      <c r="F8" s="103">
        <v>0</v>
      </c>
      <c r="G8" s="103">
        <v>0</v>
      </c>
      <c r="H8" s="103">
        <v>0</v>
      </c>
      <c r="I8" s="103">
        <v>0</v>
      </c>
      <c r="J8" s="103">
        <v>0</v>
      </c>
      <c r="K8" s="103">
        <f t="shared" si="0"/>
        <v>0</v>
      </c>
    </row>
    <row r="9" spans="1:11" x14ac:dyDescent="0.3">
      <c r="A9" s="29" t="s">
        <v>243</v>
      </c>
      <c r="B9" s="30" t="s">
        <v>260</v>
      </c>
      <c r="C9" s="31">
        <v>6706242.8499999996</v>
      </c>
      <c r="D9" s="31">
        <v>8788583.7200000007</v>
      </c>
      <c r="E9" s="31">
        <v>8280213.75</v>
      </c>
      <c r="F9" s="31">
        <v>8407901.1999999993</v>
      </c>
      <c r="G9" s="31">
        <v>6927219.21</v>
      </c>
      <c r="H9" s="31">
        <v>11924879.640000001</v>
      </c>
      <c r="I9" s="31">
        <v>9968642.8100000005</v>
      </c>
      <c r="J9" s="103">
        <v>8560196.6600000001</v>
      </c>
      <c r="K9" s="103">
        <f t="shared" si="0"/>
        <v>-1408446.1500000004</v>
      </c>
    </row>
    <row r="10" spans="1:11" x14ac:dyDescent="0.3">
      <c r="A10" s="32" t="s">
        <v>264</v>
      </c>
      <c r="B10" s="33" t="s">
        <v>260</v>
      </c>
      <c r="C10" s="88">
        <f t="shared" ref="C10:J10" si="1">SUM(C2:C9)</f>
        <v>150798294.91999999</v>
      </c>
      <c r="D10" s="88">
        <f t="shared" si="1"/>
        <v>166187406.19</v>
      </c>
      <c r="E10" s="88">
        <f t="shared" si="1"/>
        <v>130469596.09999999</v>
      </c>
      <c r="F10" s="88">
        <f t="shared" si="1"/>
        <v>128679786.55</v>
      </c>
      <c r="G10" s="88">
        <f t="shared" si="1"/>
        <v>134266411.90000001</v>
      </c>
      <c r="H10" s="88">
        <f t="shared" ref="H10" si="2">SUM(H2:H9)</f>
        <v>140935400.73000002</v>
      </c>
      <c r="I10" s="88">
        <f t="shared" ref="I10" si="3">SUM(I2:I9)</f>
        <v>137796654.48999998</v>
      </c>
      <c r="J10" s="88">
        <f t="shared" si="1"/>
        <v>134160213.8</v>
      </c>
      <c r="K10" s="11">
        <f t="shared" si="0"/>
        <v>-3636440.6899999827</v>
      </c>
    </row>
    <row r="11" spans="1:11" x14ac:dyDescent="0.3">
      <c r="A11" t="s">
        <v>244</v>
      </c>
      <c r="B11" s="23" t="s">
        <v>261</v>
      </c>
      <c r="C11" s="1">
        <v>843609.83</v>
      </c>
      <c r="D11" s="1">
        <v>812661.82</v>
      </c>
      <c r="E11" s="1">
        <v>982744.86</v>
      </c>
      <c r="F11" s="1">
        <v>1082095.4099999999</v>
      </c>
      <c r="G11" s="103">
        <v>2448894.48</v>
      </c>
      <c r="H11" s="103">
        <v>2235081.58</v>
      </c>
      <c r="I11" s="103">
        <v>1782861.36</v>
      </c>
      <c r="J11" s="103">
        <v>1715406.47</v>
      </c>
      <c r="K11" s="103">
        <f t="shared" si="0"/>
        <v>-67454.89000000013</v>
      </c>
    </row>
    <row r="12" spans="1:11" x14ac:dyDescent="0.3">
      <c r="A12" t="s">
        <v>245</v>
      </c>
      <c r="B12" s="23" t="s">
        <v>261</v>
      </c>
      <c r="C12" s="1">
        <v>63237730.140000001</v>
      </c>
      <c r="D12" s="1">
        <v>61408295.840000004</v>
      </c>
      <c r="E12" s="1">
        <v>38715942.990000002</v>
      </c>
      <c r="F12" s="1">
        <v>35872161.619999997</v>
      </c>
      <c r="G12" s="103">
        <v>35041814.979999997</v>
      </c>
      <c r="H12" s="103">
        <v>56621678.909999996</v>
      </c>
      <c r="I12" s="103">
        <v>62871447.990000002</v>
      </c>
      <c r="J12" s="103">
        <v>62879303.020000003</v>
      </c>
      <c r="K12" s="103">
        <f t="shared" si="0"/>
        <v>7855.0300000011921</v>
      </c>
    </row>
    <row r="13" spans="1:11" x14ac:dyDescent="0.3">
      <c r="A13" t="s">
        <v>246</v>
      </c>
      <c r="B13" s="23" t="s">
        <v>261</v>
      </c>
      <c r="C13" s="1">
        <v>695933.27</v>
      </c>
      <c r="D13" s="1">
        <v>821032.67</v>
      </c>
      <c r="E13" s="1">
        <v>725927.82</v>
      </c>
      <c r="F13" s="1">
        <v>839590.49</v>
      </c>
      <c r="G13" s="103">
        <v>866754.3</v>
      </c>
      <c r="H13" s="103">
        <v>1009301.5</v>
      </c>
      <c r="I13" s="103">
        <v>960123.16</v>
      </c>
      <c r="J13" s="103">
        <v>972886.85</v>
      </c>
      <c r="K13" s="103">
        <f t="shared" si="0"/>
        <v>12763.689999999944</v>
      </c>
    </row>
    <row r="14" spans="1:11" x14ac:dyDescent="0.3">
      <c r="A14" t="s">
        <v>247</v>
      </c>
      <c r="B14" s="23" t="s">
        <v>261</v>
      </c>
      <c r="C14" s="1">
        <f>14286730.93+68881.79+1480466.24</f>
        <v>15836078.959999999</v>
      </c>
      <c r="D14" s="1">
        <f>13797951.48+25112.98+1590639.99</f>
        <v>15413704.450000001</v>
      </c>
      <c r="E14" s="1">
        <f>14923546.64+22922.92+1763858.68</f>
        <v>16710328.24</v>
      </c>
      <c r="F14" s="1">
        <v>14640448.09</v>
      </c>
      <c r="G14" s="103">
        <v>19841451.920000002</v>
      </c>
      <c r="H14" s="103">
        <v>22444766.16</v>
      </c>
      <c r="I14" s="103">
        <v>17771260.5</v>
      </c>
      <c r="J14" s="103">
        <v>21225791.789999999</v>
      </c>
      <c r="K14" s="103">
        <f t="shared" si="0"/>
        <v>3454531.2899999991</v>
      </c>
    </row>
    <row r="15" spans="1:11" x14ac:dyDescent="0.3">
      <c r="A15" t="s">
        <v>248</v>
      </c>
      <c r="B15" s="23" t="s">
        <v>261</v>
      </c>
      <c r="C15" s="1">
        <v>42405964.049999997</v>
      </c>
      <c r="D15" s="1">
        <v>41137797.009999998</v>
      </c>
      <c r="E15" s="1">
        <v>41995193.700000003</v>
      </c>
      <c r="F15" s="1">
        <v>42845399.939999998</v>
      </c>
      <c r="G15" s="103">
        <v>40062703.789999999</v>
      </c>
      <c r="H15" s="103">
        <v>37540727.009999998</v>
      </c>
      <c r="I15" s="103">
        <v>38437470.439999998</v>
      </c>
      <c r="J15" s="103">
        <v>39186551.950000003</v>
      </c>
      <c r="K15" s="103">
        <f t="shared" si="0"/>
        <v>749081.51000000536</v>
      </c>
    </row>
    <row r="16" spans="1:11" x14ac:dyDescent="0.3">
      <c r="A16" t="s">
        <v>249</v>
      </c>
      <c r="B16" s="23" t="s">
        <v>261</v>
      </c>
      <c r="C16" s="1">
        <v>518612.59</v>
      </c>
      <c r="D16" s="1">
        <f>267289.75+1954451.3</f>
        <v>2221741.0499999998</v>
      </c>
      <c r="E16" s="1">
        <f>8030416.13+497976.24</f>
        <v>8528392.3699999992</v>
      </c>
      <c r="F16" s="1">
        <v>8756118.6699999999</v>
      </c>
      <c r="G16" s="103">
        <v>9517788.8100000005</v>
      </c>
      <c r="H16" s="103">
        <v>9533741.9700000007</v>
      </c>
      <c r="I16" s="103">
        <v>11041138.800000001</v>
      </c>
      <c r="J16" s="103">
        <v>11302352.869999999</v>
      </c>
      <c r="K16" s="103">
        <f t="shared" si="0"/>
        <v>261214.06999999844</v>
      </c>
    </row>
    <row r="17" spans="1:12" x14ac:dyDescent="0.3">
      <c r="A17" t="s">
        <v>250</v>
      </c>
      <c r="B17" s="23" t="s">
        <v>261</v>
      </c>
      <c r="C17" s="1">
        <v>0</v>
      </c>
      <c r="D17" s="1">
        <v>-5631.5</v>
      </c>
      <c r="E17" s="1">
        <v>1067.6500000000001</v>
      </c>
      <c r="F17" s="1">
        <v>-1580.65</v>
      </c>
      <c r="G17" s="103">
        <v>-8230.86</v>
      </c>
      <c r="H17" s="103">
        <v>-2044.57</v>
      </c>
      <c r="I17" s="103">
        <v>0</v>
      </c>
      <c r="J17" s="103">
        <v>0</v>
      </c>
      <c r="K17" s="103">
        <f t="shared" si="0"/>
        <v>0</v>
      </c>
    </row>
    <row r="18" spans="1:12" x14ac:dyDescent="0.3">
      <c r="A18" t="s">
        <v>251</v>
      </c>
      <c r="B18" s="23" t="s">
        <v>261</v>
      </c>
      <c r="C18" s="1">
        <v>3261418.86</v>
      </c>
      <c r="D18" s="1">
        <v>5644886.9299999997</v>
      </c>
      <c r="E18" s="1">
        <v>3863046.7</v>
      </c>
      <c r="F18" s="1">
        <v>3768098.33</v>
      </c>
      <c r="G18" s="103">
        <v>3946874.94</v>
      </c>
      <c r="H18" s="103">
        <v>181000</v>
      </c>
      <c r="I18" s="103">
        <v>0</v>
      </c>
      <c r="J18" s="103">
        <v>231224.71</v>
      </c>
      <c r="K18" s="103">
        <f t="shared" si="0"/>
        <v>231224.71</v>
      </c>
    </row>
    <row r="19" spans="1:12" x14ac:dyDescent="0.3">
      <c r="A19" t="s">
        <v>14</v>
      </c>
      <c r="B19" s="23" t="s">
        <v>261</v>
      </c>
      <c r="C19" s="1">
        <v>7704142.5899999999</v>
      </c>
      <c r="D19" s="1">
        <v>1248348.21</v>
      </c>
      <c r="E19" s="1">
        <v>98813.04</v>
      </c>
      <c r="F19" s="1">
        <v>375790.78</v>
      </c>
      <c r="G19" s="103">
        <v>3484371.54</v>
      </c>
      <c r="H19" s="103">
        <v>2492705.84</v>
      </c>
      <c r="I19" s="103">
        <v>0</v>
      </c>
      <c r="J19" s="103">
        <v>683795.52</v>
      </c>
      <c r="K19" s="103">
        <f t="shared" si="0"/>
        <v>683795.52</v>
      </c>
    </row>
    <row r="20" spans="1:12" x14ac:dyDescent="0.3">
      <c r="A20" s="29" t="s">
        <v>252</v>
      </c>
      <c r="B20" s="30" t="s">
        <v>261</v>
      </c>
      <c r="C20" s="31">
        <v>3786854.66</v>
      </c>
      <c r="D20" s="31">
        <v>2271984.79</v>
      </c>
      <c r="E20" s="31">
        <v>3199528.99</v>
      </c>
      <c r="F20" s="31">
        <v>2507601.5299999998</v>
      </c>
      <c r="G20" s="31">
        <v>1663098.16</v>
      </c>
      <c r="H20" s="31">
        <v>3289623.48</v>
      </c>
      <c r="I20" s="31">
        <v>1529474.49</v>
      </c>
      <c r="J20" s="103">
        <v>2021236.55</v>
      </c>
      <c r="K20" s="103">
        <f t="shared" si="0"/>
        <v>491762.06000000006</v>
      </c>
    </row>
    <row r="21" spans="1:12" x14ac:dyDescent="0.3">
      <c r="A21" s="32" t="s">
        <v>265</v>
      </c>
      <c r="B21" s="33" t="s">
        <v>261</v>
      </c>
      <c r="C21" s="88">
        <f t="shared" ref="C21:J21" si="4">SUM(C11:C20)</f>
        <v>138290344.94999999</v>
      </c>
      <c r="D21" s="88">
        <f t="shared" si="4"/>
        <v>130974821.26999998</v>
      </c>
      <c r="E21" s="88">
        <f t="shared" si="4"/>
        <v>114820986.36000003</v>
      </c>
      <c r="F21" s="88">
        <f t="shared" si="4"/>
        <v>110685724.20999999</v>
      </c>
      <c r="G21" s="88">
        <f t="shared" si="4"/>
        <v>116865522.06</v>
      </c>
      <c r="H21" s="88">
        <f t="shared" ref="H21" si="5">SUM(H11:H20)</f>
        <v>135346581.88</v>
      </c>
      <c r="I21" s="88">
        <f t="shared" ref="I21" si="6">SUM(I11:I20)</f>
        <v>134393776.73999998</v>
      </c>
      <c r="J21" s="88">
        <f t="shared" si="4"/>
        <v>140218549.73000002</v>
      </c>
      <c r="K21" s="11">
        <f t="shared" si="0"/>
        <v>5824772.9900000393</v>
      </c>
    </row>
    <row r="22" spans="1:12" x14ac:dyDescent="0.3">
      <c r="A22" t="s">
        <v>253</v>
      </c>
      <c r="B22" s="23" t="s">
        <v>260</v>
      </c>
      <c r="C22" s="1">
        <v>1443314.4</v>
      </c>
      <c r="D22" s="1">
        <v>1084263.5</v>
      </c>
      <c r="E22" s="1">
        <v>1245959.1000000001</v>
      </c>
      <c r="F22" s="1">
        <v>1206561.58</v>
      </c>
      <c r="G22" s="103">
        <v>1361901.27</v>
      </c>
      <c r="H22" s="103">
        <v>1542630.7</v>
      </c>
      <c r="I22" s="103">
        <v>1680872.57</v>
      </c>
      <c r="J22" s="103">
        <v>1896588.51</v>
      </c>
      <c r="K22" s="103">
        <f t="shared" si="0"/>
        <v>215715.93999999994</v>
      </c>
    </row>
    <row r="23" spans="1:12" x14ac:dyDescent="0.3">
      <c r="A23" t="s">
        <v>254</v>
      </c>
      <c r="B23" s="23" t="s">
        <v>261</v>
      </c>
      <c r="C23" s="1">
        <v>1734388.48</v>
      </c>
      <c r="D23" s="1">
        <v>2283538.04</v>
      </c>
      <c r="E23" s="1">
        <v>3413852.6</v>
      </c>
      <c r="F23" s="1">
        <v>2935699.62</v>
      </c>
      <c r="G23" s="103">
        <v>1227454.01</v>
      </c>
      <c r="H23" s="103">
        <v>1197047.8</v>
      </c>
      <c r="I23" s="103">
        <v>1708016.44</v>
      </c>
      <c r="J23" s="103">
        <v>1998402.24</v>
      </c>
      <c r="K23" s="103">
        <f t="shared" si="0"/>
        <v>290385.80000000005</v>
      </c>
    </row>
    <row r="24" spans="1:12" x14ac:dyDescent="0.3">
      <c r="A24" t="s">
        <v>255</v>
      </c>
      <c r="B24" s="23" t="s">
        <v>260</v>
      </c>
      <c r="C24" s="1">
        <v>-91073.46</v>
      </c>
      <c r="D24" s="1">
        <v>0</v>
      </c>
      <c r="E24" s="1">
        <v>0</v>
      </c>
      <c r="F24" s="1">
        <v>0</v>
      </c>
      <c r="G24" s="103">
        <v>0</v>
      </c>
      <c r="H24" s="103">
        <v>0</v>
      </c>
      <c r="I24" s="103">
        <v>0</v>
      </c>
      <c r="J24" s="103">
        <v>0</v>
      </c>
      <c r="K24" s="103">
        <f t="shared" si="0"/>
        <v>0</v>
      </c>
    </row>
    <row r="25" spans="1:12" x14ac:dyDescent="0.3">
      <c r="A25" t="s">
        <v>256</v>
      </c>
      <c r="B25" s="23" t="s">
        <v>260</v>
      </c>
      <c r="C25" s="1">
        <v>4621281.49</v>
      </c>
      <c r="D25" s="1">
        <v>1080311.8899999999</v>
      </c>
      <c r="E25" s="1">
        <v>51302519.159999996</v>
      </c>
      <c r="F25" s="1">
        <v>19813273</v>
      </c>
      <c r="G25" s="103">
        <v>18433572.129999999</v>
      </c>
      <c r="H25" s="103">
        <v>5799587.71</v>
      </c>
      <c r="I25" s="103">
        <v>11911481.91</v>
      </c>
      <c r="J25" s="103">
        <v>6426209.3399999999</v>
      </c>
      <c r="K25" s="103">
        <f t="shared" si="0"/>
        <v>-5485272.5700000003</v>
      </c>
    </row>
    <row r="26" spans="1:12" x14ac:dyDescent="0.3">
      <c r="A26" t="s">
        <v>257</v>
      </c>
      <c r="B26" s="23" t="s">
        <v>261</v>
      </c>
      <c r="C26" s="1">
        <v>3399623.7</v>
      </c>
      <c r="D26" s="1">
        <v>2399860.0699999998</v>
      </c>
      <c r="E26" s="1">
        <v>28037294.280000001</v>
      </c>
      <c r="F26" s="1">
        <v>7162883.1600000001</v>
      </c>
      <c r="G26" s="103">
        <v>4280401.0599999996</v>
      </c>
      <c r="H26" s="103">
        <v>4496974.92</v>
      </c>
      <c r="I26" s="103">
        <v>4163449.13</v>
      </c>
      <c r="J26" s="103">
        <v>1149803.07</v>
      </c>
      <c r="K26" s="103">
        <f t="shared" si="0"/>
        <v>-3013646.0599999996</v>
      </c>
    </row>
    <row r="27" spans="1:12" x14ac:dyDescent="0.3">
      <c r="A27" t="s">
        <v>258</v>
      </c>
      <c r="B27" s="23" t="s">
        <v>261</v>
      </c>
      <c r="C27" s="1">
        <v>2046691.3</v>
      </c>
      <c r="D27" s="1">
        <v>1993379.81</v>
      </c>
      <c r="E27" s="1">
        <v>2058739.62</v>
      </c>
      <c r="F27" s="1">
        <v>2089206.11</v>
      </c>
      <c r="G27" s="103">
        <v>1927379.2</v>
      </c>
      <c r="H27" s="103">
        <v>1840375.36</v>
      </c>
      <c r="I27" s="103">
        <v>1938913.68</v>
      </c>
      <c r="J27" s="103">
        <v>1934941.33</v>
      </c>
      <c r="K27" s="103">
        <f t="shared" si="0"/>
        <v>-3972.3499999998603</v>
      </c>
    </row>
    <row r="28" spans="1:12" x14ac:dyDescent="0.3">
      <c r="A28" s="10" t="s">
        <v>259</v>
      </c>
      <c r="B28" s="33" t="s">
        <v>262</v>
      </c>
      <c r="C28" s="34">
        <f t="shared" ref="C28:J28" si="7">C10-C21+C22-C23+C24+C25-C26-C27</f>
        <v>11300768.919999998</v>
      </c>
      <c r="D28" s="34">
        <f t="shared" si="7"/>
        <v>30700382.390000019</v>
      </c>
      <c r="E28" s="34">
        <f t="shared" si="7"/>
        <v>34687201.499999963</v>
      </c>
      <c r="F28" s="34">
        <f t="shared" si="7"/>
        <v>26826108.029999997</v>
      </c>
      <c r="G28" s="34">
        <f t="shared" si="7"/>
        <v>29761128.970000006</v>
      </c>
      <c r="H28" s="34">
        <f t="shared" ref="H28:I28" si="8">H10-H21+H22-H23+H24+H25-H26-H27</f>
        <v>5396639.180000023</v>
      </c>
      <c r="I28" s="34">
        <f t="shared" si="8"/>
        <v>9184852.9800000004</v>
      </c>
      <c r="J28" s="34">
        <f t="shared" si="7"/>
        <v>-2818684.720000023</v>
      </c>
      <c r="K28" s="34">
        <f t="shared" si="0"/>
        <v>-12003537.700000023</v>
      </c>
    </row>
    <row r="29" spans="1:12" s="102" customFormat="1" x14ac:dyDescent="0.3">
      <c r="A29" s="66" t="s">
        <v>365</v>
      </c>
      <c r="B29" s="137"/>
      <c r="C29" s="138">
        <f>C10-SUM(C11:C15)+C17</f>
        <v>27778978.669999987</v>
      </c>
      <c r="D29" s="138">
        <f t="shared" ref="D29:J29" si="9">D10-SUM(D11:D15)+D17</f>
        <v>46588282.900000006</v>
      </c>
      <c r="E29" s="138">
        <f t="shared" si="9"/>
        <v>31340526.139999978</v>
      </c>
      <c r="F29" s="138">
        <f t="shared" si="9"/>
        <v>33398510.350000001</v>
      </c>
      <c r="G29" s="138">
        <f t="shared" si="9"/>
        <v>35996561.570000008</v>
      </c>
      <c r="H29" s="138">
        <f t="shared" si="9"/>
        <v>21081801.000000022</v>
      </c>
      <c r="I29" s="138">
        <f t="shared" ref="I29" si="10">I10-SUM(I11:I15)+I17</f>
        <v>15973491.039999992</v>
      </c>
      <c r="J29" s="138">
        <f t="shared" si="9"/>
        <v>8180273.7199999988</v>
      </c>
      <c r="K29" s="138">
        <f t="shared" si="0"/>
        <v>-7793217.3199999928</v>
      </c>
      <c r="L29" s="138"/>
    </row>
  </sheetData>
  <conditionalFormatting sqref="C28:F28 J28:K28">
    <cfRule type="cellIs" dxfId="94" priority="25" operator="greaterThan">
      <formula>0</formula>
    </cfRule>
  </conditionalFormatting>
  <conditionalFormatting sqref="G28">
    <cfRule type="cellIs" dxfId="93" priority="11" operator="greaterThan">
      <formula>0</formula>
    </cfRule>
  </conditionalFormatting>
  <conditionalFormatting sqref="H28">
    <cfRule type="cellIs" dxfId="92" priority="10" operator="greaterThan">
      <formula>0</formula>
    </cfRule>
  </conditionalFormatting>
  <conditionalFormatting sqref="C29:H29 J29:L29">
    <cfRule type="cellIs" dxfId="91" priority="9" operator="greaterThan">
      <formula>0</formula>
    </cfRule>
  </conditionalFormatting>
  <conditionalFormatting sqref="C29:H29 J29:K29">
    <cfRule type="cellIs" dxfId="90" priority="8" operator="greaterThan">
      <formula>0</formula>
    </cfRule>
  </conditionalFormatting>
  <conditionalFormatting sqref="C29:H29 J29:K29">
    <cfRule type="cellIs" dxfId="89" priority="7" operator="greaterThan">
      <formula>0</formula>
    </cfRule>
  </conditionalFormatting>
  <conditionalFormatting sqref="C29:H29 J29:K29">
    <cfRule type="cellIs" dxfId="88" priority="6" operator="greaterThan">
      <formula>0</formula>
    </cfRule>
  </conditionalFormatting>
  <conditionalFormatting sqref="I28">
    <cfRule type="cellIs" dxfId="87" priority="5" operator="greaterThan">
      <formula>0</formula>
    </cfRule>
  </conditionalFormatting>
  <conditionalFormatting sqref="I29">
    <cfRule type="cellIs" dxfId="86" priority="4" operator="greaterThan">
      <formula>0</formula>
    </cfRule>
  </conditionalFormatting>
  <conditionalFormatting sqref="I29">
    <cfRule type="cellIs" dxfId="85" priority="3" operator="greaterThan">
      <formula>0</formula>
    </cfRule>
  </conditionalFormatting>
  <conditionalFormatting sqref="I29">
    <cfRule type="cellIs" dxfId="84" priority="2" operator="greaterThan">
      <formula>0</formula>
    </cfRule>
  </conditionalFormatting>
  <conditionalFormatting sqref="I29">
    <cfRule type="cellIs" dxfId="8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J2" sqref="J2:J16"/>
    </sheetView>
  </sheetViews>
  <sheetFormatPr defaultRowHeight="14.4" x14ac:dyDescent="0.3"/>
  <cols>
    <col min="1" max="1" width="50.6640625" bestFit="1" customWidth="1"/>
    <col min="2" max="5" width="13.33203125" bestFit="1" customWidth="1"/>
    <col min="6" max="9" width="13.33203125" style="102" bestFit="1" customWidth="1"/>
    <col min="10" max="10" width="12.33203125" style="102" bestFit="1" customWidth="1"/>
  </cols>
  <sheetData>
    <row r="1" spans="1:11" x14ac:dyDescent="0.3">
      <c r="A1" s="38"/>
      <c r="B1" s="39">
        <v>2016</v>
      </c>
      <c r="C1" s="39">
        <v>2017</v>
      </c>
      <c r="D1" s="39">
        <v>2018</v>
      </c>
      <c r="E1" s="39">
        <v>2019</v>
      </c>
      <c r="F1" s="121">
        <v>2020</v>
      </c>
      <c r="G1" s="121">
        <v>2021</v>
      </c>
      <c r="H1" s="121">
        <v>2022</v>
      </c>
      <c r="I1" s="121">
        <v>2023</v>
      </c>
      <c r="J1" s="121" t="s">
        <v>266</v>
      </c>
    </row>
    <row r="2" spans="1:11" x14ac:dyDescent="0.3">
      <c r="A2" s="65" t="s">
        <v>346</v>
      </c>
      <c r="B2" s="58">
        <f>Conto_economico!C10</f>
        <v>150798294.91999999</v>
      </c>
      <c r="C2" s="58">
        <f>Conto_economico!D10</f>
        <v>166187406.19</v>
      </c>
      <c r="D2" s="58">
        <f>Conto_economico!E10</f>
        <v>130469596.09999999</v>
      </c>
      <c r="E2" s="58">
        <f>Conto_economico!F10</f>
        <v>128679786.55</v>
      </c>
      <c r="F2" s="58">
        <f>Conto_economico!G10</f>
        <v>134266411.90000001</v>
      </c>
      <c r="G2" s="58">
        <f>Conto_economico!H10</f>
        <v>140935400.73000002</v>
      </c>
      <c r="H2" s="58">
        <f>Conto_economico!I10</f>
        <v>137796654.48999998</v>
      </c>
      <c r="I2" s="58">
        <f>Conto_economico!J10</f>
        <v>134160213.8</v>
      </c>
      <c r="J2" s="58">
        <f t="shared" ref="J2:J16" si="0">I2-H2</f>
        <v>-3636440.6899999827</v>
      </c>
    </row>
    <row r="3" spans="1:11" x14ac:dyDescent="0.3">
      <c r="A3" s="65" t="s">
        <v>341</v>
      </c>
      <c r="B3" s="58">
        <f>Conto_economico!C2</f>
        <v>86700015.879999995</v>
      </c>
      <c r="C3" s="58">
        <f>Conto_economico!D2</f>
        <v>85612107.170000002</v>
      </c>
      <c r="D3" s="58">
        <f>Conto_economico!E2</f>
        <v>56169868.380000003</v>
      </c>
      <c r="E3" s="58">
        <f>Conto_economico!F2</f>
        <v>55440001.649999999</v>
      </c>
      <c r="F3" s="58">
        <f>Conto_economico!G2</f>
        <v>52691700.439999998</v>
      </c>
      <c r="G3" s="58">
        <f>Conto_economico!H2</f>
        <v>54913233.829999998</v>
      </c>
      <c r="H3" s="58">
        <f>Conto_economico!I2</f>
        <v>55879195.409999996</v>
      </c>
      <c r="I3" s="58">
        <f>Conto_economico!J2</f>
        <v>55795268.140000001</v>
      </c>
      <c r="J3" s="58">
        <f t="shared" si="0"/>
        <v>-83927.269999995828</v>
      </c>
    </row>
    <row r="4" spans="1:11" x14ac:dyDescent="0.3">
      <c r="A4" s="65" t="s">
        <v>342</v>
      </c>
      <c r="B4" s="58">
        <f>Conto_economico!C4</f>
        <v>13209585.040000001</v>
      </c>
      <c r="C4" s="58">
        <f>Conto_economico!D4</f>
        <v>29191428.890000001</v>
      </c>
      <c r="D4" s="58">
        <f>Conto_economico!E4</f>
        <v>26167476.52</v>
      </c>
      <c r="E4" s="58">
        <f>Conto_economico!F4</f>
        <v>25535355.550000001</v>
      </c>
      <c r="F4" s="58">
        <f>Conto_economico!G4</f>
        <v>39388448.119999997</v>
      </c>
      <c r="G4" s="58">
        <f>Conto_economico!H4</f>
        <v>30940306.57</v>
      </c>
      <c r="H4" s="58">
        <f>Conto_economico!I4</f>
        <v>27085495.379999999</v>
      </c>
      <c r="I4" s="58">
        <f>Conto_economico!J4</f>
        <v>25031607.859999999</v>
      </c>
      <c r="J4" s="58">
        <f t="shared" si="0"/>
        <v>-2053887.5199999996</v>
      </c>
    </row>
    <row r="5" spans="1:11" x14ac:dyDescent="0.3">
      <c r="A5" s="65" t="s">
        <v>347</v>
      </c>
      <c r="B5" s="59">
        <f>Conto_economico!C21</f>
        <v>138290344.94999999</v>
      </c>
      <c r="C5" s="59">
        <f>Conto_economico!D21</f>
        <v>130974821.26999998</v>
      </c>
      <c r="D5" s="59">
        <f>Conto_economico!E21</f>
        <v>114820986.36000003</v>
      </c>
      <c r="E5" s="59">
        <f>Conto_economico!F21</f>
        <v>110685724.20999999</v>
      </c>
      <c r="F5" s="59">
        <f>Conto_economico!G21</f>
        <v>116865522.06</v>
      </c>
      <c r="G5" s="59">
        <f>Conto_economico!H21</f>
        <v>135346581.88</v>
      </c>
      <c r="H5" s="59">
        <f>Conto_economico!I21</f>
        <v>134393776.73999998</v>
      </c>
      <c r="I5" s="59">
        <f>Conto_economico!J21</f>
        <v>140218549.73000002</v>
      </c>
      <c r="J5" s="58">
        <f t="shared" si="0"/>
        <v>5824772.9900000393</v>
      </c>
    </row>
    <row r="6" spans="1:11" x14ac:dyDescent="0.3">
      <c r="A6" s="65" t="s">
        <v>343</v>
      </c>
      <c r="B6" s="58">
        <f>Conto_economico!C12</f>
        <v>63237730.140000001</v>
      </c>
      <c r="C6" s="58">
        <f>Conto_economico!D12</f>
        <v>61408295.840000004</v>
      </c>
      <c r="D6" s="58">
        <f>Conto_economico!E12</f>
        <v>38715942.990000002</v>
      </c>
      <c r="E6" s="58">
        <f>Conto_economico!F12</f>
        <v>35872161.619999997</v>
      </c>
      <c r="F6" s="58">
        <f>Conto_economico!G12</f>
        <v>35041814.979999997</v>
      </c>
      <c r="G6" s="58">
        <f>Conto_economico!H12</f>
        <v>56621678.909999996</v>
      </c>
      <c r="H6" s="58">
        <f>Conto_economico!I12</f>
        <v>62871447.990000002</v>
      </c>
      <c r="I6" s="58">
        <f>Conto_economico!J12</f>
        <v>62879303.020000003</v>
      </c>
      <c r="J6" s="58">
        <f t="shared" si="0"/>
        <v>7855.0300000011921</v>
      </c>
    </row>
    <row r="7" spans="1:11" x14ac:dyDescent="0.3">
      <c r="A7" s="65" t="s">
        <v>344</v>
      </c>
      <c r="B7" s="58">
        <f>Conto_economico!C15</f>
        <v>42405964.049999997</v>
      </c>
      <c r="C7" s="58">
        <f>Conto_economico!D15</f>
        <v>41137797.009999998</v>
      </c>
      <c r="D7" s="58">
        <f>Conto_economico!E15</f>
        <v>41995193.700000003</v>
      </c>
      <c r="E7" s="58">
        <f>Conto_economico!F15</f>
        <v>42845399.939999998</v>
      </c>
      <c r="F7" s="58">
        <f>Conto_economico!G15</f>
        <v>40062703.789999999</v>
      </c>
      <c r="G7" s="58">
        <f>Conto_economico!H15</f>
        <v>37540727.009999998</v>
      </c>
      <c r="H7" s="58">
        <f>Conto_economico!I15</f>
        <v>38437470.439999998</v>
      </c>
      <c r="I7" s="58">
        <f>Conto_economico!J15</f>
        <v>39186551.950000003</v>
      </c>
      <c r="J7" s="58">
        <f t="shared" si="0"/>
        <v>749081.51000000536</v>
      </c>
    </row>
    <row r="8" spans="1:11" x14ac:dyDescent="0.3">
      <c r="A8" s="65" t="s">
        <v>345</v>
      </c>
      <c r="B8" s="58">
        <f>Conto_economico!C16</f>
        <v>518612.59</v>
      </c>
      <c r="C8" s="58">
        <f>Conto_economico!D16</f>
        <v>2221741.0499999998</v>
      </c>
      <c r="D8" s="58">
        <f>Conto_economico!E16</f>
        <v>8528392.3699999992</v>
      </c>
      <c r="E8" s="58">
        <f>Conto_economico!F16</f>
        <v>8756118.6699999999</v>
      </c>
      <c r="F8" s="58">
        <f>Conto_economico!G16</f>
        <v>9517788.8100000005</v>
      </c>
      <c r="G8" s="58">
        <f>Conto_economico!H16</f>
        <v>9533741.9700000007</v>
      </c>
      <c r="H8" s="58">
        <f>Conto_economico!I16</f>
        <v>11041138.800000001</v>
      </c>
      <c r="I8" s="58">
        <f>Conto_economico!J16</f>
        <v>11302352.869999999</v>
      </c>
      <c r="J8" s="58">
        <f t="shared" si="0"/>
        <v>261214.06999999844</v>
      </c>
    </row>
    <row r="9" spans="1:11" s="102" customFormat="1" x14ac:dyDescent="0.3">
      <c r="A9" s="119" t="s">
        <v>365</v>
      </c>
      <c r="B9" s="60">
        <f>Conto_economico!C29</f>
        <v>27778978.669999987</v>
      </c>
      <c r="C9" s="60">
        <f>Conto_economico!D29</f>
        <v>46588282.900000006</v>
      </c>
      <c r="D9" s="60">
        <f>Conto_economico!E29</f>
        <v>31340526.139999978</v>
      </c>
      <c r="E9" s="60">
        <f>Conto_economico!F29</f>
        <v>33398510.350000001</v>
      </c>
      <c r="F9" s="60">
        <f>Conto_economico!G29</f>
        <v>35996561.570000008</v>
      </c>
      <c r="G9" s="60">
        <f>Conto_economico!H29</f>
        <v>21081801.000000022</v>
      </c>
      <c r="H9" s="60">
        <f>Conto_economico!I29</f>
        <v>15973491.039999992</v>
      </c>
      <c r="I9" s="60">
        <f>Conto_economico!J29</f>
        <v>8180273.7199999988</v>
      </c>
      <c r="J9" s="60">
        <f t="shared" si="0"/>
        <v>-7793217.3199999928</v>
      </c>
      <c r="K9" s="60"/>
    </row>
    <row r="10" spans="1:11" x14ac:dyDescent="0.3">
      <c r="A10" s="43" t="s">
        <v>307</v>
      </c>
      <c r="B10" s="60">
        <f t="shared" ref="B10:I10" si="1">B2-B5</f>
        <v>12507949.969999999</v>
      </c>
      <c r="C10" s="60">
        <f t="shared" si="1"/>
        <v>35212584.920000017</v>
      </c>
      <c r="D10" s="60">
        <f t="shared" si="1"/>
        <v>15648609.739999965</v>
      </c>
      <c r="E10" s="60">
        <f t="shared" si="1"/>
        <v>17994062.340000004</v>
      </c>
      <c r="F10" s="60">
        <f t="shared" si="1"/>
        <v>17400889.840000004</v>
      </c>
      <c r="G10" s="60">
        <f t="shared" ref="G10:H10" si="2">G2-G5</f>
        <v>5588818.8500000238</v>
      </c>
      <c r="H10" s="60">
        <f t="shared" si="2"/>
        <v>3402877.75</v>
      </c>
      <c r="I10" s="60">
        <f t="shared" si="1"/>
        <v>-6058335.9300000221</v>
      </c>
      <c r="J10" s="60">
        <f t="shared" si="0"/>
        <v>-9461213.6800000221</v>
      </c>
    </row>
    <row r="11" spans="1:11" x14ac:dyDescent="0.3">
      <c r="A11" s="65" t="s">
        <v>308</v>
      </c>
      <c r="B11" s="58">
        <f>Conto_economico!C22-Conto_economico!C23</f>
        <v>-291074.08000000007</v>
      </c>
      <c r="C11" s="58">
        <f>Conto_economico!D22-Conto_economico!D23</f>
        <v>-1199274.54</v>
      </c>
      <c r="D11" s="58">
        <f>Conto_economico!E22-Conto_economico!E23</f>
        <v>-2167893.5</v>
      </c>
      <c r="E11" s="58">
        <f>Conto_economico!F22-Conto_economico!F23</f>
        <v>-1729138.04</v>
      </c>
      <c r="F11" s="58">
        <f>Conto_economico!G22-Conto_economico!G23</f>
        <v>134447.26</v>
      </c>
      <c r="G11" s="58">
        <f>Conto_economico!H22-Conto_economico!H23</f>
        <v>345582.89999999991</v>
      </c>
      <c r="H11" s="58">
        <f>Conto_economico!I22-Conto_economico!I23</f>
        <v>-27143.869999999879</v>
      </c>
      <c r="I11" s="58">
        <f>Conto_economico!J22-Conto_economico!J23</f>
        <v>-101813.72999999998</v>
      </c>
      <c r="J11" s="58">
        <f t="shared" si="0"/>
        <v>-74669.860000000102</v>
      </c>
    </row>
    <row r="12" spans="1:11" x14ac:dyDescent="0.3">
      <c r="A12" s="65" t="s">
        <v>309</v>
      </c>
      <c r="B12" s="59">
        <f>Conto_economico!C25-Conto_economico!C26</f>
        <v>1221657.79</v>
      </c>
      <c r="C12" s="59">
        <f>Conto_economico!D25-Conto_economico!D26</f>
        <v>-1319548.18</v>
      </c>
      <c r="D12" s="59">
        <f>Conto_economico!E25-Conto_economico!E26</f>
        <v>23265224.879999995</v>
      </c>
      <c r="E12" s="59">
        <f>Conto_economico!F25-Conto_economico!F26</f>
        <v>12650389.84</v>
      </c>
      <c r="F12" s="59">
        <f>Conto_economico!G25-Conto_economico!G26</f>
        <v>14153171.07</v>
      </c>
      <c r="G12" s="59">
        <f>Conto_economico!H25-Conto_economico!H26</f>
        <v>1302612.79</v>
      </c>
      <c r="H12" s="59">
        <f>Conto_economico!I25-Conto_economico!I26</f>
        <v>7748032.7800000003</v>
      </c>
      <c r="I12" s="59">
        <f>Conto_economico!J25-Conto_economico!J26</f>
        <v>5276406.2699999996</v>
      </c>
      <c r="J12" s="58">
        <f t="shared" si="0"/>
        <v>-2471626.5100000007</v>
      </c>
    </row>
    <row r="13" spans="1:11" x14ac:dyDescent="0.3">
      <c r="A13" s="65" t="s">
        <v>255</v>
      </c>
      <c r="B13" s="59">
        <f>Conto_economico!C24</f>
        <v>-91073.46</v>
      </c>
      <c r="C13" s="59">
        <f>Conto_economico!D24</f>
        <v>0</v>
      </c>
      <c r="D13" s="59">
        <f>Conto_economico!E24</f>
        <v>0</v>
      </c>
      <c r="E13" s="59">
        <f>Conto_economico!F24</f>
        <v>0</v>
      </c>
      <c r="F13" s="59">
        <f>Conto_economico!G24</f>
        <v>0</v>
      </c>
      <c r="G13" s="59">
        <f>Conto_economico!H24</f>
        <v>0</v>
      </c>
      <c r="H13" s="59">
        <f>Conto_economico!I24</f>
        <v>0</v>
      </c>
      <c r="I13" s="59">
        <f>Conto_economico!J24</f>
        <v>0</v>
      </c>
      <c r="J13" s="58">
        <f t="shared" si="0"/>
        <v>0</v>
      </c>
    </row>
    <row r="14" spans="1:11" x14ac:dyDescent="0.3">
      <c r="A14" s="43" t="s">
        <v>310</v>
      </c>
      <c r="B14" s="60">
        <f t="shared" ref="B14:I14" si="3">SUM(B10:B13)</f>
        <v>13347460.219999999</v>
      </c>
      <c r="C14" s="60">
        <f t="shared" si="3"/>
        <v>32693762.200000018</v>
      </c>
      <c r="D14" s="60">
        <f t="shared" si="3"/>
        <v>36745941.11999996</v>
      </c>
      <c r="E14" s="60">
        <f t="shared" si="3"/>
        <v>28915314.140000004</v>
      </c>
      <c r="F14" s="60">
        <f t="shared" si="3"/>
        <v>31688508.170000006</v>
      </c>
      <c r="G14" s="60">
        <f t="shared" ref="G14" si="4">SUM(G10:G13)</f>
        <v>7237014.5400000243</v>
      </c>
      <c r="H14" s="60">
        <f t="shared" ref="H14" si="5">SUM(H10:H13)</f>
        <v>11123766.66</v>
      </c>
      <c r="I14" s="60">
        <f t="shared" si="3"/>
        <v>-883743.39000002295</v>
      </c>
      <c r="J14" s="60">
        <f t="shared" si="0"/>
        <v>-12007510.050000023</v>
      </c>
    </row>
    <row r="15" spans="1:11" x14ac:dyDescent="0.3">
      <c r="A15" s="65" t="s">
        <v>258</v>
      </c>
      <c r="B15" s="58">
        <f>Conto_economico!C27</f>
        <v>2046691.3</v>
      </c>
      <c r="C15" s="58">
        <f>Conto_economico!D27</f>
        <v>1993379.81</v>
      </c>
      <c r="D15" s="58">
        <f>Conto_economico!E27</f>
        <v>2058739.62</v>
      </c>
      <c r="E15" s="58">
        <f>Conto_economico!F27</f>
        <v>2089206.11</v>
      </c>
      <c r="F15" s="58">
        <f>Conto_economico!G27</f>
        <v>1927379.2</v>
      </c>
      <c r="G15" s="58">
        <f>Conto_economico!H27</f>
        <v>1840375.36</v>
      </c>
      <c r="H15" s="58">
        <f>Conto_economico!I27</f>
        <v>1938913.68</v>
      </c>
      <c r="I15" s="58">
        <f>Conto_economico!J27</f>
        <v>1934941.33</v>
      </c>
      <c r="J15" s="58">
        <f t="shared" si="0"/>
        <v>-3972.3499999998603</v>
      </c>
    </row>
    <row r="16" spans="1:11" x14ac:dyDescent="0.3">
      <c r="A16" s="64" t="s">
        <v>259</v>
      </c>
      <c r="B16" s="61">
        <f t="shared" ref="B16:I16" si="6">B14-B15</f>
        <v>11300768.919999998</v>
      </c>
      <c r="C16" s="61">
        <f t="shared" si="6"/>
        <v>30700382.390000019</v>
      </c>
      <c r="D16" s="61">
        <f t="shared" si="6"/>
        <v>34687201.499999963</v>
      </c>
      <c r="E16" s="61">
        <f t="shared" si="6"/>
        <v>26826108.030000005</v>
      </c>
      <c r="F16" s="61">
        <f t="shared" si="6"/>
        <v>29761128.970000006</v>
      </c>
      <c r="G16" s="61">
        <f t="shared" ref="G16:H16" si="7">G14-G15</f>
        <v>5396639.1800000239</v>
      </c>
      <c r="H16" s="61">
        <f t="shared" si="7"/>
        <v>9184852.9800000004</v>
      </c>
      <c r="I16" s="61">
        <f t="shared" si="6"/>
        <v>-2818684.720000023</v>
      </c>
      <c r="J16" s="61">
        <f t="shared" si="0"/>
        <v>-12003537.700000023</v>
      </c>
    </row>
  </sheetData>
  <conditionalFormatting sqref="B16:E16 I16:J16">
    <cfRule type="cellIs" dxfId="82" priority="17" operator="greaterThan">
      <formula>0</formula>
    </cfRule>
  </conditionalFormatting>
  <conditionalFormatting sqref="B10:E10 B14:E14 I14:J14 I10:J10 J9">
    <cfRule type="cellIs" dxfId="81" priority="16" operator="lessThan">
      <formula>0</formula>
    </cfRule>
  </conditionalFormatting>
  <conditionalFormatting sqref="F16">
    <cfRule type="cellIs" dxfId="80" priority="8" operator="greaterThan">
      <formula>0</formula>
    </cfRule>
  </conditionalFormatting>
  <conditionalFormatting sqref="F14 F10">
    <cfRule type="cellIs" dxfId="79" priority="7" operator="lessThan">
      <formula>0</formula>
    </cfRule>
  </conditionalFormatting>
  <conditionalFormatting sqref="G16">
    <cfRule type="cellIs" dxfId="78" priority="6" operator="greaterThan">
      <formula>0</formula>
    </cfRule>
  </conditionalFormatting>
  <conditionalFormatting sqref="G14 G10">
    <cfRule type="cellIs" dxfId="77" priority="5" operator="lessThan">
      <formula>0</formula>
    </cfRule>
  </conditionalFormatting>
  <conditionalFormatting sqref="B9:G9 K9 I9">
    <cfRule type="cellIs" dxfId="76" priority="4" operator="lessThan">
      <formula>0</formula>
    </cfRule>
  </conditionalFormatting>
  <conditionalFormatting sqref="H16">
    <cfRule type="cellIs" dxfId="75" priority="3" operator="greaterThan">
      <formula>0</formula>
    </cfRule>
  </conditionalFormatting>
  <conditionalFormatting sqref="H14 H10">
    <cfRule type="cellIs" dxfId="74" priority="2" operator="lessThan">
      <formula>0</formula>
    </cfRule>
  </conditionalFormatting>
  <conditionalFormatting sqref="H9">
    <cfRule type="cellIs" dxfId="7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workbookViewId="0">
      <selection activeCell="J2" sqref="J2:J28"/>
    </sheetView>
  </sheetViews>
  <sheetFormatPr defaultRowHeight="14.4" x14ac:dyDescent="0.3"/>
  <cols>
    <col min="1" max="1" width="51.6640625" style="29" bestFit="1" customWidth="1"/>
    <col min="2" max="4" width="11.109375" bestFit="1" customWidth="1"/>
    <col min="5" max="6" width="12" bestFit="1" customWidth="1"/>
    <col min="7" max="10" width="12" style="102" bestFit="1" customWidth="1"/>
    <col min="11" max="12" width="12.6640625" bestFit="1" customWidth="1"/>
  </cols>
  <sheetData>
    <row r="1" spans="1:10" x14ac:dyDescent="0.3">
      <c r="A1" s="67"/>
      <c r="B1" s="93">
        <v>2015</v>
      </c>
      <c r="C1" s="93">
        <v>2016</v>
      </c>
      <c r="D1" s="93">
        <v>2017</v>
      </c>
      <c r="E1" s="93">
        <v>2018</v>
      </c>
      <c r="F1" s="93">
        <v>2019</v>
      </c>
      <c r="G1" s="93">
        <v>2020</v>
      </c>
      <c r="H1" s="93">
        <v>2021</v>
      </c>
      <c r="I1" s="93">
        <v>2022</v>
      </c>
      <c r="J1" s="93">
        <v>2023</v>
      </c>
    </row>
    <row r="2" spans="1:10" x14ac:dyDescent="0.3">
      <c r="A2" s="29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03">
        <v>0</v>
      </c>
      <c r="H2" s="103">
        <v>0</v>
      </c>
      <c r="I2" s="103">
        <v>0</v>
      </c>
      <c r="J2" s="103">
        <v>0</v>
      </c>
    </row>
    <row r="3" spans="1:10" x14ac:dyDescent="0.3">
      <c r="A3" s="29" t="s">
        <v>213</v>
      </c>
      <c r="B3" s="1">
        <v>308253.73</v>
      </c>
      <c r="C3" s="1">
        <v>11700.64</v>
      </c>
      <c r="D3" s="1">
        <v>36256.04</v>
      </c>
      <c r="E3" s="1">
        <v>168671.77</v>
      </c>
      <c r="F3" s="1">
        <v>2067793.37</v>
      </c>
      <c r="G3" s="103">
        <v>2584627.7799999998</v>
      </c>
      <c r="H3" s="103">
        <v>2766900.11</v>
      </c>
      <c r="I3" s="103">
        <v>2595287.7799999998</v>
      </c>
      <c r="J3" s="103">
        <v>7461280.0599999996</v>
      </c>
    </row>
    <row r="4" spans="1:10" x14ac:dyDescent="0.3">
      <c r="A4" s="29" t="s">
        <v>214</v>
      </c>
      <c r="B4" s="1">
        <v>344859218.25</v>
      </c>
      <c r="C4" s="1">
        <v>355428971.04000002</v>
      </c>
      <c r="D4" s="1">
        <v>366341543.13999999</v>
      </c>
      <c r="E4" s="1">
        <v>399394441.61000001</v>
      </c>
      <c r="F4" s="1">
        <v>414442644.55000001</v>
      </c>
      <c r="G4" s="103">
        <v>432078442.61000001</v>
      </c>
      <c r="H4" s="103">
        <v>444752196.22000003</v>
      </c>
      <c r="I4" s="103">
        <v>460192472.95999998</v>
      </c>
      <c r="J4" s="103">
        <v>480909743.14999998</v>
      </c>
    </row>
    <row r="5" spans="1:10" x14ac:dyDescent="0.3">
      <c r="A5" s="29" t="s">
        <v>228</v>
      </c>
      <c r="B5" s="1">
        <f>89467882.4+7209149.95+23361401.57</f>
        <v>120038433.92000002</v>
      </c>
      <c r="C5" s="1">
        <f>89467882.4+7209149.95+23361401.57</f>
        <v>120038433.92000002</v>
      </c>
      <c r="D5" s="1">
        <v>106695179.04000001</v>
      </c>
      <c r="E5" s="1">
        <v>108546557.83</v>
      </c>
      <c r="F5" s="1">
        <v>114310331.72</v>
      </c>
      <c r="G5" s="103">
        <v>115782750.7</v>
      </c>
      <c r="H5" s="103">
        <v>118074548.59</v>
      </c>
      <c r="I5" s="103">
        <v>119683487.78</v>
      </c>
      <c r="J5" s="103">
        <v>124128317.39</v>
      </c>
    </row>
    <row r="6" spans="1:10" x14ac:dyDescent="0.3">
      <c r="A6" s="29" t="s">
        <v>229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03">
        <v>0</v>
      </c>
      <c r="H6" s="103">
        <v>0</v>
      </c>
      <c r="I6" s="103">
        <v>0</v>
      </c>
      <c r="J6" s="103">
        <v>0</v>
      </c>
    </row>
    <row r="7" spans="1:10" x14ac:dyDescent="0.3">
      <c r="A7" s="29" t="s">
        <v>230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03">
        <v>0</v>
      </c>
      <c r="H7" s="103">
        <v>0</v>
      </c>
      <c r="I7" s="103">
        <v>0</v>
      </c>
      <c r="J7" s="103">
        <v>0</v>
      </c>
    </row>
    <row r="8" spans="1:10" x14ac:dyDescent="0.3">
      <c r="A8" s="29" t="s">
        <v>231</v>
      </c>
      <c r="B8" s="1">
        <v>0</v>
      </c>
      <c r="C8" s="1">
        <v>3723.5</v>
      </c>
      <c r="D8" s="1">
        <v>9355</v>
      </c>
      <c r="E8" s="1">
        <v>8287.35</v>
      </c>
      <c r="F8" s="1">
        <v>9868</v>
      </c>
      <c r="G8" s="103">
        <v>18098.86</v>
      </c>
      <c r="H8" s="103">
        <v>29043.74</v>
      </c>
      <c r="I8" s="103">
        <v>0</v>
      </c>
      <c r="J8" s="103">
        <v>0</v>
      </c>
    </row>
    <row r="9" spans="1:10" x14ac:dyDescent="0.3">
      <c r="A9" s="29" t="s">
        <v>215</v>
      </c>
      <c r="B9" s="1">
        <v>42360043.609999999</v>
      </c>
      <c r="C9" s="1">
        <v>51557410.109999999</v>
      </c>
      <c r="D9" s="1">
        <v>63524654.399999999</v>
      </c>
      <c r="E9" s="1">
        <v>49091530.369999997</v>
      </c>
      <c r="F9" s="1">
        <v>52043596.060000002</v>
      </c>
      <c r="G9" s="103">
        <v>59077321.82</v>
      </c>
      <c r="H9" s="103">
        <v>45274368.350000001</v>
      </c>
      <c r="I9" s="103">
        <v>46078273.109999999</v>
      </c>
      <c r="J9" s="103">
        <v>67238415.950000003</v>
      </c>
    </row>
    <row r="10" spans="1:10" x14ac:dyDescent="0.3">
      <c r="A10" s="29" t="s">
        <v>232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03">
        <v>0</v>
      </c>
      <c r="H10" s="103">
        <v>0</v>
      </c>
      <c r="I10" s="103">
        <v>0</v>
      </c>
      <c r="J10" s="103">
        <v>0</v>
      </c>
    </row>
    <row r="11" spans="1:10" x14ac:dyDescent="0.3">
      <c r="A11" s="29" t="s">
        <v>216</v>
      </c>
      <c r="B11" s="1">
        <v>40197354.880000003</v>
      </c>
      <c r="C11" s="1">
        <v>42892191.399999999</v>
      </c>
      <c r="D11" s="1">
        <v>51664021.909999996</v>
      </c>
      <c r="E11" s="1">
        <v>53297708.609999999</v>
      </c>
      <c r="F11" s="1">
        <v>52473147.630000003</v>
      </c>
      <c r="G11" s="103">
        <v>64485013.259999998</v>
      </c>
      <c r="H11" s="103">
        <v>72103792.670000002</v>
      </c>
      <c r="I11" s="103">
        <v>82202878.569999993</v>
      </c>
      <c r="J11" s="103">
        <v>59938908.719999999</v>
      </c>
    </row>
    <row r="12" spans="1:10" x14ac:dyDescent="0.3">
      <c r="A12" s="29" t="s">
        <v>217</v>
      </c>
      <c r="B12" s="1">
        <v>0</v>
      </c>
      <c r="C12" s="1">
        <v>29761.38</v>
      </c>
      <c r="D12" s="1">
        <v>29902.65</v>
      </c>
      <c r="E12" s="1">
        <v>29048.49</v>
      </c>
      <c r="F12" s="1">
        <v>3972.65</v>
      </c>
      <c r="G12" s="103">
        <v>4471.38</v>
      </c>
      <c r="H12" s="103">
        <v>10863.57</v>
      </c>
      <c r="I12" s="103">
        <v>27395.03</v>
      </c>
      <c r="J12" s="103">
        <v>4787.03</v>
      </c>
    </row>
    <row r="13" spans="1:10" x14ac:dyDescent="0.3">
      <c r="A13" s="10" t="s">
        <v>218</v>
      </c>
      <c r="B13" s="11">
        <f t="shared" ref="B13:J13" si="0">SUM(B2:B12)</f>
        <v>547763304.3900001</v>
      </c>
      <c r="C13" s="11">
        <f t="shared" si="0"/>
        <v>569962191.99000001</v>
      </c>
      <c r="D13" s="11">
        <f t="shared" si="0"/>
        <v>588300912.17999995</v>
      </c>
      <c r="E13" s="11">
        <f t="shared" si="0"/>
        <v>610536246.02999997</v>
      </c>
      <c r="F13" s="11">
        <f t="shared" si="0"/>
        <v>635351353.98000002</v>
      </c>
      <c r="G13" s="11">
        <f t="shared" ref="G13" si="1">SUM(G2:G12)</f>
        <v>674030726.41000009</v>
      </c>
      <c r="H13" s="11">
        <f t="shared" ref="H13" si="2">SUM(H2:H12)</f>
        <v>683011713.25000012</v>
      </c>
      <c r="I13" s="11">
        <f t="shared" ref="I13" si="3">SUM(I2:I12)</f>
        <v>710779795.23000002</v>
      </c>
      <c r="J13" s="11">
        <f t="shared" si="0"/>
        <v>739681452.30000007</v>
      </c>
    </row>
    <row r="14" spans="1:10" x14ac:dyDescent="0.3">
      <c r="A14" s="29" t="s">
        <v>219</v>
      </c>
      <c r="B14" s="1">
        <v>329575590.23000002</v>
      </c>
      <c r="C14" s="1">
        <v>329575590.23000002</v>
      </c>
      <c r="D14" s="1">
        <v>-10974160.93</v>
      </c>
      <c r="E14" s="1">
        <v>-10974160.93</v>
      </c>
      <c r="F14" s="1">
        <v>10000000</v>
      </c>
      <c r="G14" s="103">
        <v>10000000</v>
      </c>
      <c r="H14" s="103">
        <v>10000000</v>
      </c>
      <c r="I14" s="103">
        <v>10000000</v>
      </c>
      <c r="J14" s="103">
        <v>10000000</v>
      </c>
    </row>
    <row r="15" spans="1:10" x14ac:dyDescent="0.3">
      <c r="A15" s="29" t="s">
        <v>220</v>
      </c>
      <c r="B15" s="89">
        <f>60714971.36</f>
        <v>60714971.359999999</v>
      </c>
      <c r="C15" s="89">
        <f>68791224.65+2042984.32</f>
        <v>70834208.969999999</v>
      </c>
      <c r="D15" s="1">
        <v>407973681.10000002</v>
      </c>
      <c r="E15" s="1">
        <v>442883198.94</v>
      </c>
      <c r="F15" s="1">
        <v>464025312.11000001</v>
      </c>
      <c r="G15" s="103">
        <v>453459214.51999998</v>
      </c>
      <c r="H15" s="103">
        <v>452495689.70999998</v>
      </c>
      <c r="I15" s="103">
        <v>463893311.43000001</v>
      </c>
      <c r="J15" s="103">
        <v>486181693.69999999</v>
      </c>
    </row>
    <row r="16" spans="1:10" x14ac:dyDescent="0.3">
      <c r="A16" s="29" t="s">
        <v>235</v>
      </c>
      <c r="B16" s="1">
        <v>0</v>
      </c>
      <c r="C16" s="1">
        <v>2042984.32</v>
      </c>
      <c r="D16" s="1">
        <v>4955323.18</v>
      </c>
      <c r="E16" s="1">
        <v>7300370.1399999997</v>
      </c>
      <c r="F16" s="1">
        <v>8966025.5099999998</v>
      </c>
      <c r="G16" s="103">
        <v>9966025.5099999998</v>
      </c>
      <c r="H16" s="103">
        <v>1140473.5900000001</v>
      </c>
      <c r="I16" s="103">
        <v>3371938.16</v>
      </c>
      <c r="J16" s="103">
        <v>2261038.81</v>
      </c>
    </row>
    <row r="17" spans="1:12" x14ac:dyDescent="0.3">
      <c r="A17" s="29" t="s">
        <v>221</v>
      </c>
      <c r="B17" s="1">
        <v>8076253.0899999999</v>
      </c>
      <c r="C17" s="1">
        <v>11300768.92</v>
      </c>
      <c r="D17" s="1">
        <v>30700382.390000001</v>
      </c>
      <c r="E17" s="1">
        <v>34687201.5</v>
      </c>
      <c r="F17" s="1">
        <v>26826108.030000001</v>
      </c>
      <c r="G17" s="103">
        <v>29761128.969999999</v>
      </c>
      <c r="H17" s="103">
        <v>5396639.1799999997</v>
      </c>
      <c r="I17" s="103">
        <v>9184852.9800000004</v>
      </c>
      <c r="J17" s="103">
        <v>-2818684.72</v>
      </c>
    </row>
    <row r="18" spans="1:12" s="102" customFormat="1" x14ac:dyDescent="0.3">
      <c r="A18" s="29" t="s">
        <v>362</v>
      </c>
      <c r="B18" s="103"/>
      <c r="C18" s="103"/>
      <c r="D18" s="103"/>
      <c r="E18" s="103"/>
      <c r="F18" s="103"/>
      <c r="G18" s="103">
        <v>39864624.590000004</v>
      </c>
      <c r="H18" s="103">
        <v>61506799.460000001</v>
      </c>
      <c r="I18" s="103">
        <v>66903438.640000001</v>
      </c>
      <c r="J18" s="103">
        <v>68124889.420000002</v>
      </c>
      <c r="K18" s="103"/>
    </row>
    <row r="19" spans="1:12" s="102" customFormat="1" x14ac:dyDescent="0.3">
      <c r="A19" s="29" t="s">
        <v>363</v>
      </c>
      <c r="B19" s="103"/>
      <c r="C19" s="103"/>
      <c r="D19" s="103"/>
      <c r="E19" s="103"/>
      <c r="F19" s="103"/>
      <c r="G19" s="103">
        <v>0</v>
      </c>
      <c r="H19" s="103">
        <v>0</v>
      </c>
      <c r="I19" s="103">
        <v>0</v>
      </c>
      <c r="J19" s="103">
        <v>0</v>
      </c>
      <c r="K19" s="103"/>
    </row>
    <row r="20" spans="1:12" x14ac:dyDescent="0.3">
      <c r="A20" s="29" t="s">
        <v>222</v>
      </c>
      <c r="B20" s="1">
        <v>16752337.58</v>
      </c>
      <c r="C20" s="1">
        <v>27781923.25</v>
      </c>
      <c r="D20" s="1">
        <v>28862835.359999999</v>
      </c>
      <c r="E20" s="1">
        <v>29047049.690000001</v>
      </c>
      <c r="F20" s="1">
        <v>25106447.079999998</v>
      </c>
      <c r="G20" s="103">
        <v>23746454.699999999</v>
      </c>
      <c r="H20" s="103">
        <v>3998769.49</v>
      </c>
      <c r="I20" s="103">
        <v>1918355.55</v>
      </c>
      <c r="J20" s="103">
        <v>2658776.92</v>
      </c>
    </row>
    <row r="21" spans="1:12" x14ac:dyDescent="0.3">
      <c r="A21" s="29" t="s">
        <v>209</v>
      </c>
      <c r="B21" s="1">
        <f>27933917.89+76301801.49</f>
        <v>104235719.38</v>
      </c>
      <c r="C21" s="1">
        <f>25456414.52+73390001.01</f>
        <v>98846415.530000001</v>
      </c>
      <c r="D21" s="1">
        <v>97083448.010000005</v>
      </c>
      <c r="E21" s="1">
        <v>82283863.930000007</v>
      </c>
      <c r="F21" s="1">
        <v>77244421.530000001</v>
      </c>
      <c r="G21" s="103">
        <v>73405448.640000001</v>
      </c>
      <c r="H21" s="103">
        <v>69153679.540000007</v>
      </c>
      <c r="I21" s="103">
        <v>67268169.200000003</v>
      </c>
      <c r="J21" s="103">
        <v>72557102.930000007</v>
      </c>
    </row>
    <row r="22" spans="1:12" x14ac:dyDescent="0.3">
      <c r="A22" s="29" t="s">
        <v>223</v>
      </c>
      <c r="B22" s="1">
        <v>14248145.359999999</v>
      </c>
      <c r="C22" s="1">
        <v>12934910.869999999</v>
      </c>
      <c r="D22" s="1">
        <v>11394138.880000001</v>
      </c>
      <c r="E22" s="1">
        <v>12485871.75</v>
      </c>
      <c r="F22" s="1">
        <v>10816101.1</v>
      </c>
      <c r="G22" s="103">
        <v>13664702.949999999</v>
      </c>
      <c r="H22" s="103">
        <v>26874211.710000001</v>
      </c>
      <c r="I22" s="103">
        <v>30207330.640000001</v>
      </c>
      <c r="J22" s="103">
        <v>24977231.329999998</v>
      </c>
    </row>
    <row r="23" spans="1:12" x14ac:dyDescent="0.3">
      <c r="A23" s="29" t="s">
        <v>224</v>
      </c>
      <c r="B23" s="1">
        <f>2137499.16+1599366.22</f>
        <v>3736865.38</v>
      </c>
      <c r="C23" s="1">
        <f>2481675.34+390650.48+2114131.45</f>
        <v>4986457.2699999996</v>
      </c>
      <c r="D23" s="1">
        <v>4841956.95</v>
      </c>
      <c r="E23" s="1">
        <v>5064053.74</v>
      </c>
      <c r="F23" s="1">
        <v>4597114.7300000004</v>
      </c>
      <c r="G23" s="103">
        <v>11465624.15</v>
      </c>
      <c r="H23" s="103">
        <v>12203996.699999999</v>
      </c>
      <c r="I23" s="103">
        <v>11465262.109999999</v>
      </c>
      <c r="J23" s="103">
        <v>11704034.890000001</v>
      </c>
    </row>
    <row r="24" spans="1:12" x14ac:dyDescent="0.3">
      <c r="A24" s="29" t="s">
        <v>225</v>
      </c>
      <c r="B24" s="1">
        <f>4938175.93+2684103.54+1482039.31</f>
        <v>9104318.7799999993</v>
      </c>
      <c r="C24" s="1">
        <f>6116354.52+3502359.03+3140787.23</f>
        <v>12759500.779999999</v>
      </c>
      <c r="D24" s="1">
        <v>15979580.060000001</v>
      </c>
      <c r="E24" s="1">
        <v>11750734.130000001</v>
      </c>
      <c r="F24" s="1">
        <v>12215321.310000001</v>
      </c>
      <c r="G24" s="103">
        <v>14675322.029999999</v>
      </c>
      <c r="H24" s="103">
        <v>14984872.800000001</v>
      </c>
      <c r="I24" s="103">
        <v>7125372.4699999997</v>
      </c>
      <c r="J24" s="103">
        <v>12636707.640000001</v>
      </c>
      <c r="K24" s="1"/>
      <c r="L24" s="1"/>
    </row>
    <row r="25" spans="1:12" x14ac:dyDescent="0.3">
      <c r="A25" s="29" t="s">
        <v>226</v>
      </c>
      <c r="B25" s="1">
        <v>1319103.23</v>
      </c>
      <c r="C25" s="1">
        <v>942416.37</v>
      </c>
      <c r="D25" s="1">
        <v>2439050.36</v>
      </c>
      <c r="E25" s="1">
        <v>3308433.3</v>
      </c>
      <c r="F25" s="1">
        <v>4520528.0999999996</v>
      </c>
      <c r="G25" s="103">
        <v>3988205.86</v>
      </c>
      <c r="H25" s="103">
        <v>26397054.66</v>
      </c>
      <c r="I25" s="103">
        <v>42813702.210000001</v>
      </c>
      <c r="J25" s="103">
        <v>53659700.189999998</v>
      </c>
    </row>
    <row r="26" spans="1:12" x14ac:dyDescent="0.3">
      <c r="A26" s="66" t="s">
        <v>227</v>
      </c>
      <c r="B26" s="3">
        <f t="shared" ref="B26:J26" si="4">SUM(B14:B25)-B16</f>
        <v>547763304.38999999</v>
      </c>
      <c r="C26" s="3">
        <f t="shared" si="4"/>
        <v>569962192.18999994</v>
      </c>
      <c r="D26" s="3">
        <f t="shared" si="4"/>
        <v>588300912.18000007</v>
      </c>
      <c r="E26" s="3">
        <f t="shared" si="4"/>
        <v>610536246.04999995</v>
      </c>
      <c r="F26" s="3">
        <f t="shared" si="4"/>
        <v>635351353.99000001</v>
      </c>
      <c r="G26" s="3">
        <f t="shared" ref="G26" si="5">SUM(G14:G25)-G16</f>
        <v>674030726.41000009</v>
      </c>
      <c r="H26" s="3">
        <f t="shared" ref="H26" si="6">SUM(H14:H25)-H16</f>
        <v>683011713.24999988</v>
      </c>
      <c r="I26" s="3">
        <f t="shared" ref="I26" si="7">SUM(I14:I25)-I16</f>
        <v>710779795.23000014</v>
      </c>
      <c r="J26" s="3">
        <f t="shared" si="4"/>
        <v>739681452.29999995</v>
      </c>
    </row>
    <row r="27" spans="1:12" x14ac:dyDescent="0.3">
      <c r="A27" s="10" t="s">
        <v>267</v>
      </c>
      <c r="B27" s="11">
        <f t="shared" ref="B27:J27" si="8">B14+B15+B17+B18+B19</f>
        <v>398366814.68000001</v>
      </c>
      <c r="C27" s="11">
        <f t="shared" si="8"/>
        <v>411710568.12000006</v>
      </c>
      <c r="D27" s="11">
        <f t="shared" si="8"/>
        <v>427699902.56</v>
      </c>
      <c r="E27" s="11">
        <f t="shared" si="8"/>
        <v>466596239.50999999</v>
      </c>
      <c r="F27" s="11">
        <f t="shared" si="8"/>
        <v>500851420.13999999</v>
      </c>
      <c r="G27" s="11">
        <f t="shared" ref="G27:I27" si="9">G14+G15+G17+G18+G19</f>
        <v>533084968.08000004</v>
      </c>
      <c r="H27" s="11">
        <f t="shared" si="9"/>
        <v>529399128.34999996</v>
      </c>
      <c r="I27" s="11">
        <f t="shared" si="9"/>
        <v>549981603.05000007</v>
      </c>
      <c r="J27" s="11">
        <f t="shared" si="8"/>
        <v>561487898.39999998</v>
      </c>
    </row>
    <row r="28" spans="1:12" x14ac:dyDescent="0.3">
      <c r="B28" s="105">
        <f t="shared" ref="B28:D28" si="10">B27/B26*100</f>
        <v>72.726086520824751</v>
      </c>
      <c r="C28" s="105">
        <f t="shared" si="10"/>
        <v>72.23471552350864</v>
      </c>
      <c r="D28" s="105">
        <f t="shared" si="10"/>
        <v>72.700873601422927</v>
      </c>
      <c r="E28" s="105">
        <f t="shared" ref="E28:J28" si="11">E27/E26*100</f>
        <v>76.424003083968913</v>
      </c>
      <c r="F28" s="105">
        <f t="shared" si="11"/>
        <v>78.830621355358446</v>
      </c>
      <c r="G28" s="105">
        <f t="shared" si="11"/>
        <v>79.0891197081325</v>
      </c>
      <c r="H28" s="105">
        <f t="shared" si="11"/>
        <v>77.509524079893239</v>
      </c>
      <c r="I28" s="105">
        <f t="shared" si="11"/>
        <v>77.377213975536876</v>
      </c>
      <c r="J28" s="105">
        <f t="shared" si="11"/>
        <v>75.909419744686488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A71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  <col min="7" max="7" width="9.109375" style="102"/>
    <col min="8" max="10" width="8.88671875" style="102"/>
    <col min="11" max="11" width="9.109375" style="102"/>
  </cols>
  <sheetData>
    <row r="1" spans="1:11" x14ac:dyDescent="0.3">
      <c r="A1" s="149" t="s">
        <v>210</v>
      </c>
      <c r="B1" s="149"/>
      <c r="C1" s="2" t="s">
        <v>211</v>
      </c>
      <c r="D1" s="2">
        <v>2016</v>
      </c>
      <c r="E1" s="2">
        <v>2017</v>
      </c>
      <c r="F1" s="2">
        <v>2018</v>
      </c>
      <c r="G1" s="126">
        <v>2019</v>
      </c>
      <c r="H1" s="132">
        <v>2020</v>
      </c>
      <c r="I1" s="136">
        <v>2021</v>
      </c>
      <c r="J1" s="142">
        <v>2022</v>
      </c>
      <c r="K1" s="100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35.536000000000001</v>
      </c>
      <c r="E3" s="7">
        <v>38.64</v>
      </c>
      <c r="F3" s="7">
        <v>46.15</v>
      </c>
      <c r="G3" s="104">
        <v>47.33</v>
      </c>
      <c r="H3" s="104">
        <v>40.140999999999998</v>
      </c>
      <c r="I3" s="104">
        <v>37.908999999999999</v>
      </c>
      <c r="J3" s="104">
        <v>39.4</v>
      </c>
      <c r="K3" s="104">
        <v>39.67</v>
      </c>
    </row>
    <row r="4" spans="1:11" x14ac:dyDescent="0.3">
      <c r="A4" t="s">
        <v>80</v>
      </c>
      <c r="D4" s="7"/>
      <c r="E4" s="7"/>
      <c r="F4" s="7"/>
      <c r="G4" s="104"/>
      <c r="H4" s="104"/>
      <c r="I4" s="104"/>
      <c r="J4" s="104"/>
      <c r="K4" s="104"/>
    </row>
    <row r="5" spans="1:11" x14ac:dyDescent="0.3">
      <c r="A5" t="s">
        <v>81</v>
      </c>
      <c r="B5" t="s">
        <v>82</v>
      </c>
      <c r="D5" s="7">
        <v>101.489</v>
      </c>
      <c r="E5" s="7">
        <v>105.67</v>
      </c>
      <c r="F5" s="7">
        <v>81.400000000000006</v>
      </c>
      <c r="G5" s="104">
        <v>101.75</v>
      </c>
      <c r="H5" s="104">
        <v>107.45699999999999</v>
      </c>
      <c r="I5" s="104">
        <v>116.372</v>
      </c>
      <c r="J5" s="104">
        <v>103.66</v>
      </c>
      <c r="K5" s="104">
        <v>99.63</v>
      </c>
    </row>
    <row r="6" spans="1:11" x14ac:dyDescent="0.3">
      <c r="A6" t="s">
        <v>83</v>
      </c>
      <c r="B6" t="s">
        <v>84</v>
      </c>
      <c r="D6" s="7">
        <v>99.965000000000003</v>
      </c>
      <c r="E6" s="7">
        <v>97.88</v>
      </c>
      <c r="F6" s="7">
        <v>97.3</v>
      </c>
      <c r="G6" s="104">
        <v>97.85</v>
      </c>
      <c r="H6" s="104">
        <v>100.974</v>
      </c>
      <c r="I6" s="104">
        <v>102.52200000000001</v>
      </c>
      <c r="J6" s="104">
        <v>98.93</v>
      </c>
      <c r="K6" s="104">
        <v>95</v>
      </c>
    </row>
    <row r="7" spans="1:11" x14ac:dyDescent="0.3">
      <c r="A7" t="s">
        <v>85</v>
      </c>
      <c r="B7" t="s">
        <v>86</v>
      </c>
      <c r="D7" s="7">
        <v>93.960999999999999</v>
      </c>
      <c r="E7" s="7">
        <v>93.62</v>
      </c>
      <c r="F7" s="7">
        <v>71.2</v>
      </c>
      <c r="G7" s="104">
        <v>64.56</v>
      </c>
      <c r="H7" s="104">
        <v>58.738999999999997</v>
      </c>
      <c r="I7" s="104">
        <v>68.034999999999997</v>
      </c>
      <c r="J7" s="104">
        <v>64.180000000000007</v>
      </c>
      <c r="K7" s="104">
        <v>61.76</v>
      </c>
    </row>
    <row r="8" spans="1:11" x14ac:dyDescent="0.3">
      <c r="A8" t="s">
        <v>87</v>
      </c>
      <c r="B8" t="s">
        <v>88</v>
      </c>
      <c r="D8" s="7">
        <v>92.55</v>
      </c>
      <c r="E8" s="7">
        <v>86.72</v>
      </c>
      <c r="F8" s="7">
        <v>85.11</v>
      </c>
      <c r="G8" s="104">
        <v>62.08</v>
      </c>
      <c r="H8" s="104">
        <v>55.195</v>
      </c>
      <c r="I8" s="104">
        <v>59.936999999999998</v>
      </c>
      <c r="J8" s="104">
        <v>61.26</v>
      </c>
      <c r="K8" s="104">
        <v>58.9</v>
      </c>
    </row>
    <row r="9" spans="1:11" x14ac:dyDescent="0.3">
      <c r="A9" t="s">
        <v>89</v>
      </c>
      <c r="B9" t="s">
        <v>90</v>
      </c>
      <c r="D9" s="7">
        <v>83.010999999999996</v>
      </c>
      <c r="E9" s="7">
        <v>79.8</v>
      </c>
      <c r="F9" s="7">
        <v>75.25</v>
      </c>
      <c r="G9" s="104">
        <v>81.3</v>
      </c>
      <c r="H9" s="104">
        <v>84.137</v>
      </c>
      <c r="I9" s="104">
        <v>87.831999999999994</v>
      </c>
      <c r="J9" s="104">
        <v>77.650000000000006</v>
      </c>
      <c r="K9" s="104">
        <v>81.72</v>
      </c>
    </row>
    <row r="10" spans="1:11" x14ac:dyDescent="0.3">
      <c r="A10" t="s">
        <v>91</v>
      </c>
      <c r="B10" t="s">
        <v>92</v>
      </c>
      <c r="D10" s="7">
        <v>82.197999999999993</v>
      </c>
      <c r="E10" s="7">
        <v>72.459999999999994</v>
      </c>
      <c r="F10" s="7">
        <v>77.37</v>
      </c>
      <c r="G10" s="104">
        <v>73.36</v>
      </c>
      <c r="H10" s="104">
        <v>78.429000000000002</v>
      </c>
      <c r="I10" s="104">
        <v>78.447999999999993</v>
      </c>
      <c r="J10" s="104">
        <v>74.569999999999993</v>
      </c>
      <c r="K10" s="104">
        <v>78.45</v>
      </c>
    </row>
    <row r="11" spans="1:11" x14ac:dyDescent="0.3">
      <c r="A11" t="s">
        <v>93</v>
      </c>
      <c r="B11" t="s">
        <v>94</v>
      </c>
      <c r="D11" s="7">
        <v>76.728999999999999</v>
      </c>
      <c r="E11" s="7">
        <v>70.86</v>
      </c>
      <c r="F11" s="7">
        <v>66</v>
      </c>
      <c r="G11" s="104">
        <v>51.71</v>
      </c>
      <c r="H11" s="104">
        <v>47.542000000000002</v>
      </c>
      <c r="I11" s="104">
        <v>50.451999999999998</v>
      </c>
      <c r="J11" s="104">
        <v>47.77</v>
      </c>
      <c r="K11" s="104">
        <v>49.79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75.977999999999994</v>
      </c>
      <c r="E12" s="7">
        <v>64.349999999999994</v>
      </c>
      <c r="F12" s="7">
        <v>67.86</v>
      </c>
      <c r="G12" s="104">
        <v>46.67</v>
      </c>
      <c r="H12" s="104">
        <v>44.317</v>
      </c>
      <c r="I12" s="104">
        <v>45.061</v>
      </c>
      <c r="J12" s="104">
        <v>45.88</v>
      </c>
      <c r="K12" s="104">
        <v>47.79</v>
      </c>
    </row>
    <row r="13" spans="1:11" x14ac:dyDescent="0.3">
      <c r="A13" t="s">
        <v>97</v>
      </c>
      <c r="D13" s="7"/>
      <c r="E13" s="7"/>
      <c r="F13" s="7"/>
      <c r="G13" s="104"/>
      <c r="H13" s="104"/>
      <c r="I13" s="104"/>
      <c r="J13" s="104"/>
      <c r="K13" s="104"/>
    </row>
    <row r="14" spans="1:11" x14ac:dyDescent="0.3">
      <c r="A14" t="s">
        <v>98</v>
      </c>
      <c r="B14" t="s">
        <v>99</v>
      </c>
      <c r="D14" s="7">
        <v>0</v>
      </c>
      <c r="E14" s="7">
        <v>0</v>
      </c>
      <c r="F14" s="7">
        <v>0</v>
      </c>
      <c r="G14" s="104">
        <v>0</v>
      </c>
      <c r="H14" s="104">
        <v>0</v>
      </c>
      <c r="I14" s="104">
        <v>0</v>
      </c>
      <c r="J14" s="104">
        <v>0</v>
      </c>
      <c r="K14" s="104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</row>
    <row r="16" spans="1:11" x14ac:dyDescent="0.3">
      <c r="A16" t="s">
        <v>102</v>
      </c>
      <c r="D16" s="7"/>
      <c r="E16" s="7"/>
      <c r="F16" s="7"/>
      <c r="G16" s="104"/>
      <c r="H16" s="104"/>
      <c r="I16" s="104"/>
      <c r="J16" s="104"/>
      <c r="K16" s="104"/>
    </row>
    <row r="17" spans="1:11" x14ac:dyDescent="0.3">
      <c r="A17" t="s">
        <v>103</v>
      </c>
      <c r="B17" t="s">
        <v>104</v>
      </c>
      <c r="D17" s="7">
        <v>34.738</v>
      </c>
      <c r="E17" s="7">
        <v>32.215000000000003</v>
      </c>
      <c r="F17" s="7">
        <v>40.987000000000002</v>
      </c>
      <c r="G17" s="104">
        <v>43.523000000000003</v>
      </c>
      <c r="H17" s="104">
        <v>40.695</v>
      </c>
      <c r="I17" s="104">
        <v>31.527000000000001</v>
      </c>
      <c r="J17" s="104">
        <v>33.21</v>
      </c>
      <c r="K17" s="104">
        <v>31.38</v>
      </c>
    </row>
    <row r="18" spans="1:11" x14ac:dyDescent="0.3">
      <c r="A18" t="s">
        <v>105</v>
      </c>
      <c r="B18" t="s">
        <v>106</v>
      </c>
      <c r="D18" s="7">
        <v>12.89</v>
      </c>
      <c r="E18" s="7">
        <v>10.374000000000001</v>
      </c>
      <c r="F18" s="7">
        <v>9.1660000000000004</v>
      </c>
      <c r="G18" s="104">
        <v>13.449</v>
      </c>
      <c r="H18" s="104">
        <v>12.724</v>
      </c>
      <c r="I18" s="104">
        <v>13.358000000000001</v>
      </c>
      <c r="J18" s="104">
        <v>13.37</v>
      </c>
      <c r="K18" s="104">
        <v>14.69</v>
      </c>
    </row>
    <row r="19" spans="1:11" x14ac:dyDescent="0.3">
      <c r="A19" t="s">
        <v>107</v>
      </c>
      <c r="B19" t="s">
        <v>108</v>
      </c>
      <c r="D19" s="7">
        <v>0.502</v>
      </c>
      <c r="E19" s="7">
        <v>0.74399999999999999</v>
      </c>
      <c r="F19" s="7">
        <v>1.008</v>
      </c>
      <c r="G19" s="104">
        <v>1.2629999999999999</v>
      </c>
      <c r="H19" s="104">
        <v>0.76900000000000002</v>
      </c>
      <c r="I19" s="104">
        <v>3.2519999999999998</v>
      </c>
      <c r="J19" s="104">
        <v>3.92</v>
      </c>
      <c r="K19" s="104">
        <v>3.91</v>
      </c>
    </row>
    <row r="20" spans="1:11" x14ac:dyDescent="0.3">
      <c r="A20" t="s">
        <v>109</v>
      </c>
      <c r="B20" t="s">
        <v>110</v>
      </c>
      <c r="D20" s="7">
        <v>338.70699999999999</v>
      </c>
      <c r="E20" s="7">
        <v>324.46800000000002</v>
      </c>
      <c r="F20" s="7">
        <v>332.51600000000002</v>
      </c>
      <c r="G20" s="104">
        <v>348.90499999999997</v>
      </c>
      <c r="H20" s="104">
        <v>320.91500000000002</v>
      </c>
      <c r="I20" s="104">
        <v>305.279</v>
      </c>
      <c r="J20" s="104">
        <v>325.52</v>
      </c>
      <c r="K20" s="104">
        <v>318.81</v>
      </c>
    </row>
    <row r="21" spans="1:11" x14ac:dyDescent="0.3">
      <c r="A21" t="s">
        <v>111</v>
      </c>
      <c r="D21" s="7"/>
      <c r="E21" s="7"/>
      <c r="F21" s="7"/>
      <c r="G21" s="104"/>
      <c r="H21" s="104"/>
      <c r="I21" s="104"/>
      <c r="J21" s="104"/>
      <c r="K21" s="104"/>
    </row>
    <row r="22" spans="1:11" x14ac:dyDescent="0.3">
      <c r="A22" t="s">
        <v>112</v>
      </c>
      <c r="B22" t="s">
        <v>113</v>
      </c>
      <c r="D22" s="7">
        <v>33.863</v>
      </c>
      <c r="E22" s="7">
        <v>32.5</v>
      </c>
      <c r="F22" s="7">
        <v>14.74</v>
      </c>
      <c r="G22" s="104">
        <v>14.23</v>
      </c>
      <c r="H22" s="104">
        <v>15.02</v>
      </c>
      <c r="I22" s="104">
        <v>22.282</v>
      </c>
      <c r="J22" s="104">
        <v>22.35</v>
      </c>
      <c r="K22" s="104">
        <v>23.04</v>
      </c>
    </row>
    <row r="23" spans="1:11" x14ac:dyDescent="0.3">
      <c r="A23" t="s">
        <v>114</v>
      </c>
      <c r="D23" s="7"/>
      <c r="E23" s="7"/>
      <c r="F23" s="7"/>
      <c r="G23" s="104"/>
      <c r="H23" s="104"/>
      <c r="I23" s="104"/>
      <c r="J23" s="104"/>
      <c r="K23" s="104"/>
    </row>
    <row r="24" spans="1:11" x14ac:dyDescent="0.3">
      <c r="A24" t="s">
        <v>115</v>
      </c>
      <c r="B24" t="s">
        <v>116</v>
      </c>
      <c r="D24" s="7">
        <v>1.1399999999999999</v>
      </c>
      <c r="E24" s="7">
        <v>5.63</v>
      </c>
      <c r="F24" s="7">
        <v>2.8</v>
      </c>
      <c r="G24" s="104">
        <v>2.4140000000000001</v>
      </c>
      <c r="H24" s="104">
        <v>0.97299999999999998</v>
      </c>
      <c r="I24" s="104">
        <v>0.873</v>
      </c>
      <c r="J24" s="104">
        <v>1.24</v>
      </c>
      <c r="K24" s="104">
        <v>1.46</v>
      </c>
    </row>
    <row r="25" spans="1:11" x14ac:dyDescent="0.3">
      <c r="A25" t="s">
        <v>117</v>
      </c>
      <c r="B25" t="s">
        <v>118</v>
      </c>
      <c r="D25" s="7">
        <v>0</v>
      </c>
      <c r="E25" s="7">
        <v>0</v>
      </c>
      <c r="F25" s="7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</row>
    <row r="26" spans="1:11" x14ac:dyDescent="0.3">
      <c r="A26" t="s">
        <v>119</v>
      </c>
      <c r="B26" t="s">
        <v>120</v>
      </c>
      <c r="D26" s="7">
        <v>0</v>
      </c>
      <c r="E26" s="7">
        <v>0</v>
      </c>
      <c r="F26" s="7">
        <v>2.3E-2</v>
      </c>
      <c r="G26" s="104">
        <v>5.0000000000000001E-3</v>
      </c>
      <c r="H26" s="104">
        <v>0.45900000000000002</v>
      </c>
      <c r="I26" s="104">
        <v>0</v>
      </c>
      <c r="J26" s="104">
        <v>0</v>
      </c>
      <c r="K26" s="104">
        <v>0.01</v>
      </c>
    </row>
    <row r="27" spans="1:11" x14ac:dyDescent="0.3">
      <c r="A27" t="s">
        <v>121</v>
      </c>
      <c r="D27" s="7"/>
      <c r="E27" s="7"/>
      <c r="F27" s="7"/>
      <c r="G27" s="104"/>
      <c r="H27" s="104"/>
      <c r="I27" s="104"/>
      <c r="J27" s="104"/>
      <c r="K27" s="104"/>
    </row>
    <row r="28" spans="1:11" x14ac:dyDescent="0.3">
      <c r="A28" t="s">
        <v>122</v>
      </c>
      <c r="B28" t="s">
        <v>123</v>
      </c>
      <c r="D28" s="7">
        <v>9.3019999999999996</v>
      </c>
      <c r="E28" s="7">
        <v>12.529</v>
      </c>
      <c r="F28" s="7">
        <v>18.75</v>
      </c>
      <c r="G28" s="104">
        <v>19.574000000000002</v>
      </c>
      <c r="H28" s="104">
        <v>18.183</v>
      </c>
      <c r="I28" s="104">
        <v>16.507999999999999</v>
      </c>
      <c r="J28" s="104">
        <v>19.04</v>
      </c>
      <c r="K28" s="104">
        <v>21.05</v>
      </c>
    </row>
    <row r="29" spans="1:11" x14ac:dyDescent="0.3">
      <c r="A29" t="s">
        <v>124</v>
      </c>
      <c r="B29" t="s">
        <v>125</v>
      </c>
      <c r="D29" s="7">
        <v>87.15</v>
      </c>
      <c r="E29" s="7">
        <v>132.32900000000001</v>
      </c>
      <c r="F29" s="7">
        <v>174.68899999999999</v>
      </c>
      <c r="G29" s="104">
        <v>188.244</v>
      </c>
      <c r="H29" s="104">
        <v>169.02500000000001</v>
      </c>
      <c r="I29" s="104">
        <v>187.3897</v>
      </c>
      <c r="J29" s="104">
        <v>217.7</v>
      </c>
      <c r="K29" s="104">
        <v>260.12</v>
      </c>
    </row>
    <row r="30" spans="1:11" x14ac:dyDescent="0.3">
      <c r="A30" t="s">
        <v>126</v>
      </c>
      <c r="B30" t="s">
        <v>127</v>
      </c>
      <c r="D30" s="7">
        <v>14.750999999999999</v>
      </c>
      <c r="E30" s="7">
        <v>12.67</v>
      </c>
      <c r="F30" s="7">
        <v>13.507999999999999</v>
      </c>
      <c r="G30" s="104">
        <v>4.2270000000000003</v>
      </c>
      <c r="H30" s="104">
        <v>5.4189999999999996</v>
      </c>
      <c r="I30" s="104">
        <v>2.96</v>
      </c>
      <c r="J30" s="104">
        <v>12.01</v>
      </c>
      <c r="K30" s="104">
        <v>9.74</v>
      </c>
    </row>
    <row r="31" spans="1:11" x14ac:dyDescent="0.3">
      <c r="A31" t="s">
        <v>128</v>
      </c>
      <c r="B31" t="s">
        <v>129</v>
      </c>
      <c r="D31" s="7">
        <v>101.901</v>
      </c>
      <c r="E31" s="7">
        <v>144.999</v>
      </c>
      <c r="F31" s="7">
        <v>189.197</v>
      </c>
      <c r="G31" s="104">
        <v>192.47200000000001</v>
      </c>
      <c r="H31" s="104">
        <v>174.44399999999999</v>
      </c>
      <c r="I31" s="104">
        <v>190.34800000000001</v>
      </c>
      <c r="J31" s="104">
        <v>229.71</v>
      </c>
      <c r="K31" s="104">
        <v>269.87</v>
      </c>
    </row>
    <row r="32" spans="1:11" x14ac:dyDescent="0.3">
      <c r="A32" t="s">
        <v>130</v>
      </c>
      <c r="B32" t="s">
        <v>131</v>
      </c>
      <c r="D32" s="7">
        <v>160.93899999999999</v>
      </c>
      <c r="E32" s="7">
        <v>0</v>
      </c>
      <c r="F32" s="7">
        <v>4.2999999999999997E-2</v>
      </c>
      <c r="G32" s="104">
        <v>0</v>
      </c>
      <c r="H32" s="104">
        <v>0</v>
      </c>
      <c r="I32" s="104">
        <v>0</v>
      </c>
      <c r="J32" s="104">
        <v>0</v>
      </c>
      <c r="K32" s="104">
        <v>0</v>
      </c>
    </row>
    <row r="33" spans="1:11" x14ac:dyDescent="0.3">
      <c r="A33" t="s">
        <v>132</v>
      </c>
      <c r="B33" t="s">
        <v>133</v>
      </c>
      <c r="D33" s="7">
        <v>0</v>
      </c>
      <c r="E33" s="7">
        <v>0</v>
      </c>
      <c r="F33" s="7">
        <v>0</v>
      </c>
      <c r="G33" s="104">
        <v>0</v>
      </c>
      <c r="H33" s="104">
        <v>0</v>
      </c>
      <c r="I33" s="104">
        <v>0</v>
      </c>
      <c r="J33" s="104">
        <v>0</v>
      </c>
      <c r="K33" s="104">
        <v>0</v>
      </c>
    </row>
    <row r="34" spans="1:11" x14ac:dyDescent="0.3">
      <c r="A34" t="s">
        <v>134</v>
      </c>
      <c r="B34" t="s">
        <v>135</v>
      </c>
      <c r="D34" s="7">
        <v>13.582000000000001</v>
      </c>
      <c r="E34" s="7">
        <v>1.268</v>
      </c>
      <c r="F34" s="7">
        <v>0</v>
      </c>
      <c r="G34" s="104">
        <v>7.3620000000000001</v>
      </c>
      <c r="H34" s="104">
        <v>7.4160000000000004</v>
      </c>
      <c r="I34" s="104">
        <v>12.257</v>
      </c>
      <c r="J34" s="104">
        <v>27.01</v>
      </c>
      <c r="K34" s="104">
        <v>41.02</v>
      </c>
    </row>
    <row r="35" spans="1:11" x14ac:dyDescent="0.3">
      <c r="A35" t="s">
        <v>136</v>
      </c>
      <c r="D35" s="7"/>
      <c r="E35" s="7"/>
      <c r="F35" s="7"/>
      <c r="G35" s="104"/>
      <c r="H35" s="104"/>
      <c r="I35" s="104"/>
      <c r="J35" s="104"/>
      <c r="K35" s="104"/>
    </row>
    <row r="36" spans="1:11" x14ac:dyDescent="0.3">
      <c r="A36" t="s">
        <v>137</v>
      </c>
      <c r="B36" t="s">
        <v>138</v>
      </c>
      <c r="D36" s="7">
        <v>99.819000000000003</v>
      </c>
      <c r="E36" s="7">
        <v>98.99</v>
      </c>
      <c r="F36" s="7">
        <v>99.4</v>
      </c>
      <c r="G36" s="104">
        <v>99.17</v>
      </c>
      <c r="H36" s="104">
        <v>96.501999999999995</v>
      </c>
      <c r="I36" s="104">
        <v>92.847999999999999</v>
      </c>
      <c r="J36" s="104">
        <v>78.25</v>
      </c>
      <c r="K36" s="104">
        <v>81.599999999999994</v>
      </c>
    </row>
    <row r="37" spans="1:11" x14ac:dyDescent="0.3">
      <c r="A37" t="s">
        <v>139</v>
      </c>
      <c r="B37" t="s">
        <v>140</v>
      </c>
      <c r="D37" s="7">
        <v>71.001000000000005</v>
      </c>
      <c r="E37" s="7">
        <v>82.02</v>
      </c>
      <c r="F37" s="7">
        <v>88.738</v>
      </c>
      <c r="G37" s="104">
        <v>81.77</v>
      </c>
      <c r="H37" s="104">
        <v>88.84</v>
      </c>
      <c r="I37" s="104">
        <v>90.275000000000006</v>
      </c>
      <c r="J37" s="104">
        <v>93.71</v>
      </c>
      <c r="K37" s="104">
        <v>93.99</v>
      </c>
    </row>
    <row r="38" spans="1:11" x14ac:dyDescent="0.3">
      <c r="A38" t="s">
        <v>141</v>
      </c>
      <c r="B38" t="s">
        <v>142</v>
      </c>
      <c r="D38" s="7">
        <v>0</v>
      </c>
      <c r="E38" s="7">
        <v>0</v>
      </c>
      <c r="F38" s="7">
        <v>100</v>
      </c>
      <c r="G38" s="104">
        <v>100</v>
      </c>
      <c r="H38" s="104">
        <v>100</v>
      </c>
      <c r="I38" s="104">
        <v>100</v>
      </c>
      <c r="J38" s="104">
        <v>100</v>
      </c>
      <c r="K38" s="104">
        <v>100</v>
      </c>
    </row>
    <row r="39" spans="1:11" x14ac:dyDescent="0.3">
      <c r="A39" t="s">
        <v>143</v>
      </c>
      <c r="B39" t="s">
        <v>144</v>
      </c>
      <c r="D39" s="7">
        <v>70.570999999999998</v>
      </c>
      <c r="E39" s="7">
        <v>69.72</v>
      </c>
      <c r="F39" s="7">
        <v>56.08</v>
      </c>
      <c r="G39" s="104">
        <v>52.68</v>
      </c>
      <c r="H39" s="104">
        <v>54.201999999999998</v>
      </c>
      <c r="I39" s="104">
        <v>58.494999999999997</v>
      </c>
      <c r="J39" s="104">
        <v>55.37</v>
      </c>
      <c r="K39" s="104">
        <v>60.11</v>
      </c>
    </row>
    <row r="40" spans="1:11" x14ac:dyDescent="0.3">
      <c r="A40" t="s">
        <v>145</v>
      </c>
      <c r="B40" t="s">
        <v>146</v>
      </c>
      <c r="D40" s="7">
        <v>27.861999999999998</v>
      </c>
      <c r="E40" s="7">
        <v>67.12</v>
      </c>
      <c r="F40" s="7">
        <v>84.825000000000003</v>
      </c>
      <c r="G40" s="104">
        <v>80.319999999999993</v>
      </c>
      <c r="H40" s="104">
        <v>59.68</v>
      </c>
      <c r="I40" s="104">
        <v>66.972999999999999</v>
      </c>
      <c r="J40" s="104">
        <v>68.13</v>
      </c>
      <c r="K40" s="104">
        <v>79.349999999999994</v>
      </c>
    </row>
    <row r="41" spans="1:11" x14ac:dyDescent="0.3">
      <c r="A41" t="s">
        <v>147</v>
      </c>
      <c r="B41" t="s">
        <v>148</v>
      </c>
      <c r="D41" s="7">
        <v>100</v>
      </c>
      <c r="E41" s="7">
        <v>0</v>
      </c>
      <c r="F41" s="7">
        <v>0</v>
      </c>
      <c r="G41" s="104">
        <v>81.67</v>
      </c>
      <c r="H41" s="104">
        <v>73.206999999999994</v>
      </c>
      <c r="I41" s="104">
        <v>80.808000000000007</v>
      </c>
      <c r="J41" s="104">
        <v>22.38</v>
      </c>
      <c r="K41" s="104">
        <v>75.72</v>
      </c>
    </row>
    <row r="42" spans="1:11" x14ac:dyDescent="0.3">
      <c r="A42" t="s">
        <v>149</v>
      </c>
      <c r="D42" s="7"/>
      <c r="E42" s="7"/>
      <c r="F42" s="7"/>
      <c r="G42" s="104"/>
      <c r="H42" s="104"/>
      <c r="I42" s="104"/>
      <c r="J42" s="104"/>
      <c r="K42" s="104"/>
    </row>
    <row r="43" spans="1:11" x14ac:dyDescent="0.3">
      <c r="A43" t="s">
        <v>150</v>
      </c>
      <c r="B43" t="s">
        <v>151</v>
      </c>
      <c r="D43" s="7">
        <v>83.972999999999999</v>
      </c>
      <c r="E43" s="7">
        <v>86.49</v>
      </c>
      <c r="F43" s="7">
        <v>79.144000000000005</v>
      </c>
      <c r="G43" s="104">
        <v>78.52</v>
      </c>
      <c r="H43" s="104">
        <v>74.950999999999993</v>
      </c>
      <c r="I43" s="104">
        <v>64.94</v>
      </c>
      <c r="J43" s="104">
        <v>61.65</v>
      </c>
      <c r="K43" s="104">
        <v>73.260000000000005</v>
      </c>
    </row>
    <row r="44" spans="1:11" x14ac:dyDescent="0.3">
      <c r="A44" t="s">
        <v>152</v>
      </c>
      <c r="B44" t="s">
        <v>153</v>
      </c>
      <c r="D44" s="7">
        <v>91.593999999999994</v>
      </c>
      <c r="E44" s="7">
        <v>89.35</v>
      </c>
      <c r="F44" s="7">
        <v>91.67</v>
      </c>
      <c r="G44" s="104">
        <v>90.97</v>
      </c>
      <c r="H44" s="104">
        <v>82.159000000000006</v>
      </c>
      <c r="I44" s="104">
        <v>88.650999999999996</v>
      </c>
      <c r="J44" s="104">
        <v>75.260000000000005</v>
      </c>
      <c r="K44" s="104">
        <v>77.709999999999994</v>
      </c>
    </row>
    <row r="45" spans="1:11" x14ac:dyDescent="0.3">
      <c r="A45" t="s">
        <v>154</v>
      </c>
      <c r="B45" t="s">
        <v>155</v>
      </c>
      <c r="D45" s="7">
        <v>67.436000000000007</v>
      </c>
      <c r="E45" s="7">
        <v>68.319999999999993</v>
      </c>
      <c r="F45" s="7">
        <v>75.98</v>
      </c>
      <c r="G45" s="104">
        <v>79.03</v>
      </c>
      <c r="H45" s="104">
        <v>44.948999999999998</v>
      </c>
      <c r="I45" s="104">
        <v>70.412999999999997</v>
      </c>
      <c r="J45" s="104">
        <v>55.09</v>
      </c>
      <c r="K45" s="104">
        <v>55.13</v>
      </c>
    </row>
    <row r="46" spans="1:11" x14ac:dyDescent="0.3">
      <c r="A46" t="s">
        <v>156</v>
      </c>
      <c r="B46" t="s">
        <v>157</v>
      </c>
      <c r="D46" s="7">
        <v>100</v>
      </c>
      <c r="E46" s="7">
        <v>100</v>
      </c>
      <c r="F46" s="7">
        <v>100</v>
      </c>
      <c r="G46" s="104">
        <v>98.912999999999997</v>
      </c>
      <c r="H46" s="104">
        <v>89.646000000000001</v>
      </c>
      <c r="I46" s="104">
        <v>75.965999999999994</v>
      </c>
      <c r="J46" s="104">
        <v>72.98</v>
      </c>
      <c r="K46" s="104">
        <v>79.95</v>
      </c>
    </row>
    <row r="47" spans="1:11" x14ac:dyDescent="0.3">
      <c r="A47" t="s">
        <v>158</v>
      </c>
      <c r="B47" t="s">
        <v>159</v>
      </c>
      <c r="D47" s="7">
        <v>13.8</v>
      </c>
      <c r="E47" s="7">
        <v>4.45</v>
      </c>
      <c r="F47" s="7">
        <v>-6.24</v>
      </c>
      <c r="G47" s="104">
        <v>-9.4</v>
      </c>
      <c r="H47" s="104">
        <v>-7.82</v>
      </c>
      <c r="I47" s="104">
        <v>-8</v>
      </c>
      <c r="J47" s="104">
        <v>-11</v>
      </c>
      <c r="K47" s="104">
        <v>-10.71</v>
      </c>
    </row>
    <row r="48" spans="1:11" x14ac:dyDescent="0.3">
      <c r="A48" t="s">
        <v>160</v>
      </c>
      <c r="D48" s="7"/>
      <c r="E48" s="7"/>
      <c r="F48" s="7"/>
      <c r="G48" s="104"/>
      <c r="H48" s="104"/>
      <c r="I48" s="104"/>
      <c r="J48" s="104"/>
      <c r="K48" s="104"/>
    </row>
    <row r="49" spans="1:11" x14ac:dyDescent="0.3">
      <c r="A49" t="s">
        <v>161</v>
      </c>
      <c r="B49" t="s">
        <v>162</v>
      </c>
      <c r="D49" s="7">
        <v>0</v>
      </c>
      <c r="E49" s="7">
        <v>0</v>
      </c>
      <c r="F49" s="7">
        <v>0</v>
      </c>
      <c r="G49" s="104">
        <v>0.51600000000000001</v>
      </c>
      <c r="H49" s="104">
        <v>0</v>
      </c>
      <c r="I49" s="104">
        <v>0</v>
      </c>
      <c r="J49" s="104">
        <v>0</v>
      </c>
      <c r="K49" s="104">
        <v>0</v>
      </c>
    </row>
    <row r="50" spans="1:11" x14ac:dyDescent="0.3">
      <c r="A50" t="s">
        <v>163</v>
      </c>
      <c r="B50" t="s">
        <v>164</v>
      </c>
      <c r="D50" s="7">
        <v>6.9379999999999997</v>
      </c>
      <c r="E50" s="7">
        <v>8.8800000000000008</v>
      </c>
      <c r="F50" s="7">
        <v>9.14</v>
      </c>
      <c r="G50" s="104">
        <v>10.238</v>
      </c>
      <c r="H50" s="104">
        <v>8.75</v>
      </c>
      <c r="I50" s="104">
        <v>11.14</v>
      </c>
      <c r="J50" s="104">
        <v>14.66</v>
      </c>
      <c r="K50" s="104">
        <v>15.51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5.8040000000000003</v>
      </c>
      <c r="E51" s="7">
        <v>11.218999999999999</v>
      </c>
      <c r="F51" s="7">
        <v>9.5500000000000007</v>
      </c>
      <c r="G51" s="104">
        <v>9.3079999999999998</v>
      </c>
      <c r="H51" s="104">
        <v>6.33</v>
      </c>
      <c r="I51" s="104">
        <v>6.8330000000000002</v>
      </c>
      <c r="J51" s="104">
        <v>8.6199999999999992</v>
      </c>
      <c r="K51" s="104">
        <v>9.1</v>
      </c>
    </row>
    <row r="52" spans="1:11" x14ac:dyDescent="0.3">
      <c r="A52" t="s">
        <v>167</v>
      </c>
      <c r="B52" t="s">
        <v>168</v>
      </c>
      <c r="D52" s="7">
        <v>742.34099755923546</v>
      </c>
      <c r="E52" s="7">
        <v>735.43100000000004</v>
      </c>
      <c r="F52" s="7">
        <v>680.91</v>
      </c>
      <c r="G52" s="104">
        <v>578.94399999999996</v>
      </c>
      <c r="H52" s="104">
        <v>581.23</v>
      </c>
      <c r="I52" s="104">
        <v>559.96</v>
      </c>
      <c r="J52" s="104">
        <v>532.48</v>
      </c>
      <c r="K52" s="104">
        <v>513.66999999999996</v>
      </c>
    </row>
    <row r="53" spans="1:11" x14ac:dyDescent="0.3">
      <c r="A53" t="s">
        <v>169</v>
      </c>
      <c r="D53" s="7">
        <v>16.967723072654653</v>
      </c>
      <c r="E53" s="7">
        <v>16.771780486301655</v>
      </c>
      <c r="F53" s="7">
        <v>11.95786299188519</v>
      </c>
      <c r="G53" s="104">
        <v>21.965431503896014</v>
      </c>
      <c r="H53" s="104">
        <v>20.829155762708609</v>
      </c>
      <c r="I53" s="104">
        <v>28.175492788300851</v>
      </c>
      <c r="J53" s="104">
        <v>25.109772587882357</v>
      </c>
      <c r="K53" s="104">
        <v>9.676023249665306</v>
      </c>
    </row>
    <row r="54" spans="1:11" x14ac:dyDescent="0.3">
      <c r="A54" t="s">
        <v>170</v>
      </c>
      <c r="B54" t="s">
        <v>171</v>
      </c>
      <c r="D54" s="7">
        <v>14.615317018805143</v>
      </c>
      <c r="E54" s="7">
        <v>14.691505529130039</v>
      </c>
      <c r="F54" s="7">
        <v>10.482163858142975</v>
      </c>
      <c r="G54" s="104">
        <v>19.145729852224303</v>
      </c>
      <c r="H54" s="104">
        <v>19.839924821383331</v>
      </c>
      <c r="I54" s="104">
        <v>26.859427271211654</v>
      </c>
      <c r="J54" s="104">
        <v>21.446208206530532</v>
      </c>
      <c r="K54" s="104">
        <v>8.2647374439040107</v>
      </c>
    </row>
    <row r="55" spans="1:11" x14ac:dyDescent="0.3">
      <c r="A55" t="s">
        <v>172</v>
      </c>
      <c r="B55" t="s">
        <v>173</v>
      </c>
      <c r="D55" s="7">
        <v>2.3524060538495095</v>
      </c>
      <c r="E55" s="7">
        <v>2.0802749571716173</v>
      </c>
      <c r="F55" s="7">
        <v>1.4756991337422138</v>
      </c>
      <c r="G55" s="104">
        <v>2.8197016516717093</v>
      </c>
      <c r="H55" s="104">
        <v>0.98923094132527756</v>
      </c>
      <c r="I55" s="104">
        <v>1.3160655170891957</v>
      </c>
      <c r="J55" s="104">
        <v>3.6635643813518248</v>
      </c>
      <c r="K55" s="104">
        <v>1.4112858057612951</v>
      </c>
    </row>
    <row r="56" spans="1:11" x14ac:dyDescent="0.3">
      <c r="A56" t="s">
        <v>174</v>
      </c>
      <c r="B56" t="s">
        <v>175</v>
      </c>
      <c r="D56" s="7">
        <v>59.643998699418134</v>
      </c>
      <c r="E56" s="7">
        <v>57.193333372889086</v>
      </c>
      <c r="F56" s="7">
        <v>63.345688543419435</v>
      </c>
      <c r="G56" s="104">
        <v>56.680323960198052</v>
      </c>
      <c r="H56" s="104">
        <v>50.233460987807057</v>
      </c>
      <c r="I56" s="104">
        <v>44.532951935267434</v>
      </c>
      <c r="J56" s="104">
        <v>48.441279170581133</v>
      </c>
      <c r="K56" s="104">
        <v>59.524132705055735</v>
      </c>
    </row>
    <row r="57" spans="1:11" x14ac:dyDescent="0.3">
      <c r="A57" t="s">
        <v>176</v>
      </c>
      <c r="B57" t="s">
        <v>177</v>
      </c>
      <c r="D57" s="7">
        <v>23.388278227927213</v>
      </c>
      <c r="E57" s="7">
        <v>26.034886140809256</v>
      </c>
      <c r="F57" s="7">
        <v>24.696448464695379</v>
      </c>
      <c r="G57" s="104">
        <v>21.354244535905938</v>
      </c>
      <c r="H57" s="104">
        <v>28.937383249484338</v>
      </c>
      <c r="I57" s="104">
        <v>27.291555276431712</v>
      </c>
      <c r="J57" s="104">
        <v>26.448948241536513</v>
      </c>
      <c r="K57" s="104">
        <v>30.799844045278956</v>
      </c>
    </row>
    <row r="58" spans="1:11" x14ac:dyDescent="0.3">
      <c r="A58" t="s">
        <v>178</v>
      </c>
      <c r="D58" s="7"/>
      <c r="E58" s="7"/>
      <c r="F58" s="7"/>
      <c r="G58" s="104"/>
      <c r="H58" s="104"/>
      <c r="I58" s="104"/>
      <c r="J58" s="104"/>
      <c r="K58" s="104"/>
    </row>
    <row r="59" spans="1:11" x14ac:dyDescent="0.3">
      <c r="A59" t="s">
        <v>179</v>
      </c>
      <c r="B59" t="s">
        <v>180</v>
      </c>
      <c r="D59" s="7" t="s">
        <v>355</v>
      </c>
      <c r="E59" s="7" t="s">
        <v>355</v>
      </c>
      <c r="F59" s="7" t="s">
        <v>355</v>
      </c>
      <c r="G59" s="104" t="s">
        <v>355</v>
      </c>
      <c r="H59" s="104" t="s">
        <v>355</v>
      </c>
      <c r="I59" s="104" t="s">
        <v>355</v>
      </c>
      <c r="J59" s="104" t="s">
        <v>355</v>
      </c>
      <c r="K59" s="104" t="s">
        <v>355</v>
      </c>
    </row>
    <row r="60" spans="1:11" x14ac:dyDescent="0.3">
      <c r="A60" t="s">
        <v>181</v>
      </c>
      <c r="B60" t="s">
        <v>182</v>
      </c>
      <c r="D60" s="7" t="s">
        <v>355</v>
      </c>
      <c r="E60" s="7" t="s">
        <v>355</v>
      </c>
      <c r="F60" s="7" t="s">
        <v>355</v>
      </c>
      <c r="G60" s="104" t="s">
        <v>355</v>
      </c>
      <c r="H60" s="104" t="s">
        <v>355</v>
      </c>
      <c r="I60" s="104" t="s">
        <v>355</v>
      </c>
      <c r="J60" s="104" t="s">
        <v>355</v>
      </c>
      <c r="K60" s="104" t="s">
        <v>355</v>
      </c>
    </row>
    <row r="61" spans="1:11" x14ac:dyDescent="0.3">
      <c r="A61" t="s">
        <v>183</v>
      </c>
      <c r="B61" t="s">
        <v>184</v>
      </c>
      <c r="D61" s="7">
        <v>0</v>
      </c>
      <c r="E61" s="7">
        <v>0</v>
      </c>
      <c r="F61" s="7">
        <v>0</v>
      </c>
      <c r="G61" s="104">
        <v>0</v>
      </c>
      <c r="H61" s="104">
        <v>0</v>
      </c>
      <c r="I61" s="104">
        <v>0</v>
      </c>
      <c r="J61" s="104">
        <v>0</v>
      </c>
      <c r="K61" s="104">
        <v>0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0</v>
      </c>
      <c r="E62" s="7">
        <v>0</v>
      </c>
      <c r="F62" s="7">
        <v>0</v>
      </c>
      <c r="G62" s="104">
        <v>0</v>
      </c>
      <c r="H62" s="104">
        <v>0</v>
      </c>
      <c r="I62" s="104">
        <v>0</v>
      </c>
      <c r="J62" s="104">
        <v>0</v>
      </c>
      <c r="K62" s="104">
        <v>0</v>
      </c>
    </row>
    <row r="63" spans="1:11" x14ac:dyDescent="0.3">
      <c r="A63" t="s">
        <v>187</v>
      </c>
      <c r="D63" s="7"/>
      <c r="E63" s="7"/>
      <c r="F63" s="7"/>
      <c r="G63" s="104"/>
      <c r="H63" s="104"/>
      <c r="I63" s="104"/>
      <c r="J63" s="104"/>
      <c r="K63" s="104"/>
    </row>
    <row r="64" spans="1:11" x14ac:dyDescent="0.3">
      <c r="A64" s="8" t="s">
        <v>188</v>
      </c>
      <c r="B64" s="8" t="s">
        <v>189</v>
      </c>
      <c r="C64" s="9">
        <v>1</v>
      </c>
      <c r="D64" s="7">
        <v>3.0000000000000001E-3</v>
      </c>
      <c r="E64" s="7">
        <v>0.04</v>
      </c>
      <c r="F64" s="7">
        <v>0.13700000000000001</v>
      </c>
      <c r="G64" s="104">
        <v>8.9999999999999993E-3</v>
      </c>
      <c r="H64" s="104">
        <v>0.03</v>
      </c>
      <c r="I64" s="104">
        <v>0</v>
      </c>
      <c r="J64" s="104">
        <v>0.01</v>
      </c>
      <c r="K64" s="104">
        <v>0.03</v>
      </c>
    </row>
    <row r="65" spans="1:11" x14ac:dyDescent="0.3">
      <c r="A65" s="8" t="s">
        <v>190</v>
      </c>
      <c r="B65" s="8" t="s">
        <v>191</v>
      </c>
      <c r="C65" s="9"/>
      <c r="D65" s="7">
        <v>0</v>
      </c>
      <c r="E65" s="7">
        <v>0.02</v>
      </c>
      <c r="F65" s="7">
        <v>0</v>
      </c>
      <c r="G65" s="104">
        <v>0</v>
      </c>
      <c r="H65" s="104">
        <v>0</v>
      </c>
      <c r="I65" s="104">
        <v>0</v>
      </c>
      <c r="J65" s="104">
        <v>0.01</v>
      </c>
      <c r="K65" s="104">
        <v>0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3.0000000000000001E-3</v>
      </c>
      <c r="E66" s="7">
        <v>0</v>
      </c>
      <c r="F66" s="7">
        <v>0</v>
      </c>
      <c r="G66" s="104">
        <v>0.01</v>
      </c>
      <c r="H66" s="104">
        <v>0</v>
      </c>
      <c r="I66" s="104">
        <v>0</v>
      </c>
      <c r="J66" s="104">
        <v>0</v>
      </c>
      <c r="K66" s="104">
        <v>0</v>
      </c>
    </row>
    <row r="67" spans="1:11" x14ac:dyDescent="0.3">
      <c r="A67" t="s">
        <v>194</v>
      </c>
      <c r="D67" s="7"/>
      <c r="E67" s="7"/>
      <c r="F67" s="7"/>
      <c r="G67" s="104"/>
      <c r="H67" s="104"/>
      <c r="I67" s="104"/>
      <c r="J67" s="104"/>
      <c r="K67" s="104"/>
    </row>
    <row r="68" spans="1:11" x14ac:dyDescent="0.3">
      <c r="A68" t="s">
        <v>195</v>
      </c>
      <c r="B68" t="s">
        <v>196</v>
      </c>
      <c r="D68" s="7">
        <v>66.852999999999994</v>
      </c>
      <c r="E68" s="7">
        <v>73.08</v>
      </c>
      <c r="F68" s="27">
        <v>64.08</v>
      </c>
      <c r="G68" s="109">
        <v>70.56</v>
      </c>
      <c r="H68" s="109">
        <v>63.353000000000002</v>
      </c>
      <c r="I68" s="109">
        <v>70.525000000000006</v>
      </c>
      <c r="J68" s="109">
        <v>59.09</v>
      </c>
      <c r="K68" s="109">
        <v>46.83</v>
      </c>
    </row>
    <row r="69" spans="1:11" x14ac:dyDescent="0.3">
      <c r="A69" t="s">
        <v>197</v>
      </c>
      <c r="D69" s="7"/>
      <c r="E69" s="7"/>
      <c r="F69" s="7"/>
      <c r="G69" s="104"/>
      <c r="H69" s="104"/>
      <c r="I69" s="104"/>
      <c r="J69" s="104"/>
      <c r="K69" s="104"/>
    </row>
    <row r="70" spans="1:11" x14ac:dyDescent="0.3">
      <c r="A70" t="s">
        <v>198</v>
      </c>
      <c r="B70" t="s">
        <v>199</v>
      </c>
      <c r="D70" s="7">
        <v>11.532999999999999</v>
      </c>
      <c r="E70" s="27">
        <v>12.87</v>
      </c>
      <c r="F70" s="7">
        <v>16.059999999999999</v>
      </c>
      <c r="G70" s="104">
        <v>15.64</v>
      </c>
      <c r="H70" s="104">
        <v>14.898</v>
      </c>
      <c r="I70" s="104">
        <v>12.897</v>
      </c>
      <c r="J70" s="104">
        <v>15.8</v>
      </c>
      <c r="K70" s="104">
        <v>18.34</v>
      </c>
    </row>
    <row r="71" spans="1:11" x14ac:dyDescent="0.3">
      <c r="A71" t="s">
        <v>200</v>
      </c>
      <c r="B71" t="s">
        <v>201</v>
      </c>
      <c r="D71" s="7">
        <v>15.637</v>
      </c>
      <c r="E71" s="27">
        <v>15.17</v>
      </c>
      <c r="F71" s="7">
        <v>18.13</v>
      </c>
      <c r="G71" s="104">
        <v>18.22</v>
      </c>
      <c r="H71" s="104">
        <v>18.041</v>
      </c>
      <c r="I71" s="104">
        <v>14.03</v>
      </c>
      <c r="J71" s="104">
        <v>17.14</v>
      </c>
      <c r="K71" s="104">
        <v>18.940000000000001</v>
      </c>
    </row>
    <row r="72" spans="1:11" x14ac:dyDescent="0.3">
      <c r="A72" t="s">
        <v>305</v>
      </c>
      <c r="D72" s="7"/>
      <c r="E72" s="7"/>
      <c r="F72" s="7"/>
      <c r="G72" s="104"/>
      <c r="H72" s="104"/>
      <c r="I72" s="104"/>
      <c r="J72" s="104"/>
      <c r="K72" s="104"/>
    </row>
    <row r="73" spans="1:11" x14ac:dyDescent="0.3">
      <c r="B73" t="s">
        <v>202</v>
      </c>
      <c r="D73" s="7">
        <v>83.206000000000003</v>
      </c>
      <c r="E73" s="7">
        <v>76.716999999999999</v>
      </c>
      <c r="F73" s="7">
        <v>81.491</v>
      </c>
      <c r="G73" s="104">
        <v>81.352999999999994</v>
      </c>
      <c r="H73" s="104">
        <v>80.352000000000004</v>
      </c>
      <c r="I73" s="104">
        <v>82.393000000000001</v>
      </c>
      <c r="J73" s="104">
        <v>83.542464872487031</v>
      </c>
      <c r="K73" s="104">
        <v>77.913932062451323</v>
      </c>
    </row>
    <row r="74" spans="1:11" x14ac:dyDescent="0.3">
      <c r="B74" t="s">
        <v>203</v>
      </c>
      <c r="D74" s="7">
        <v>83.503</v>
      </c>
      <c r="E74" s="7">
        <v>78.558999999999997</v>
      </c>
      <c r="F74" s="7">
        <v>85.680999999999997</v>
      </c>
      <c r="G74" s="104">
        <v>86.715000000000003</v>
      </c>
      <c r="H74" s="104">
        <v>85.405000000000001</v>
      </c>
      <c r="I74" s="104">
        <v>86.546000000000006</v>
      </c>
      <c r="J74" s="104">
        <v>86.596237392303564</v>
      </c>
      <c r="K74" s="104">
        <v>78.610592775486637</v>
      </c>
    </row>
    <row r="75" spans="1:11" x14ac:dyDescent="0.3">
      <c r="B75" t="s">
        <v>204</v>
      </c>
      <c r="D75" s="7">
        <v>81.421999999999997</v>
      </c>
      <c r="E75" s="7">
        <v>68.325000000000003</v>
      </c>
      <c r="F75" s="7">
        <v>70.727999999999994</v>
      </c>
      <c r="G75" s="104">
        <v>60.6</v>
      </c>
      <c r="H75" s="104">
        <v>49.786000000000001</v>
      </c>
      <c r="I75" s="104">
        <v>64.373000000000005</v>
      </c>
      <c r="J75" s="104">
        <v>69.27581934892504</v>
      </c>
      <c r="K75" s="104">
        <v>74.561355142794042</v>
      </c>
    </row>
    <row r="76" spans="1:11" x14ac:dyDescent="0.3">
      <c r="A76" s="8" t="s">
        <v>37</v>
      </c>
      <c r="B76" s="8"/>
      <c r="C76" s="9">
        <v>47</v>
      </c>
      <c r="D76" s="7">
        <v>78.275796682218257</v>
      </c>
      <c r="E76" s="7">
        <v>75.853806413107662</v>
      </c>
      <c r="F76" s="27">
        <v>78.313632712404555</v>
      </c>
      <c r="G76" s="109">
        <v>76.004309655272706</v>
      </c>
      <c r="H76" s="109">
        <v>73.969041318493296</v>
      </c>
      <c r="I76" s="109">
        <v>72.1201287159044</v>
      </c>
      <c r="J76" s="109">
        <v>74.27365780302739</v>
      </c>
      <c r="K76" s="109">
        <v>68.266248173764438</v>
      </c>
    </row>
    <row r="77" spans="1:11" x14ac:dyDescent="0.3">
      <c r="A77" s="28" t="s">
        <v>338</v>
      </c>
      <c r="B77" s="28"/>
      <c r="C77" s="57"/>
      <c r="D77" s="27">
        <v>76.578004826166563</v>
      </c>
      <c r="E77" s="27">
        <v>74.163964532818554</v>
      </c>
      <c r="F77" s="27">
        <v>76.817487611292776</v>
      </c>
      <c r="G77" s="109">
        <v>73.842871881124651</v>
      </c>
      <c r="H77" s="109">
        <v>71.813178165510493</v>
      </c>
      <c r="I77" s="109">
        <v>70.113101875405789</v>
      </c>
      <c r="J77" s="109">
        <v>72.089884029976972</v>
      </c>
      <c r="K77" s="109">
        <v>65.187431997888652</v>
      </c>
    </row>
    <row r="78" spans="1:11" x14ac:dyDescent="0.3">
      <c r="A78" t="s">
        <v>268</v>
      </c>
      <c r="D78" s="7"/>
      <c r="E78" s="7"/>
      <c r="F78" s="7"/>
      <c r="G78" s="104"/>
      <c r="H78" s="104"/>
      <c r="I78" s="104"/>
      <c r="J78" s="104"/>
      <c r="K78" s="104"/>
    </row>
    <row r="79" spans="1:11" x14ac:dyDescent="0.3">
      <c r="A79">
        <v>4</v>
      </c>
      <c r="B79" t="s">
        <v>205</v>
      </c>
      <c r="D79" s="7">
        <v>8.0860853600489584</v>
      </c>
      <c r="E79" s="7">
        <v>7.9068382571872835</v>
      </c>
      <c r="F79" s="27">
        <v>9.2656623492134091</v>
      </c>
      <c r="G79" s="109">
        <v>8.6371720764784339</v>
      </c>
      <c r="H79" s="109">
        <v>8.8762701733413039</v>
      </c>
      <c r="I79" s="109">
        <v>10.884695101996291</v>
      </c>
      <c r="J79" s="109">
        <v>8.5408860480493711</v>
      </c>
      <c r="K79" s="109">
        <v>9.7547503314184709</v>
      </c>
    </row>
    <row r="80" spans="1:11" x14ac:dyDescent="0.3">
      <c r="A80">
        <v>9</v>
      </c>
      <c r="B80" t="s">
        <v>350</v>
      </c>
      <c r="D80" s="7">
        <v>20.888959405244904</v>
      </c>
      <c r="E80" s="7">
        <v>16.79293347007642</v>
      </c>
      <c r="F80" s="27">
        <v>3.4154205347712496</v>
      </c>
      <c r="G80" s="109">
        <v>3.3703868385949307</v>
      </c>
      <c r="H80" s="109">
        <v>4.4154435367824485</v>
      </c>
      <c r="I80" s="109">
        <v>4.2674811825024541</v>
      </c>
      <c r="J80" s="109">
        <v>4.1326867974432444</v>
      </c>
      <c r="K80" s="109">
        <v>3.9107379584622182</v>
      </c>
    </row>
    <row r="81" spans="1:11" x14ac:dyDescent="0.3">
      <c r="A81">
        <v>10</v>
      </c>
      <c r="B81" t="s">
        <v>206</v>
      </c>
      <c r="D81" s="7">
        <v>7.8990910945397674</v>
      </c>
      <c r="E81" s="7">
        <v>9.4143205302102988</v>
      </c>
      <c r="F81" s="27">
        <v>12.487631330257381</v>
      </c>
      <c r="G81" s="109">
        <v>13.943975100044465</v>
      </c>
      <c r="H81" s="109">
        <v>15.403688207035488</v>
      </c>
      <c r="I81" s="109">
        <v>15.879786189593107</v>
      </c>
      <c r="J81" s="109">
        <v>13.312761736830506</v>
      </c>
      <c r="K81" s="109">
        <v>12.516570923552806</v>
      </c>
    </row>
    <row r="82" spans="1:11" x14ac:dyDescent="0.3">
      <c r="A82">
        <v>12</v>
      </c>
      <c r="B82" t="s">
        <v>207</v>
      </c>
      <c r="D82" s="7">
        <v>13.826242661891703</v>
      </c>
      <c r="E82" s="7">
        <v>11.934142764195366</v>
      </c>
      <c r="F82" s="27">
        <v>14.71010061704375</v>
      </c>
      <c r="G82" s="109">
        <v>14.360827034237438</v>
      </c>
      <c r="H82" s="109">
        <v>14.363197626795953</v>
      </c>
      <c r="I82" s="109">
        <v>14.399476382676992</v>
      </c>
      <c r="J82" s="109">
        <v>15.715230328410845</v>
      </c>
      <c r="K82" s="109">
        <v>17.045956694653118</v>
      </c>
    </row>
    <row r="83" spans="1:11" x14ac:dyDescent="0.3">
      <c r="A83" t="s">
        <v>208</v>
      </c>
      <c r="D83" s="7"/>
      <c r="E83" s="7"/>
      <c r="F83" s="7"/>
      <c r="G83" s="104"/>
      <c r="H83" s="104"/>
      <c r="I83" s="104"/>
      <c r="J83" s="104"/>
      <c r="K83" s="104"/>
    </row>
    <row r="84" spans="1:11" x14ac:dyDescent="0.3">
      <c r="A84">
        <v>4</v>
      </c>
      <c r="B84" t="s">
        <v>205</v>
      </c>
      <c r="D84" s="7">
        <v>78.766000000000005</v>
      </c>
      <c r="E84" s="7">
        <v>82.381</v>
      </c>
      <c r="F84" s="7">
        <v>84.74</v>
      </c>
      <c r="G84" s="104">
        <v>89.765000000000001</v>
      </c>
      <c r="H84" s="104">
        <v>76.278999999999996</v>
      </c>
      <c r="I84" s="104">
        <v>76.197999999999993</v>
      </c>
      <c r="J84" s="104">
        <v>80.749035748875414</v>
      </c>
      <c r="K84" s="104">
        <v>83.115649672555435</v>
      </c>
    </row>
    <row r="85" spans="1:11" x14ac:dyDescent="0.3">
      <c r="A85">
        <v>9</v>
      </c>
      <c r="B85" t="s">
        <v>350</v>
      </c>
      <c r="D85" s="7">
        <v>86.319000000000003</v>
      </c>
      <c r="E85" s="7">
        <v>90.641999999999996</v>
      </c>
      <c r="F85" s="7">
        <v>84.819000000000003</v>
      </c>
      <c r="G85" s="104">
        <v>77.518000000000001</v>
      </c>
      <c r="H85" s="104">
        <v>63.683</v>
      </c>
      <c r="I85" s="104">
        <v>72.465000000000003</v>
      </c>
      <c r="J85" s="104">
        <v>69.734949524886176</v>
      </c>
      <c r="K85" s="104">
        <v>73.93295923464342</v>
      </c>
    </row>
    <row r="86" spans="1:11" x14ac:dyDescent="0.3">
      <c r="A86">
        <v>10</v>
      </c>
      <c r="B86" t="s">
        <v>206</v>
      </c>
      <c r="D86" s="7">
        <v>80.881</v>
      </c>
      <c r="E86" s="7">
        <v>87.652000000000001</v>
      </c>
      <c r="F86" s="7">
        <v>83.962999999999994</v>
      </c>
      <c r="G86" s="104">
        <v>86.137</v>
      </c>
      <c r="H86" s="104">
        <v>81.061000000000007</v>
      </c>
      <c r="I86" s="104">
        <v>72.197999999999993</v>
      </c>
      <c r="J86" s="104">
        <v>67.859551472457952</v>
      </c>
      <c r="K86" s="104">
        <v>76.485104864137682</v>
      </c>
    </row>
    <row r="87" spans="1:11" x14ac:dyDescent="0.3">
      <c r="A87">
        <v>12</v>
      </c>
      <c r="B87" t="s">
        <v>207</v>
      </c>
      <c r="D87" s="7">
        <v>92.436999999999998</v>
      </c>
      <c r="E87" s="7">
        <v>90.424000000000007</v>
      </c>
      <c r="F87" s="7">
        <v>86.82</v>
      </c>
      <c r="G87" s="104">
        <v>84.56</v>
      </c>
      <c r="H87" s="104">
        <v>73.483999999999995</v>
      </c>
      <c r="I87" s="104">
        <v>69.917000000000002</v>
      </c>
      <c r="J87" s="104">
        <v>71.783156634221839</v>
      </c>
      <c r="K87" s="104">
        <v>71.647694807962552</v>
      </c>
    </row>
    <row r="88" spans="1:11" x14ac:dyDescent="0.3">
      <c r="B88" s="62" t="s">
        <v>306</v>
      </c>
      <c r="D88" s="7"/>
      <c r="E88" s="7"/>
      <c r="F88" s="7"/>
      <c r="G88" s="104"/>
      <c r="H88" s="104"/>
      <c r="I88" s="104"/>
      <c r="J88" s="104"/>
      <c r="K88" s="104"/>
    </row>
    <row r="89" spans="1:11" x14ac:dyDescent="0.3">
      <c r="B89" t="s">
        <v>110</v>
      </c>
      <c r="D89" s="7">
        <v>367.13226833883101</v>
      </c>
      <c r="E89" s="7">
        <v>350.14826884227551</v>
      </c>
      <c r="F89" s="7">
        <v>362.58510068602214</v>
      </c>
      <c r="G89" s="104">
        <v>355.01394750014094</v>
      </c>
      <c r="H89" s="104">
        <v>354.72657825926274</v>
      </c>
      <c r="I89" s="104">
        <v>352.25227220007974</v>
      </c>
      <c r="J89" s="104">
        <v>369.77947768871218</v>
      </c>
      <c r="K89" s="104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7">
        <v>170.92035541980178</v>
      </c>
      <c r="G90" s="104">
        <v>180.492157874811</v>
      </c>
      <c r="H90" s="104">
        <v>204.57029658165237</v>
      </c>
      <c r="I90" s="104">
        <v>209.21258224469867</v>
      </c>
      <c r="J90" s="104">
        <v>229.38618194069946</v>
      </c>
      <c r="K90" s="104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7">
        <v>36.521612903225808</v>
      </c>
      <c r="G91" s="104">
        <v>24.474374999999998</v>
      </c>
      <c r="H91" s="104">
        <v>18.420312500000001</v>
      </c>
      <c r="I91" s="104">
        <v>10.619375</v>
      </c>
      <c r="J91" s="104">
        <v>3.849687499999999</v>
      </c>
      <c r="K91" s="104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7">
        <v>1723.4313709635639</v>
      </c>
      <c r="G92" s="104">
        <v>1688.3834954123995</v>
      </c>
      <c r="H92" s="104">
        <v>1744.0187221199872</v>
      </c>
      <c r="I92" s="104">
        <v>1744.7789254873785</v>
      </c>
      <c r="J92" s="104">
        <v>1726.9557160967668</v>
      </c>
      <c r="K92" s="104">
        <v>1697.0701833805592</v>
      </c>
    </row>
    <row r="93" spans="1:11" x14ac:dyDescent="0.3">
      <c r="D93" s="7"/>
      <c r="E93" s="7"/>
      <c r="F93" s="7"/>
      <c r="G93" s="104"/>
      <c r="H93" s="104"/>
      <c r="I93" s="104"/>
      <c r="J93" s="104"/>
      <c r="K93" s="104"/>
    </row>
    <row r="94" spans="1:11" x14ac:dyDescent="0.3">
      <c r="B94" s="36" t="s">
        <v>303</v>
      </c>
      <c r="D94" s="7"/>
      <c r="E94" s="7"/>
      <c r="F94" s="7"/>
      <c r="G94" s="104"/>
      <c r="H94" s="104"/>
      <c r="I94" s="104"/>
      <c r="J94" s="104"/>
      <c r="K94" s="104"/>
    </row>
    <row r="95" spans="1:11" x14ac:dyDescent="0.3">
      <c r="D95" s="7"/>
      <c r="E95" s="7"/>
      <c r="F95" s="7"/>
      <c r="G95" s="104"/>
      <c r="H95" s="104"/>
      <c r="I95" s="104"/>
      <c r="J95" s="104"/>
      <c r="K95" s="104"/>
    </row>
    <row r="96" spans="1:11" x14ac:dyDescent="0.3">
      <c r="D96" s="7"/>
      <c r="E96" s="7"/>
      <c r="F96" s="7"/>
      <c r="G96" s="104"/>
      <c r="H96" s="104"/>
      <c r="I96" s="104"/>
      <c r="J96" s="104"/>
      <c r="K96" s="104"/>
    </row>
    <row r="97" spans="4:11" x14ac:dyDescent="0.3">
      <c r="D97" s="7"/>
      <c r="E97" s="7"/>
      <c r="F97" s="7"/>
      <c r="G97" s="104"/>
      <c r="H97" s="104"/>
      <c r="I97" s="104"/>
      <c r="J97" s="104"/>
      <c r="K97" s="104"/>
    </row>
    <row r="98" spans="4:11" x14ac:dyDescent="0.3">
      <c r="D98" s="7"/>
      <c r="E98" s="7"/>
      <c r="F98" s="7"/>
      <c r="G98" s="104"/>
      <c r="H98" s="104"/>
      <c r="I98" s="104"/>
      <c r="J98" s="104"/>
      <c r="K98" s="104"/>
    </row>
    <row r="99" spans="4:11" x14ac:dyDescent="0.3">
      <c r="D99" s="7"/>
      <c r="E99" s="7"/>
      <c r="F99" s="7"/>
      <c r="G99" s="104"/>
      <c r="H99" s="104"/>
      <c r="I99" s="104"/>
      <c r="J99" s="104"/>
      <c r="K99" s="104"/>
    </row>
    <row r="100" spans="4:11" x14ac:dyDescent="0.3">
      <c r="D100" s="7"/>
      <c r="E100" s="7"/>
      <c r="F100" s="7"/>
      <c r="G100" s="104"/>
      <c r="H100" s="104"/>
      <c r="I100" s="104"/>
      <c r="J100" s="104"/>
      <c r="K100" s="104"/>
    </row>
    <row r="101" spans="4:11" x14ac:dyDescent="0.3">
      <c r="D101" s="7"/>
      <c r="E101" s="7"/>
      <c r="F101" s="7"/>
      <c r="G101" s="104"/>
      <c r="H101" s="104"/>
      <c r="I101" s="104"/>
      <c r="J101" s="104"/>
      <c r="K101" s="104"/>
    </row>
    <row r="102" spans="4:11" x14ac:dyDescent="0.3">
      <c r="D102" s="7"/>
      <c r="E102" s="7"/>
      <c r="F102" s="7"/>
      <c r="G102" s="104"/>
      <c r="H102" s="104"/>
      <c r="I102" s="104"/>
      <c r="J102" s="104"/>
      <c r="K102" s="104"/>
    </row>
    <row r="103" spans="4:11" x14ac:dyDescent="0.3">
      <c r="D103" s="7"/>
      <c r="E103" s="7"/>
      <c r="F103" s="7"/>
      <c r="G103" s="104"/>
      <c r="H103" s="104"/>
      <c r="I103" s="104"/>
      <c r="J103" s="104"/>
      <c r="K103" s="104"/>
    </row>
    <row r="104" spans="4:11" x14ac:dyDescent="0.3">
      <c r="D104" s="7"/>
      <c r="E104" s="7"/>
      <c r="F104" s="7"/>
      <c r="G104" s="104"/>
      <c r="H104" s="104"/>
      <c r="I104" s="104"/>
      <c r="J104" s="104"/>
      <c r="K104" s="104"/>
    </row>
    <row r="105" spans="4:11" x14ac:dyDescent="0.3">
      <c r="D105" s="7"/>
      <c r="E105" s="7"/>
      <c r="F105" s="7"/>
      <c r="G105" s="104"/>
      <c r="H105" s="104"/>
      <c r="I105" s="104"/>
      <c r="J105" s="104"/>
      <c r="K105" s="104"/>
    </row>
    <row r="106" spans="4:11" x14ac:dyDescent="0.3">
      <c r="D106" s="7"/>
      <c r="E106" s="7"/>
      <c r="F106" s="7"/>
      <c r="G106" s="104"/>
      <c r="H106" s="104"/>
      <c r="I106" s="104"/>
      <c r="J106" s="104"/>
      <c r="K106" s="104"/>
    </row>
    <row r="107" spans="4:11" x14ac:dyDescent="0.3">
      <c r="D107" s="7"/>
      <c r="E107" s="7"/>
      <c r="F107" s="7"/>
      <c r="G107" s="104"/>
      <c r="H107" s="104"/>
      <c r="I107" s="104"/>
      <c r="J107" s="104"/>
      <c r="K107" s="104"/>
    </row>
    <row r="108" spans="4:11" x14ac:dyDescent="0.3">
      <c r="D108" s="7"/>
      <c r="E108" s="7"/>
      <c r="F108" s="7"/>
      <c r="G108" s="104"/>
      <c r="H108" s="104"/>
      <c r="I108" s="104"/>
      <c r="J108" s="104"/>
      <c r="K108" s="104"/>
    </row>
    <row r="109" spans="4:11" x14ac:dyDescent="0.3">
      <c r="D109" s="7"/>
      <c r="E109" s="7"/>
      <c r="F109" s="7"/>
      <c r="G109" s="104"/>
      <c r="H109" s="104"/>
      <c r="I109" s="104"/>
      <c r="J109" s="104"/>
      <c r="K109" s="104"/>
    </row>
    <row r="110" spans="4:11" x14ac:dyDescent="0.3">
      <c r="D110" s="7"/>
      <c r="E110" s="7"/>
      <c r="F110" s="7"/>
      <c r="G110" s="104"/>
      <c r="H110" s="104"/>
      <c r="I110" s="104"/>
      <c r="J110" s="104"/>
      <c r="K110" s="104"/>
    </row>
    <row r="111" spans="4:11" x14ac:dyDescent="0.3">
      <c r="D111" s="7"/>
      <c r="E111" s="7"/>
      <c r="F111" s="7"/>
      <c r="G111" s="104"/>
      <c r="H111" s="104"/>
      <c r="I111" s="104"/>
      <c r="J111" s="104"/>
      <c r="K111" s="104"/>
    </row>
    <row r="112" spans="4:11" x14ac:dyDescent="0.3">
      <c r="D112" s="7"/>
      <c r="E112" s="7"/>
      <c r="F112" s="7"/>
      <c r="G112" s="104"/>
      <c r="H112" s="104"/>
      <c r="I112" s="104"/>
      <c r="J112" s="104"/>
      <c r="K112" s="104"/>
    </row>
    <row r="113" spans="2:11" x14ac:dyDescent="0.3">
      <c r="D113" s="7"/>
      <c r="E113" s="7"/>
      <c r="F113" s="7"/>
      <c r="G113" s="104"/>
      <c r="H113" s="104"/>
      <c r="I113" s="104"/>
      <c r="J113" s="104"/>
      <c r="K113" s="104"/>
    </row>
    <row r="114" spans="2:11" x14ac:dyDescent="0.3">
      <c r="D114" s="7"/>
      <c r="E114" s="7"/>
      <c r="F114" s="7"/>
      <c r="G114" s="104"/>
      <c r="H114" s="104"/>
      <c r="I114" s="104"/>
      <c r="J114" s="104"/>
      <c r="K114" s="104"/>
    </row>
    <row r="115" spans="2:11" x14ac:dyDescent="0.3">
      <c r="B115" s="36" t="s">
        <v>304</v>
      </c>
      <c r="D115" s="7"/>
      <c r="E115" s="7"/>
      <c r="F115" s="7"/>
      <c r="G115" s="104"/>
      <c r="H115" s="104"/>
      <c r="I115" s="104"/>
      <c r="J115" s="104"/>
      <c r="K115" s="104"/>
    </row>
    <row r="116" spans="2:11" x14ac:dyDescent="0.3">
      <c r="D116" s="7"/>
      <c r="E116" s="7"/>
      <c r="F116" s="7"/>
      <c r="G116" s="104"/>
      <c r="H116" s="104"/>
      <c r="I116" s="104"/>
      <c r="J116" s="104"/>
      <c r="K116" s="104"/>
    </row>
    <row r="117" spans="2:11" x14ac:dyDescent="0.3">
      <c r="D117" s="7"/>
      <c r="E117" s="7"/>
      <c r="F117" s="7"/>
      <c r="G117" s="104"/>
      <c r="H117" s="104"/>
      <c r="I117" s="104"/>
      <c r="J117" s="104"/>
      <c r="K117" s="104"/>
    </row>
    <row r="118" spans="2:11" x14ac:dyDescent="0.3">
      <c r="D118" s="7"/>
      <c r="E118" s="7"/>
      <c r="F118" s="7"/>
      <c r="G118" s="104"/>
      <c r="H118" s="104"/>
      <c r="I118" s="104"/>
      <c r="J118" s="104"/>
      <c r="K118" s="104"/>
    </row>
    <row r="119" spans="2:11" x14ac:dyDescent="0.3">
      <c r="D119" s="7"/>
      <c r="E119" s="7"/>
      <c r="F119" s="7"/>
      <c r="G119" s="104"/>
      <c r="H119" s="104"/>
      <c r="I119" s="104"/>
      <c r="J119" s="104"/>
      <c r="K119" s="104"/>
    </row>
    <row r="120" spans="2:11" x14ac:dyDescent="0.3">
      <c r="D120" s="7"/>
      <c r="E120" s="7"/>
      <c r="F120" s="7"/>
      <c r="G120" s="104"/>
      <c r="H120" s="104"/>
      <c r="I120" s="104"/>
      <c r="J120" s="104"/>
      <c r="K120" s="104"/>
    </row>
    <row r="121" spans="2:11" x14ac:dyDescent="0.3">
      <c r="D121" s="7"/>
      <c r="E121" s="7"/>
      <c r="F121" s="7"/>
      <c r="G121" s="104"/>
      <c r="H121" s="104"/>
      <c r="I121" s="104"/>
      <c r="J121" s="104"/>
      <c r="K121" s="104"/>
    </row>
    <row r="122" spans="2:11" x14ac:dyDescent="0.3">
      <c r="D122" s="7"/>
      <c r="E122" s="7"/>
      <c r="F122" s="7"/>
      <c r="G122" s="104"/>
      <c r="H122" s="104"/>
      <c r="I122" s="104"/>
      <c r="J122" s="104"/>
      <c r="K122" s="104"/>
    </row>
    <row r="123" spans="2:11" x14ac:dyDescent="0.3">
      <c r="D123" s="7"/>
      <c r="E123" s="7"/>
      <c r="F123" s="7"/>
      <c r="G123" s="104"/>
      <c r="H123" s="104"/>
      <c r="I123" s="104"/>
      <c r="J123" s="104"/>
      <c r="K123" s="104"/>
    </row>
    <row r="124" spans="2:11" x14ac:dyDescent="0.3">
      <c r="D124" s="7"/>
      <c r="E124" s="7"/>
      <c r="F124" s="7"/>
      <c r="G124" s="104"/>
      <c r="H124" s="104"/>
      <c r="I124" s="104"/>
      <c r="J124" s="104"/>
      <c r="K124" s="104"/>
    </row>
    <row r="125" spans="2:11" x14ac:dyDescent="0.3">
      <c r="D125" s="7"/>
      <c r="E125" s="7"/>
      <c r="F125" s="7"/>
      <c r="G125" s="104"/>
      <c r="H125" s="104"/>
      <c r="I125" s="104"/>
      <c r="J125" s="104"/>
      <c r="K125" s="104"/>
    </row>
    <row r="126" spans="2:11" x14ac:dyDescent="0.3">
      <c r="D126" s="7"/>
      <c r="E126" s="7"/>
      <c r="F126" s="7"/>
      <c r="G126" s="104"/>
      <c r="H126" s="104"/>
      <c r="I126" s="104"/>
      <c r="J126" s="104"/>
      <c r="K126" s="104"/>
    </row>
    <row r="127" spans="2:11" x14ac:dyDescent="0.3">
      <c r="D127" s="7"/>
      <c r="E127" s="7"/>
      <c r="F127" s="7"/>
      <c r="G127" s="104"/>
      <c r="H127" s="104"/>
      <c r="I127" s="104"/>
      <c r="J127" s="104"/>
      <c r="K127" s="104"/>
    </row>
    <row r="128" spans="2:11" x14ac:dyDescent="0.3">
      <c r="D128" s="7"/>
      <c r="E128" s="7"/>
      <c r="F128" s="7"/>
      <c r="G128" s="104"/>
      <c r="H128" s="104"/>
      <c r="I128" s="104"/>
      <c r="J128" s="104"/>
      <c r="K128" s="104"/>
    </row>
    <row r="129" spans="2:11" x14ac:dyDescent="0.3">
      <c r="D129" s="7"/>
      <c r="E129" s="7"/>
      <c r="F129" s="7"/>
      <c r="G129" s="104"/>
      <c r="H129" s="104"/>
      <c r="I129" s="104"/>
      <c r="J129" s="104"/>
      <c r="K129" s="104"/>
    </row>
    <row r="130" spans="2:11" x14ac:dyDescent="0.3">
      <c r="D130" s="7"/>
      <c r="E130" s="7"/>
      <c r="F130" s="7"/>
      <c r="G130" s="104"/>
      <c r="H130" s="104"/>
      <c r="I130" s="104"/>
      <c r="J130" s="104"/>
      <c r="K130" s="104"/>
    </row>
    <row r="131" spans="2:11" x14ac:dyDescent="0.3">
      <c r="D131" s="7"/>
      <c r="E131" s="7"/>
      <c r="F131" s="7"/>
      <c r="G131" s="104"/>
      <c r="H131" s="104"/>
      <c r="I131" s="104"/>
      <c r="J131" s="104"/>
      <c r="K131" s="104"/>
    </row>
    <row r="132" spans="2:11" x14ac:dyDescent="0.3">
      <c r="D132" s="7"/>
      <c r="E132" s="7"/>
      <c r="F132" s="7"/>
      <c r="G132" s="104"/>
      <c r="H132" s="104"/>
      <c r="I132" s="104"/>
      <c r="J132" s="104"/>
      <c r="K132" s="104"/>
    </row>
    <row r="133" spans="2:11" x14ac:dyDescent="0.3">
      <c r="D133" s="7"/>
      <c r="E133" s="7"/>
      <c r="F133" s="7"/>
      <c r="G133" s="104"/>
      <c r="H133" s="104"/>
      <c r="I133" s="104"/>
      <c r="J133" s="104"/>
      <c r="K133" s="104"/>
    </row>
    <row r="134" spans="2:11" x14ac:dyDescent="0.3">
      <c r="D134" s="7"/>
      <c r="E134" s="7"/>
      <c r="F134" s="7"/>
      <c r="G134" s="104"/>
      <c r="H134" s="104"/>
      <c r="I134" s="104"/>
      <c r="J134" s="104"/>
      <c r="K134" s="104"/>
    </row>
    <row r="135" spans="2:11" x14ac:dyDescent="0.3">
      <c r="D135" s="7"/>
      <c r="E135" s="7"/>
      <c r="F135" s="7"/>
      <c r="G135" s="104"/>
      <c r="H135" s="104"/>
      <c r="I135" s="104"/>
      <c r="J135" s="104"/>
      <c r="K135" s="104"/>
    </row>
    <row r="136" spans="2:11" x14ac:dyDescent="0.3">
      <c r="B136" s="36" t="s">
        <v>159</v>
      </c>
      <c r="D136" s="7"/>
      <c r="E136" s="7"/>
      <c r="F136" s="7"/>
      <c r="G136" s="104"/>
      <c r="H136" s="104"/>
      <c r="I136" s="104"/>
      <c r="J136" s="104"/>
      <c r="K136" s="104"/>
    </row>
    <row r="137" spans="2:11" x14ac:dyDescent="0.3">
      <c r="D137" s="7"/>
      <c r="E137" s="7"/>
      <c r="F137" s="7"/>
      <c r="G137" s="104"/>
      <c r="H137" s="104"/>
      <c r="I137" s="104"/>
      <c r="J137" s="104"/>
      <c r="K137" s="104"/>
    </row>
    <row r="138" spans="2:11" x14ac:dyDescent="0.3">
      <c r="D138" s="7"/>
      <c r="E138" s="7"/>
      <c r="F138" s="7"/>
      <c r="G138" s="104"/>
      <c r="H138" s="104"/>
      <c r="I138" s="104"/>
      <c r="J138" s="104"/>
      <c r="K138" s="104"/>
    </row>
    <row r="139" spans="2:11" x14ac:dyDescent="0.3">
      <c r="D139" s="7"/>
      <c r="E139" s="7"/>
      <c r="F139" s="7"/>
      <c r="G139" s="104"/>
      <c r="H139" s="104"/>
      <c r="I139" s="104"/>
      <c r="J139" s="104"/>
      <c r="K139" s="104"/>
    </row>
    <row r="140" spans="2:11" x14ac:dyDescent="0.3">
      <c r="D140" s="7"/>
      <c r="E140" s="7"/>
      <c r="F140" s="7"/>
      <c r="G140" s="104"/>
      <c r="H140" s="104"/>
      <c r="I140" s="104"/>
      <c r="J140" s="104"/>
      <c r="K140" s="104"/>
    </row>
    <row r="141" spans="2:11" x14ac:dyDescent="0.3">
      <c r="D141" s="7"/>
      <c r="E141" s="7"/>
      <c r="F141" s="7"/>
      <c r="G141" s="104"/>
      <c r="H141" s="104"/>
      <c r="I141" s="104"/>
      <c r="J141" s="104"/>
      <c r="K141" s="104"/>
    </row>
    <row r="142" spans="2:11" x14ac:dyDescent="0.3">
      <c r="D142" s="7"/>
      <c r="E142" s="7"/>
      <c r="F142" s="7"/>
      <c r="G142" s="104"/>
      <c r="H142" s="104"/>
      <c r="I142" s="104"/>
      <c r="J142" s="104"/>
      <c r="K142" s="104"/>
    </row>
    <row r="143" spans="2:11" x14ac:dyDescent="0.3">
      <c r="D143" s="7"/>
      <c r="E143" s="7"/>
      <c r="F143" s="7"/>
      <c r="G143" s="104"/>
      <c r="H143" s="104"/>
      <c r="I143" s="104"/>
      <c r="J143" s="104"/>
      <c r="K143" s="104"/>
    </row>
    <row r="144" spans="2:11" x14ac:dyDescent="0.3">
      <c r="D144" s="7"/>
      <c r="E144" s="7"/>
      <c r="F144" s="7"/>
      <c r="G144" s="104"/>
      <c r="H144" s="104"/>
      <c r="I144" s="104"/>
      <c r="J144" s="104"/>
      <c r="K144" s="104"/>
    </row>
    <row r="145" spans="2:11" x14ac:dyDescent="0.3">
      <c r="D145" s="7"/>
      <c r="E145" s="7"/>
      <c r="F145" s="7"/>
      <c r="G145" s="104"/>
      <c r="H145" s="104"/>
      <c r="I145" s="104"/>
      <c r="J145" s="104"/>
      <c r="K145" s="104"/>
    </row>
    <row r="146" spans="2:11" x14ac:dyDescent="0.3">
      <c r="D146" s="7"/>
      <c r="E146" s="7"/>
      <c r="F146" s="7"/>
      <c r="G146" s="104"/>
      <c r="H146" s="104"/>
      <c r="I146" s="104"/>
      <c r="J146" s="104"/>
      <c r="K146" s="104"/>
    </row>
    <row r="147" spans="2:11" x14ac:dyDescent="0.3">
      <c r="D147" s="7"/>
      <c r="E147" s="7"/>
      <c r="F147" s="7"/>
      <c r="G147" s="104"/>
      <c r="H147" s="104"/>
      <c r="I147" s="104"/>
      <c r="J147" s="104"/>
      <c r="K147" s="104"/>
    </row>
    <row r="148" spans="2:11" x14ac:dyDescent="0.3">
      <c r="D148" s="7"/>
      <c r="E148" s="7"/>
      <c r="F148" s="7"/>
      <c r="G148" s="104"/>
      <c r="H148" s="104"/>
      <c r="I148" s="104"/>
      <c r="J148" s="104"/>
      <c r="K148" s="104"/>
    </row>
    <row r="149" spans="2:11" x14ac:dyDescent="0.3">
      <c r="D149" s="7"/>
      <c r="E149" s="7"/>
      <c r="F149" s="7"/>
      <c r="G149" s="104"/>
      <c r="H149" s="104"/>
      <c r="I149" s="104"/>
      <c r="J149" s="104"/>
      <c r="K149" s="104"/>
    </row>
    <row r="150" spans="2:11" x14ac:dyDescent="0.3">
      <c r="D150" s="7"/>
      <c r="E150" s="7"/>
      <c r="F150" s="7"/>
      <c r="G150" s="104"/>
      <c r="H150" s="104"/>
      <c r="I150" s="104"/>
      <c r="J150" s="104"/>
      <c r="K150" s="104"/>
    </row>
    <row r="151" spans="2:11" x14ac:dyDescent="0.3">
      <c r="D151" s="7"/>
      <c r="E151" s="7"/>
      <c r="F151" s="7"/>
      <c r="G151" s="104"/>
      <c r="H151" s="104"/>
      <c r="I151" s="104"/>
      <c r="J151" s="104"/>
      <c r="K151" s="104"/>
    </row>
    <row r="152" spans="2:11" x14ac:dyDescent="0.3">
      <c r="D152" s="7"/>
      <c r="E152" s="7"/>
      <c r="F152" s="7"/>
      <c r="G152" s="104"/>
      <c r="H152" s="104"/>
      <c r="I152" s="104"/>
      <c r="J152" s="104"/>
      <c r="K152" s="104"/>
    </row>
    <row r="153" spans="2:11" x14ac:dyDescent="0.3">
      <c r="D153" s="7"/>
      <c r="E153" s="7"/>
      <c r="F153" s="7"/>
      <c r="G153" s="104"/>
      <c r="H153" s="104"/>
      <c r="I153" s="104"/>
      <c r="J153" s="104"/>
      <c r="K153" s="104"/>
    </row>
    <row r="154" spans="2:11" x14ac:dyDescent="0.3">
      <c r="D154" s="7"/>
      <c r="E154" s="7"/>
      <c r="F154" s="7"/>
      <c r="G154" s="104"/>
      <c r="H154" s="104"/>
      <c r="I154" s="104"/>
      <c r="J154" s="104"/>
      <c r="K154" s="104"/>
    </row>
    <row r="155" spans="2:11" x14ac:dyDescent="0.3">
      <c r="D155" s="7"/>
      <c r="E155" s="7"/>
      <c r="F155" s="7"/>
      <c r="G155" s="104"/>
      <c r="H155" s="104"/>
      <c r="I155" s="104"/>
      <c r="J155" s="104"/>
      <c r="K155" s="104"/>
    </row>
    <row r="156" spans="2:11" x14ac:dyDescent="0.3">
      <c r="D156" s="7"/>
      <c r="E156" s="7"/>
      <c r="F156" s="7"/>
      <c r="G156" s="104"/>
      <c r="H156" s="104"/>
      <c r="I156" s="104"/>
      <c r="J156" s="104"/>
      <c r="K156" s="104"/>
    </row>
    <row r="157" spans="2:11" x14ac:dyDescent="0.3">
      <c r="B157" s="36" t="s">
        <v>168</v>
      </c>
      <c r="D157" s="7"/>
      <c r="E157" s="7"/>
      <c r="F157" s="7"/>
      <c r="G157" s="104"/>
      <c r="H157" s="104"/>
      <c r="I157" s="104"/>
      <c r="J157" s="104"/>
      <c r="K157" s="104"/>
    </row>
    <row r="158" spans="2:11" x14ac:dyDescent="0.3">
      <c r="D158" s="7"/>
      <c r="E158" s="7"/>
      <c r="F158" s="7"/>
      <c r="G158" s="104"/>
      <c r="H158" s="104"/>
      <c r="I158" s="104"/>
      <c r="J158" s="104"/>
      <c r="K158" s="104"/>
    </row>
    <row r="159" spans="2:11" x14ac:dyDescent="0.3">
      <c r="D159" s="7"/>
      <c r="E159" s="7"/>
      <c r="F159" s="7"/>
      <c r="G159" s="104"/>
      <c r="H159" s="104"/>
      <c r="I159" s="104"/>
      <c r="J159" s="104"/>
      <c r="K159" s="104"/>
    </row>
    <row r="160" spans="2:11" x14ac:dyDescent="0.3">
      <c r="D160" s="7"/>
      <c r="E160" s="7"/>
      <c r="F160" s="7"/>
      <c r="G160" s="104"/>
      <c r="H160" s="104"/>
      <c r="I160" s="104"/>
      <c r="J160" s="104"/>
      <c r="K160" s="104"/>
    </row>
    <row r="161" spans="4:11" x14ac:dyDescent="0.3">
      <c r="D161" s="7"/>
      <c r="E161" s="7"/>
      <c r="F161" s="7"/>
      <c r="G161" s="104"/>
      <c r="H161" s="104"/>
      <c r="I161" s="104"/>
      <c r="J161" s="104"/>
      <c r="K161" s="104"/>
    </row>
    <row r="162" spans="4:11" x14ac:dyDescent="0.3">
      <c r="D162" s="7"/>
      <c r="E162" s="7"/>
      <c r="F162" s="7"/>
      <c r="G162" s="104"/>
      <c r="H162" s="104"/>
      <c r="I162" s="104"/>
      <c r="J162" s="104"/>
      <c r="K162" s="104"/>
    </row>
    <row r="163" spans="4:11" x14ac:dyDescent="0.3">
      <c r="D163" s="7"/>
      <c r="E163" s="7"/>
      <c r="F163" s="7"/>
      <c r="G163" s="104"/>
      <c r="H163" s="104"/>
      <c r="I163" s="104"/>
      <c r="J163" s="104"/>
      <c r="K163" s="104"/>
    </row>
    <row r="164" spans="4:11" x14ac:dyDescent="0.3">
      <c r="D164" s="7"/>
      <c r="E164" s="7"/>
      <c r="F164" s="7"/>
      <c r="G164" s="104"/>
      <c r="H164" s="104"/>
      <c r="I164" s="104"/>
      <c r="J164" s="104"/>
      <c r="K164" s="104"/>
    </row>
    <row r="165" spans="4:11" x14ac:dyDescent="0.3">
      <c r="D165" s="7"/>
      <c r="E165" s="7"/>
      <c r="F165" s="7"/>
      <c r="G165" s="104"/>
      <c r="H165" s="104"/>
      <c r="I165" s="104"/>
      <c r="J165" s="104"/>
      <c r="K165" s="104"/>
    </row>
    <row r="166" spans="4:11" x14ac:dyDescent="0.3">
      <c r="D166" s="7"/>
      <c r="E166" s="7"/>
      <c r="F166" s="7"/>
      <c r="G166" s="104"/>
      <c r="H166" s="104"/>
      <c r="I166" s="104"/>
      <c r="J166" s="104"/>
      <c r="K166" s="104"/>
    </row>
    <row r="167" spans="4:11" x14ac:dyDescent="0.3">
      <c r="D167" s="7"/>
      <c r="E167" s="7"/>
      <c r="F167" s="7"/>
      <c r="G167" s="104"/>
      <c r="H167" s="104"/>
      <c r="I167" s="104"/>
      <c r="J167" s="104"/>
      <c r="K167" s="104"/>
    </row>
    <row r="168" spans="4:11" x14ac:dyDescent="0.3">
      <c r="D168" s="7"/>
      <c r="E168" s="7"/>
      <c r="F168" s="7"/>
      <c r="G168" s="104"/>
      <c r="H168" s="104"/>
      <c r="I168" s="104"/>
      <c r="J168" s="104"/>
      <c r="K168" s="104"/>
    </row>
    <row r="169" spans="4:11" x14ac:dyDescent="0.3">
      <c r="D169" s="7"/>
      <c r="E169" s="7"/>
      <c r="F169" s="7"/>
      <c r="G169" s="104"/>
      <c r="H169" s="104"/>
      <c r="I169" s="104"/>
      <c r="J169" s="104"/>
      <c r="K169" s="104"/>
    </row>
    <row r="170" spans="4:11" x14ac:dyDescent="0.3">
      <c r="D170" s="7"/>
      <c r="E170" s="7"/>
      <c r="F170" s="7"/>
      <c r="G170" s="104"/>
      <c r="H170" s="104"/>
      <c r="I170" s="104"/>
      <c r="J170" s="104"/>
      <c r="K170" s="104"/>
    </row>
    <row r="171" spans="4:11" x14ac:dyDescent="0.3">
      <c r="D171" s="7"/>
      <c r="E171" s="7"/>
      <c r="F171" s="7"/>
      <c r="G171" s="104"/>
      <c r="H171" s="104"/>
      <c r="I171" s="104"/>
      <c r="J171" s="104"/>
      <c r="K171" s="104"/>
    </row>
    <row r="172" spans="4:11" x14ac:dyDescent="0.3">
      <c r="D172" s="7"/>
      <c r="E172" s="7"/>
      <c r="F172" s="7"/>
      <c r="G172" s="104"/>
      <c r="H172" s="104"/>
      <c r="I172" s="104"/>
      <c r="J172" s="104"/>
      <c r="K172" s="104"/>
    </row>
    <row r="173" spans="4:11" x14ac:dyDescent="0.3">
      <c r="D173" s="7"/>
      <c r="E173" s="7"/>
      <c r="F173" s="7"/>
      <c r="G173" s="104"/>
      <c r="H173" s="104"/>
      <c r="I173" s="104"/>
      <c r="J173" s="104"/>
      <c r="K173" s="104"/>
    </row>
    <row r="174" spans="4:11" x14ac:dyDescent="0.3">
      <c r="D174" s="7"/>
      <c r="E174" s="7"/>
      <c r="F174" s="7"/>
      <c r="G174" s="104"/>
      <c r="H174" s="104"/>
      <c r="I174" s="104"/>
      <c r="J174" s="104"/>
      <c r="K174" s="104"/>
    </row>
    <row r="175" spans="4:11" x14ac:dyDescent="0.3">
      <c r="D175" s="7"/>
      <c r="E175" s="7"/>
      <c r="F175" s="7"/>
      <c r="G175" s="104"/>
      <c r="H175" s="104"/>
      <c r="I175" s="104"/>
      <c r="J175" s="104"/>
      <c r="K175" s="104"/>
    </row>
    <row r="176" spans="4:11" x14ac:dyDescent="0.3">
      <c r="D176" s="7"/>
      <c r="E176" s="7"/>
      <c r="F176" s="7"/>
      <c r="G176" s="104"/>
      <c r="H176" s="104"/>
      <c r="I176" s="104"/>
      <c r="J176" s="104"/>
      <c r="K176" s="104"/>
    </row>
    <row r="177" spans="2:11" x14ac:dyDescent="0.3">
      <c r="D177" s="7"/>
      <c r="E177" s="7"/>
      <c r="F177" s="7"/>
      <c r="G177" s="104"/>
      <c r="H177" s="104"/>
      <c r="I177" s="104"/>
      <c r="J177" s="104"/>
      <c r="K177" s="104"/>
    </row>
    <row r="178" spans="2:11" x14ac:dyDescent="0.3">
      <c r="B178" s="36" t="s">
        <v>302</v>
      </c>
    </row>
    <row r="179" spans="2:11" x14ac:dyDescent="0.3">
      <c r="E179" s="28"/>
    </row>
    <row r="199" spans="2:2" x14ac:dyDescent="0.3">
      <c r="B199" s="36" t="s">
        <v>268</v>
      </c>
    </row>
    <row r="218" spans="2:2" x14ac:dyDescent="0.3">
      <c r="B218" s="36" t="s">
        <v>208</v>
      </c>
    </row>
  </sheetData>
  <mergeCells count="1">
    <mergeCell ref="A1:B1"/>
  </mergeCells>
  <conditionalFormatting sqref="D3">
    <cfRule type="cellIs" dxfId="72" priority="54" operator="greaterThan">
      <formula>$C3</formula>
    </cfRule>
  </conditionalFormatting>
  <conditionalFormatting sqref="D12">
    <cfRule type="cellIs" dxfId="71" priority="52" operator="lessThan">
      <formula>$C12</formula>
    </cfRule>
  </conditionalFormatting>
  <conditionalFormatting sqref="D15:G15 K15">
    <cfRule type="cellIs" dxfId="70" priority="50" operator="greaterThan">
      <formula>$C$15</formula>
    </cfRule>
  </conditionalFormatting>
  <conditionalFormatting sqref="E3:G3 K3">
    <cfRule type="cellIs" dxfId="69" priority="46" operator="greaterThan">
      <formula>$C3</formula>
    </cfRule>
  </conditionalFormatting>
  <conditionalFormatting sqref="D51:G51 K51">
    <cfRule type="cellIs" dxfId="68" priority="45" operator="greaterThan">
      <formula>$C51</formula>
    </cfRule>
  </conditionalFormatting>
  <conditionalFormatting sqref="D62:G62 K62">
    <cfRule type="cellIs" dxfId="67" priority="44" operator="greaterThan">
      <formula>$C62</formula>
    </cfRule>
  </conditionalFormatting>
  <conditionalFormatting sqref="D64:G64 K64">
    <cfRule type="cellIs" dxfId="66" priority="43" operator="greaterThan">
      <formula>$C64</formula>
    </cfRule>
  </conditionalFormatting>
  <conditionalFormatting sqref="E12:G12 K12">
    <cfRule type="cellIs" dxfId="65" priority="42" operator="lessThan">
      <formula>$C12</formula>
    </cfRule>
  </conditionalFormatting>
  <conditionalFormatting sqref="D76:E77">
    <cfRule type="cellIs" dxfId="64" priority="41" operator="lessThan">
      <formula>$C76</formula>
    </cfRule>
  </conditionalFormatting>
  <conditionalFormatting sqref="E76:G77 K76:K77">
    <cfRule type="cellIs" dxfId="63" priority="40" operator="lessThan">
      <formula>$C76</formula>
    </cfRule>
  </conditionalFormatting>
  <conditionalFormatting sqref="D65">
    <cfRule type="expression" dxfId="62" priority="31">
      <formula>D$65+D$66&gt;=$C$66</formula>
    </cfRule>
  </conditionalFormatting>
  <conditionalFormatting sqref="E65:G65 K65">
    <cfRule type="expression" dxfId="61" priority="30">
      <formula>E$65+E$66&gt;=$C$66</formula>
    </cfRule>
  </conditionalFormatting>
  <conditionalFormatting sqref="D66">
    <cfRule type="expression" dxfId="60" priority="29">
      <formula>D$65+D$66&gt;=$C$66</formula>
    </cfRule>
  </conditionalFormatting>
  <conditionalFormatting sqref="E66:G66 K66">
    <cfRule type="expression" dxfId="59" priority="28">
      <formula>E$65+E$66&gt;=$C$66</formula>
    </cfRule>
  </conditionalFormatting>
  <conditionalFormatting sqref="H15">
    <cfRule type="cellIs" dxfId="58" priority="27" operator="greaterThan">
      <formula>$C$15</formula>
    </cfRule>
  </conditionalFormatting>
  <conditionalFormatting sqref="H3">
    <cfRule type="cellIs" dxfId="57" priority="26" operator="greaterThan">
      <formula>$C3</formula>
    </cfRule>
  </conditionalFormatting>
  <conditionalFormatting sqref="H51">
    <cfRule type="cellIs" dxfId="56" priority="25" operator="greaterThan">
      <formula>$C51</formula>
    </cfRule>
  </conditionalFormatting>
  <conditionalFormatting sqref="H62">
    <cfRule type="cellIs" dxfId="55" priority="24" operator="greaterThan">
      <formula>$C62</formula>
    </cfRule>
  </conditionalFormatting>
  <conditionalFormatting sqref="H64">
    <cfRule type="cellIs" dxfId="54" priority="23" operator="greaterThan">
      <formula>$C64</formula>
    </cfRule>
  </conditionalFormatting>
  <conditionalFormatting sqref="H12">
    <cfRule type="cellIs" dxfId="53" priority="22" operator="lessThan">
      <formula>$C12</formula>
    </cfRule>
  </conditionalFormatting>
  <conditionalFormatting sqref="H76:H77">
    <cfRule type="cellIs" dxfId="52" priority="21" operator="lessThan">
      <formula>$C76</formula>
    </cfRule>
  </conditionalFormatting>
  <conditionalFormatting sqref="H65">
    <cfRule type="expression" dxfId="51" priority="20">
      <formula>H$65+H$66&gt;=$C$66</formula>
    </cfRule>
  </conditionalFormatting>
  <conditionalFormatting sqref="H66">
    <cfRule type="expression" dxfId="50" priority="19">
      <formula>H$65+H$66&gt;=$C$66</formula>
    </cfRule>
  </conditionalFormatting>
  <conditionalFormatting sqref="I15">
    <cfRule type="cellIs" dxfId="49" priority="18" operator="greaterThan">
      <formula>$C$15</formula>
    </cfRule>
  </conditionalFormatting>
  <conditionalFormatting sqref="I3">
    <cfRule type="cellIs" dxfId="48" priority="17" operator="greaterThan">
      <formula>$C3</formula>
    </cfRule>
  </conditionalFormatting>
  <conditionalFormatting sqref="I51">
    <cfRule type="cellIs" dxfId="47" priority="16" operator="greaterThan">
      <formula>$C51</formula>
    </cfRule>
  </conditionalFormatting>
  <conditionalFormatting sqref="I62">
    <cfRule type="cellIs" dxfId="46" priority="15" operator="greaterThan">
      <formula>$C62</formula>
    </cfRule>
  </conditionalFormatting>
  <conditionalFormatting sqref="I64">
    <cfRule type="cellIs" dxfId="45" priority="14" operator="greaterThan">
      <formula>$C64</formula>
    </cfRule>
  </conditionalFormatting>
  <conditionalFormatting sqref="I12">
    <cfRule type="cellIs" dxfId="44" priority="13" operator="lessThan">
      <formula>$C12</formula>
    </cfRule>
  </conditionalFormatting>
  <conditionalFormatting sqref="I76:I77">
    <cfRule type="cellIs" dxfId="43" priority="12" operator="lessThan">
      <formula>$C76</formula>
    </cfRule>
  </conditionalFormatting>
  <conditionalFormatting sqref="I65">
    <cfRule type="expression" dxfId="42" priority="11">
      <formula>I$65+I$66&gt;=$C$66</formula>
    </cfRule>
  </conditionalFormatting>
  <conditionalFormatting sqref="I66">
    <cfRule type="expression" dxfId="41" priority="10">
      <formula>I$65+I$66&gt;=$C$66</formula>
    </cfRule>
  </conditionalFormatting>
  <conditionalFormatting sqref="J15">
    <cfRule type="cellIs" dxfId="40" priority="9" operator="greaterThan">
      <formula>$C$15</formula>
    </cfRule>
  </conditionalFormatting>
  <conditionalFormatting sqref="J3">
    <cfRule type="cellIs" dxfId="39" priority="8" operator="greaterThan">
      <formula>$C3</formula>
    </cfRule>
  </conditionalFormatting>
  <conditionalFormatting sqref="J51">
    <cfRule type="cellIs" dxfId="38" priority="7" operator="greaterThan">
      <formula>$C51</formula>
    </cfRule>
  </conditionalFormatting>
  <conditionalFormatting sqref="J62">
    <cfRule type="cellIs" dxfId="37" priority="6" operator="greaterThan">
      <formula>$C62</formula>
    </cfRule>
  </conditionalFormatting>
  <conditionalFormatting sqref="J64">
    <cfRule type="cellIs" dxfId="36" priority="5" operator="greaterThan">
      <formula>$C64</formula>
    </cfRule>
  </conditionalFormatting>
  <conditionalFormatting sqref="J12">
    <cfRule type="cellIs" dxfId="35" priority="4" operator="lessThan">
      <formula>$C12</formula>
    </cfRule>
  </conditionalFormatting>
  <conditionalFormatting sqref="J76:J77">
    <cfRule type="cellIs" dxfId="34" priority="3" operator="lessThan">
      <formula>$C76</formula>
    </cfRule>
  </conditionalFormatting>
  <conditionalFormatting sqref="J65">
    <cfRule type="expression" dxfId="33" priority="2">
      <formula>J$65+J$66&gt;=$C$66</formula>
    </cfRule>
  </conditionalFormatting>
  <conditionalFormatting sqref="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2024-12-27T11:57:18Z</dcterms:modified>
</cp:coreProperties>
</file>