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i\rendiconti\Comuni\"/>
    </mc:Choice>
  </mc:AlternateContent>
  <bookViews>
    <workbookView xWindow="240" yWindow="48" windowWidth="20112" windowHeight="7992" firstSheet="5" activeTab="9"/>
  </bookViews>
  <sheets>
    <sheet name="Entrate_Uscite" sheetId="2" r:id="rId1"/>
    <sheet name="Tav_Entrate" sheetId="7" r:id="rId2"/>
    <sheet name="Tav_Uscite" sheetId="8" r:id="rId3"/>
    <sheet name="Tav_Saldi" sheetId="9" r:id="rId4"/>
    <sheet name="Risultato_amministrazione" sheetId="1" r:id="rId5"/>
    <sheet name="Conto_economico" sheetId="6" r:id="rId6"/>
    <sheet name="Tav_contoeconomico" sheetId="10" r:id="rId7"/>
    <sheet name="Stato_patrimoniale" sheetId="5" r:id="rId8"/>
    <sheet name="Piano_indicatori" sheetId="4" r:id="rId9"/>
    <sheet name="Tav_indicatori" sheetId="12" r:id="rId10"/>
    <sheet name="Popolazione" sheetId="13" r:id="rId11"/>
  </sheets>
  <calcPr calcId="152511"/>
</workbook>
</file>

<file path=xl/calcChain.xml><?xml version="1.0" encoding="utf-8"?>
<calcChain xmlns="http://schemas.openxmlformats.org/spreadsheetml/2006/main">
  <c r="K9" i="12" l="1"/>
  <c r="K8" i="12"/>
  <c r="K7" i="12"/>
  <c r="K6" i="12"/>
  <c r="K5" i="12"/>
  <c r="K4" i="12"/>
  <c r="K3" i="12"/>
  <c r="K2" i="12"/>
  <c r="W53" i="2"/>
  <c r="X52" i="2"/>
  <c r="W52" i="2"/>
  <c r="X51" i="2"/>
  <c r="W51" i="2"/>
  <c r="X50" i="2"/>
  <c r="W50" i="2"/>
  <c r="X49" i="2"/>
  <c r="W49" i="2"/>
  <c r="X48" i="2"/>
  <c r="W48" i="2"/>
  <c r="W20" i="2"/>
  <c r="W21" i="2" s="1"/>
  <c r="X16" i="2"/>
  <c r="X20" i="2" s="1"/>
  <c r="X21" i="2" s="1"/>
  <c r="W16" i="2"/>
  <c r="X15" i="2"/>
  <c r="W15" i="2"/>
  <c r="X14" i="2"/>
  <c r="W14" i="2"/>
  <c r="I20" i="5" l="1"/>
  <c r="H27" i="5"/>
  <c r="H20" i="5"/>
  <c r="H26" i="5" s="1"/>
  <c r="H13" i="5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" i="10"/>
  <c r="H15" i="10"/>
  <c r="H13" i="10"/>
  <c r="H12" i="10"/>
  <c r="H11" i="10"/>
  <c r="H10" i="10"/>
  <c r="H14" i="10" s="1"/>
  <c r="H16" i="10" s="1"/>
  <c r="H9" i="10"/>
  <c r="H8" i="10"/>
  <c r="H7" i="10"/>
  <c r="H6" i="10"/>
  <c r="H5" i="10"/>
  <c r="H4" i="10"/>
  <c r="H3" i="10"/>
  <c r="H2" i="10"/>
  <c r="K27" i="6"/>
  <c r="K26" i="6"/>
  <c r="K25" i="6"/>
  <c r="K24" i="6"/>
  <c r="K23" i="6"/>
  <c r="K22" i="6"/>
  <c r="K20" i="6"/>
  <c r="K19" i="6"/>
  <c r="K18" i="6"/>
  <c r="K17" i="6"/>
  <c r="K16" i="6"/>
  <c r="K15" i="6"/>
  <c r="K14" i="6"/>
  <c r="K13" i="6"/>
  <c r="K12" i="6"/>
  <c r="K11" i="6"/>
  <c r="K9" i="6"/>
  <c r="K8" i="6"/>
  <c r="K7" i="6"/>
  <c r="K6" i="6"/>
  <c r="K5" i="6"/>
  <c r="K4" i="6"/>
  <c r="K3" i="6"/>
  <c r="K2" i="6"/>
  <c r="I21" i="6"/>
  <c r="I10" i="6"/>
  <c r="I29" i="6" s="1"/>
  <c r="H23" i="1"/>
  <c r="H19" i="1"/>
  <c r="H13" i="1"/>
  <c r="H7" i="1"/>
  <c r="H21" i="1" s="1"/>
  <c r="H28" i="5" l="1"/>
  <c r="I28" i="6"/>
  <c r="K26" i="8"/>
  <c r="K25" i="8"/>
  <c r="K23" i="8"/>
  <c r="K20" i="8"/>
  <c r="K19" i="8"/>
  <c r="K18" i="8"/>
  <c r="K17" i="8"/>
  <c r="K16" i="8"/>
  <c r="K13" i="8"/>
  <c r="K7" i="8"/>
  <c r="K17" i="7"/>
  <c r="K15" i="7"/>
  <c r="K14" i="7"/>
  <c r="K13" i="7"/>
  <c r="K12" i="7"/>
  <c r="K9" i="7"/>
  <c r="K8" i="7"/>
  <c r="H6" i="9"/>
  <c r="H5" i="9"/>
  <c r="H4" i="9"/>
  <c r="H3" i="9"/>
  <c r="H2" i="9"/>
  <c r="H29" i="8"/>
  <c r="H28" i="8"/>
  <c r="H26" i="8"/>
  <c r="H25" i="8"/>
  <c r="H24" i="8"/>
  <c r="H27" i="8" s="1"/>
  <c r="H23" i="8"/>
  <c r="H22" i="8"/>
  <c r="H19" i="8"/>
  <c r="H18" i="8"/>
  <c r="H17" i="8"/>
  <c r="H16" i="8"/>
  <c r="H14" i="8"/>
  <c r="H13" i="8"/>
  <c r="H12" i="8"/>
  <c r="H11" i="8"/>
  <c r="H10" i="8"/>
  <c r="H9" i="8"/>
  <c r="H8" i="8"/>
  <c r="H7" i="8"/>
  <c r="H6" i="8"/>
  <c r="H5" i="8"/>
  <c r="H4" i="8"/>
  <c r="H3" i="8"/>
  <c r="H2" i="8"/>
  <c r="H19" i="7"/>
  <c r="H18" i="7"/>
  <c r="H17" i="7"/>
  <c r="H14" i="7"/>
  <c r="H15" i="7" s="1"/>
  <c r="H13" i="7"/>
  <c r="H12" i="7"/>
  <c r="H10" i="7"/>
  <c r="H9" i="7"/>
  <c r="H8" i="7"/>
  <c r="H7" i="7"/>
  <c r="H6" i="7"/>
  <c r="H4" i="7"/>
  <c r="H3" i="7"/>
  <c r="H5" i="7" s="1"/>
  <c r="H2" i="7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AA4" i="2"/>
  <c r="Z4" i="2"/>
  <c r="AA3" i="2"/>
  <c r="Z3" i="2"/>
  <c r="H15" i="8" l="1"/>
  <c r="H30" i="8" s="1"/>
  <c r="H31" i="8" s="1"/>
  <c r="H20" i="8"/>
  <c r="H21" i="8" s="1"/>
  <c r="H11" i="7"/>
  <c r="H20" i="7" s="1"/>
  <c r="H21" i="7" s="1"/>
  <c r="H16" i="7"/>
  <c r="T53" i="2" l="1"/>
  <c r="V53" i="2" s="1"/>
  <c r="U52" i="2"/>
  <c r="T52" i="2"/>
  <c r="V52" i="2" s="1"/>
  <c r="V51" i="2"/>
  <c r="U51" i="2"/>
  <c r="T51" i="2"/>
  <c r="U50" i="2"/>
  <c r="T50" i="2"/>
  <c r="V50" i="2" s="1"/>
  <c r="U49" i="2"/>
  <c r="T49" i="2"/>
  <c r="V49" i="2" s="1"/>
  <c r="V48" i="2"/>
  <c r="U48" i="2"/>
  <c r="U61" i="2" s="1"/>
  <c r="T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U20" i="2"/>
  <c r="U21" i="2" s="1"/>
  <c r="V19" i="2"/>
  <c r="V18" i="2"/>
  <c r="V17" i="2"/>
  <c r="U16" i="2"/>
  <c r="T16" i="2"/>
  <c r="T58" i="2" s="1"/>
  <c r="V15" i="2"/>
  <c r="U15" i="2"/>
  <c r="U57" i="2" s="1"/>
  <c r="T15" i="2"/>
  <c r="T57" i="2" s="1"/>
  <c r="V14" i="2"/>
  <c r="U14" i="2"/>
  <c r="U56" i="2" s="1"/>
  <c r="T14" i="2"/>
  <c r="T56" i="2" s="1"/>
  <c r="V13" i="2"/>
  <c r="V12" i="2"/>
  <c r="V11" i="2"/>
  <c r="V10" i="2"/>
  <c r="V9" i="2"/>
  <c r="V8" i="2"/>
  <c r="V7" i="2"/>
  <c r="V6" i="2"/>
  <c r="V5" i="2"/>
  <c r="V4" i="2"/>
  <c r="V3" i="2"/>
  <c r="T20" i="2" l="1"/>
  <c r="T54" i="2"/>
  <c r="U54" i="2"/>
  <c r="U55" i="2" s="1"/>
  <c r="U59" i="2" s="1"/>
  <c r="U58" i="2"/>
  <c r="V16" i="2"/>
  <c r="U60" i="2"/>
  <c r="E3" i="13"/>
  <c r="E4" i="13"/>
  <c r="G3" i="13"/>
  <c r="G4" i="13"/>
  <c r="T55" i="2" l="1"/>
  <c r="V55" i="2" s="1"/>
  <c r="V54" i="2"/>
  <c r="T21" i="2"/>
  <c r="V20" i="2"/>
  <c r="B9" i="10"/>
  <c r="H29" i="6"/>
  <c r="G9" i="10" s="1"/>
  <c r="C29" i="6"/>
  <c r="V21" i="2" l="1"/>
  <c r="T59" i="2"/>
  <c r="J9" i="12"/>
  <c r="J8" i="12"/>
  <c r="J7" i="12"/>
  <c r="J6" i="12"/>
  <c r="J5" i="12"/>
  <c r="J4" i="12"/>
  <c r="J3" i="12"/>
  <c r="J2" i="12"/>
  <c r="G29" i="8"/>
  <c r="G28" i="8"/>
  <c r="G26" i="8"/>
  <c r="G25" i="8"/>
  <c r="G24" i="8"/>
  <c r="G23" i="8"/>
  <c r="G22" i="8"/>
  <c r="G19" i="8"/>
  <c r="G18" i="8"/>
  <c r="G17" i="8"/>
  <c r="G16" i="8"/>
  <c r="G14" i="8"/>
  <c r="G13" i="8"/>
  <c r="G12" i="8"/>
  <c r="G11" i="8"/>
  <c r="G9" i="8"/>
  <c r="G8" i="8"/>
  <c r="G7" i="8"/>
  <c r="G6" i="8"/>
  <c r="G5" i="8"/>
  <c r="G4" i="8"/>
  <c r="G3" i="8"/>
  <c r="G2" i="8"/>
  <c r="G19" i="7"/>
  <c r="G18" i="7"/>
  <c r="G17" i="7"/>
  <c r="G14" i="7"/>
  <c r="G13" i="7"/>
  <c r="G12" i="7"/>
  <c r="G10" i="7"/>
  <c r="G9" i="7"/>
  <c r="G8" i="7"/>
  <c r="G7" i="7"/>
  <c r="G6" i="7"/>
  <c r="G4" i="7"/>
  <c r="G3" i="7"/>
  <c r="G2" i="7"/>
  <c r="G15" i="7" l="1"/>
  <c r="G10" i="8"/>
  <c r="G15" i="8"/>
  <c r="G27" i="8"/>
  <c r="G20" i="8"/>
  <c r="G5" i="7"/>
  <c r="G11" i="7"/>
  <c r="G21" i="8" l="1"/>
  <c r="G16" i="7"/>
  <c r="G30" i="8"/>
  <c r="G31" i="8" s="1"/>
  <c r="G20" i="7"/>
  <c r="R57" i="2"/>
  <c r="R54" i="2"/>
  <c r="R55" i="2" s="1"/>
  <c r="Q53" i="2"/>
  <c r="S53" i="2" s="1"/>
  <c r="S52" i="2"/>
  <c r="R51" i="2"/>
  <c r="Q51" i="2"/>
  <c r="S51" i="2" s="1"/>
  <c r="S50" i="2"/>
  <c r="R50" i="2"/>
  <c r="Q50" i="2"/>
  <c r="R49" i="2"/>
  <c r="Q49" i="2"/>
  <c r="S49" i="2" s="1"/>
  <c r="R48" i="2"/>
  <c r="R61" i="2" s="1"/>
  <c r="Q48" i="2"/>
  <c r="S48" i="2" s="1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19" i="2"/>
  <c r="S18" i="2"/>
  <c r="S17" i="2"/>
  <c r="R16" i="2"/>
  <c r="Q16" i="2"/>
  <c r="R15" i="2"/>
  <c r="Q15" i="2"/>
  <c r="R14" i="2"/>
  <c r="Q14" i="2"/>
  <c r="S14" i="2" s="1"/>
  <c r="S13" i="2"/>
  <c r="S12" i="2"/>
  <c r="S11" i="2"/>
  <c r="S10" i="2"/>
  <c r="S9" i="2"/>
  <c r="S8" i="2"/>
  <c r="S7" i="2"/>
  <c r="S6" i="2"/>
  <c r="S5" i="2"/>
  <c r="S4" i="2"/>
  <c r="S3" i="2"/>
  <c r="G27" i="5"/>
  <c r="G28" i="5" s="1"/>
  <c r="G26" i="5"/>
  <c r="G20" i="5"/>
  <c r="G13" i="5"/>
  <c r="G15" i="10"/>
  <c r="G13" i="10"/>
  <c r="G12" i="10"/>
  <c r="G11" i="10"/>
  <c r="G8" i="10"/>
  <c r="G7" i="10"/>
  <c r="G6" i="10"/>
  <c r="G5" i="10"/>
  <c r="G4" i="10"/>
  <c r="G3" i="10"/>
  <c r="G2" i="10"/>
  <c r="G10" i="10" s="1"/>
  <c r="G14" i="10" s="1"/>
  <c r="G16" i="10" s="1"/>
  <c r="J10" i="6"/>
  <c r="H21" i="6"/>
  <c r="H10" i="6"/>
  <c r="H28" i="6" s="1"/>
  <c r="G23" i="1"/>
  <c r="G19" i="1"/>
  <c r="G13" i="1"/>
  <c r="G7" i="1"/>
  <c r="G21" i="1" s="1"/>
  <c r="J29" i="6" l="1"/>
  <c r="K29" i="6" s="1"/>
  <c r="K10" i="6"/>
  <c r="G21" i="7"/>
  <c r="Q56" i="2"/>
  <c r="G2" i="9" s="1"/>
  <c r="R56" i="2"/>
  <c r="S16" i="2"/>
  <c r="G4" i="9"/>
  <c r="Q20" i="2"/>
  <c r="Q21" i="2"/>
  <c r="Q54" i="2"/>
  <c r="Q57" i="2"/>
  <c r="G3" i="9" s="1"/>
  <c r="Q58" i="2"/>
  <c r="G5" i="9" s="1"/>
  <c r="S15" i="2"/>
  <c r="R20" i="2"/>
  <c r="R58" i="2"/>
  <c r="R60" i="2"/>
  <c r="G5" i="13"/>
  <c r="I9" i="10" l="1"/>
  <c r="R21" i="2"/>
  <c r="Q55" i="2"/>
  <c r="S55" i="2" s="1"/>
  <c r="S54" i="2"/>
  <c r="S20" i="2"/>
  <c r="S21" i="2"/>
  <c r="Q59" i="2"/>
  <c r="G6" i="9" s="1"/>
  <c r="G7" i="13"/>
  <c r="G8" i="13"/>
  <c r="G9" i="13"/>
  <c r="G10" i="13"/>
  <c r="G11" i="13"/>
  <c r="G6" i="13"/>
  <c r="R59" i="2" l="1"/>
  <c r="I9" i="12"/>
  <c r="I8" i="12"/>
  <c r="I7" i="12"/>
  <c r="I6" i="12"/>
  <c r="I5" i="12"/>
  <c r="I4" i="12"/>
  <c r="I3" i="12"/>
  <c r="I2" i="12"/>
  <c r="F29" i="8"/>
  <c r="F28" i="8"/>
  <c r="F26" i="8"/>
  <c r="F25" i="8"/>
  <c r="F24" i="8"/>
  <c r="F23" i="8"/>
  <c r="F22" i="8"/>
  <c r="F19" i="8"/>
  <c r="F18" i="8"/>
  <c r="F17" i="8"/>
  <c r="F16" i="8"/>
  <c r="F14" i="8"/>
  <c r="F13" i="8"/>
  <c r="F12" i="8"/>
  <c r="F11" i="8"/>
  <c r="F9" i="8"/>
  <c r="F8" i="8"/>
  <c r="F7" i="8"/>
  <c r="F6" i="8"/>
  <c r="F5" i="8"/>
  <c r="F4" i="8"/>
  <c r="F3" i="8"/>
  <c r="F2" i="8"/>
  <c r="F19" i="7"/>
  <c r="F18" i="7"/>
  <c r="F17" i="7"/>
  <c r="F14" i="7"/>
  <c r="F13" i="7"/>
  <c r="F12" i="7"/>
  <c r="F10" i="7"/>
  <c r="F9" i="7"/>
  <c r="F8" i="7"/>
  <c r="F7" i="7"/>
  <c r="F6" i="7"/>
  <c r="F4" i="7"/>
  <c r="F3" i="7"/>
  <c r="F2" i="7"/>
  <c r="F15" i="8" l="1"/>
  <c r="F5" i="7"/>
  <c r="F15" i="7"/>
  <c r="F27" i="8"/>
  <c r="F10" i="8"/>
  <c r="F20" i="8"/>
  <c r="F11" i="7"/>
  <c r="F30" i="8" l="1"/>
  <c r="F21" i="8"/>
  <c r="F16" i="7"/>
  <c r="F20" i="7"/>
  <c r="F31" i="8"/>
  <c r="P53" i="2"/>
  <c r="N53" i="2"/>
  <c r="O52" i="2"/>
  <c r="N52" i="2"/>
  <c r="P52" i="2" s="1"/>
  <c r="O51" i="2"/>
  <c r="N51" i="2"/>
  <c r="P51" i="2" s="1"/>
  <c r="P50" i="2"/>
  <c r="O50" i="2"/>
  <c r="N50" i="2"/>
  <c r="O49" i="2"/>
  <c r="P49" i="2" s="1"/>
  <c r="N49" i="2"/>
  <c r="O48" i="2"/>
  <c r="N48" i="2"/>
  <c r="P48" i="2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19" i="2"/>
  <c r="P18" i="2"/>
  <c r="P17" i="2"/>
  <c r="O16" i="2"/>
  <c r="N16" i="2"/>
  <c r="O15" i="2"/>
  <c r="N15" i="2"/>
  <c r="O14" i="2"/>
  <c r="N14" i="2"/>
  <c r="P13" i="2"/>
  <c r="P12" i="2"/>
  <c r="P11" i="2"/>
  <c r="P10" i="2"/>
  <c r="P9" i="2"/>
  <c r="P8" i="2"/>
  <c r="P7" i="2"/>
  <c r="P6" i="2"/>
  <c r="P5" i="2"/>
  <c r="P4" i="2"/>
  <c r="P3" i="2"/>
  <c r="F15" i="10"/>
  <c r="F13" i="10"/>
  <c r="F12" i="10"/>
  <c r="F11" i="10"/>
  <c r="F8" i="10"/>
  <c r="F7" i="10"/>
  <c r="F6" i="10"/>
  <c r="F5" i="10"/>
  <c r="F4" i="10"/>
  <c r="F3" i="10"/>
  <c r="G21" i="6"/>
  <c r="G10" i="6"/>
  <c r="F2" i="10" s="1"/>
  <c r="F23" i="1"/>
  <c r="F19" i="1"/>
  <c r="F13" i="1"/>
  <c r="F7" i="1"/>
  <c r="F21" i="1" s="1"/>
  <c r="F27" i="5"/>
  <c r="F26" i="5"/>
  <c r="F13" i="5"/>
  <c r="G28" i="6" l="1"/>
  <c r="G29" i="6"/>
  <c r="F9" i="10" s="1"/>
  <c r="F10" i="10"/>
  <c r="F14" i="10" s="1"/>
  <c r="F16" i="10" s="1"/>
  <c r="O60" i="2"/>
  <c r="F4" i="9"/>
  <c r="P15" i="2"/>
  <c r="O58" i="2"/>
  <c r="P16" i="2"/>
  <c r="N56" i="2"/>
  <c r="F2" i="9" s="1"/>
  <c r="F21" i="7"/>
  <c r="O56" i="2"/>
  <c r="O61" i="2"/>
  <c r="N20" i="2"/>
  <c r="N54" i="2"/>
  <c r="N57" i="2"/>
  <c r="F3" i="9" s="1"/>
  <c r="O20" i="2"/>
  <c r="O54" i="2"/>
  <c r="O55" i="2" s="1"/>
  <c r="O57" i="2"/>
  <c r="N58" i="2"/>
  <c r="F5" i="9" s="1"/>
  <c r="P14" i="2"/>
  <c r="F28" i="5"/>
  <c r="I27" i="5"/>
  <c r="E27" i="5"/>
  <c r="D27" i="5"/>
  <c r="C27" i="5"/>
  <c r="B27" i="5"/>
  <c r="O21" i="2" l="1"/>
  <c r="O59" i="2" s="1"/>
  <c r="P20" i="2"/>
  <c r="N21" i="2"/>
  <c r="P54" i="2"/>
  <c r="N55" i="2"/>
  <c r="P55" i="2" s="1"/>
  <c r="P21" i="2" l="1"/>
  <c r="N59" i="2"/>
  <c r="F6" i="9" s="1"/>
  <c r="H9" i="12"/>
  <c r="H8" i="12"/>
  <c r="H7" i="12"/>
  <c r="H6" i="12"/>
  <c r="H5" i="12"/>
  <c r="H4" i="12"/>
  <c r="H3" i="12"/>
  <c r="H2" i="12"/>
  <c r="E26" i="8"/>
  <c r="E25" i="8"/>
  <c r="E24" i="8"/>
  <c r="E23" i="8"/>
  <c r="E22" i="8"/>
  <c r="E19" i="8"/>
  <c r="E18" i="8"/>
  <c r="E17" i="8"/>
  <c r="E16" i="8"/>
  <c r="E14" i="8"/>
  <c r="E13" i="8"/>
  <c r="E12" i="8"/>
  <c r="E11" i="8"/>
  <c r="E9" i="8"/>
  <c r="E8" i="8"/>
  <c r="E7" i="8"/>
  <c r="E6" i="8"/>
  <c r="E5" i="8"/>
  <c r="E4" i="8"/>
  <c r="E3" i="8"/>
  <c r="E2" i="8"/>
  <c r="E19" i="7"/>
  <c r="E18" i="7"/>
  <c r="E17" i="7"/>
  <c r="E14" i="7"/>
  <c r="E13" i="7"/>
  <c r="E12" i="7"/>
  <c r="E10" i="7"/>
  <c r="E9" i="7"/>
  <c r="E8" i="7"/>
  <c r="E7" i="7"/>
  <c r="E6" i="7"/>
  <c r="E4" i="7"/>
  <c r="E3" i="7"/>
  <c r="E2" i="7"/>
  <c r="E5" i="7" l="1"/>
  <c r="E27" i="8"/>
  <c r="E10" i="8"/>
  <c r="E15" i="8"/>
  <c r="E20" i="8"/>
  <c r="E11" i="7"/>
  <c r="E15" i="7"/>
  <c r="E16" i="7" l="1"/>
  <c r="E21" i="8"/>
  <c r="E20" i="7"/>
  <c r="E21" i="7" l="1"/>
  <c r="K53" i="2"/>
  <c r="M53" i="2" s="1"/>
  <c r="L52" i="2"/>
  <c r="K52" i="2"/>
  <c r="L51" i="2"/>
  <c r="K51" i="2"/>
  <c r="L50" i="2"/>
  <c r="K50" i="2"/>
  <c r="L49" i="2"/>
  <c r="K49" i="2"/>
  <c r="L48" i="2"/>
  <c r="K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19" i="2"/>
  <c r="M18" i="2"/>
  <c r="M17" i="2"/>
  <c r="L16" i="2"/>
  <c r="K16" i="2"/>
  <c r="L15" i="2"/>
  <c r="K15" i="2"/>
  <c r="L14" i="2"/>
  <c r="K14" i="2"/>
  <c r="M13" i="2"/>
  <c r="M12" i="2"/>
  <c r="M11" i="2"/>
  <c r="M10" i="2"/>
  <c r="M9" i="2"/>
  <c r="M8" i="2"/>
  <c r="M7" i="2"/>
  <c r="M6" i="2"/>
  <c r="M5" i="2"/>
  <c r="M4" i="2"/>
  <c r="M3" i="2"/>
  <c r="K20" i="2" l="1"/>
  <c r="L60" i="2"/>
  <c r="L20" i="2"/>
  <c r="M50" i="2"/>
  <c r="L56" i="2"/>
  <c r="E29" i="8"/>
  <c r="M14" i="2"/>
  <c r="K57" i="2"/>
  <c r="E3" i="9" s="1"/>
  <c r="K54" i="2"/>
  <c r="K55" i="2" s="1"/>
  <c r="M55" i="2" s="1"/>
  <c r="L57" i="2"/>
  <c r="L54" i="2"/>
  <c r="L55" i="2" s="1"/>
  <c r="M51" i="2"/>
  <c r="L61" i="2"/>
  <c r="M16" i="2"/>
  <c r="E4" i="9"/>
  <c r="M49" i="2"/>
  <c r="M52" i="2"/>
  <c r="E28" i="8"/>
  <c r="K56" i="2"/>
  <c r="E2" i="9" s="1"/>
  <c r="K58" i="2"/>
  <c r="E5" i="9" s="1"/>
  <c r="M15" i="2"/>
  <c r="M48" i="2"/>
  <c r="L58" i="2"/>
  <c r="I26" i="5"/>
  <c r="I13" i="5"/>
  <c r="I15" i="10"/>
  <c r="I13" i="10"/>
  <c r="I12" i="10"/>
  <c r="I11" i="10"/>
  <c r="I8" i="10"/>
  <c r="I7" i="10"/>
  <c r="I6" i="10"/>
  <c r="I4" i="10"/>
  <c r="I3" i="10"/>
  <c r="J21" i="6"/>
  <c r="K21" i="6" s="1"/>
  <c r="I23" i="1"/>
  <c r="I19" i="1"/>
  <c r="I13" i="1"/>
  <c r="I7" i="1"/>
  <c r="M20" i="2" l="1"/>
  <c r="K21" i="2"/>
  <c r="I5" i="10"/>
  <c r="I2" i="10"/>
  <c r="L21" i="2"/>
  <c r="M21" i="2" s="1"/>
  <c r="M54" i="2"/>
  <c r="E30" i="8"/>
  <c r="K59" i="2"/>
  <c r="E6" i="9" s="1"/>
  <c r="I28" i="5"/>
  <c r="J28" i="6"/>
  <c r="K28" i="6" s="1"/>
  <c r="I21" i="1"/>
  <c r="D10" i="6"/>
  <c r="D29" i="6" s="1"/>
  <c r="C9" i="10" s="1"/>
  <c r="D21" i="6"/>
  <c r="H53" i="2"/>
  <c r="I52" i="2"/>
  <c r="H52" i="2"/>
  <c r="I51" i="2"/>
  <c r="H51" i="2"/>
  <c r="I50" i="2"/>
  <c r="H50" i="2"/>
  <c r="H49" i="2"/>
  <c r="H48" i="2"/>
  <c r="I16" i="2"/>
  <c r="H16" i="2"/>
  <c r="I15" i="2"/>
  <c r="H15" i="2"/>
  <c r="I14" i="2"/>
  <c r="H14" i="2"/>
  <c r="I10" i="10" l="1"/>
  <c r="E31" i="8"/>
  <c r="L59" i="2"/>
  <c r="H20" i="2"/>
  <c r="H21" i="2" s="1"/>
  <c r="I20" i="2"/>
  <c r="I21" i="2" s="1"/>
  <c r="F53" i="2"/>
  <c r="E53" i="2"/>
  <c r="F52" i="2"/>
  <c r="E52" i="2"/>
  <c r="F51" i="2"/>
  <c r="E51" i="2"/>
  <c r="F50" i="2"/>
  <c r="E50" i="2"/>
  <c r="F49" i="2"/>
  <c r="E49" i="2"/>
  <c r="F48" i="2"/>
  <c r="E48" i="2"/>
  <c r="F16" i="2"/>
  <c r="E16" i="2"/>
  <c r="F15" i="2"/>
  <c r="E15" i="2"/>
  <c r="F14" i="2"/>
  <c r="E14" i="2"/>
  <c r="E20" i="2" s="1"/>
  <c r="E21" i="2" s="1"/>
  <c r="B53" i="2"/>
  <c r="C52" i="2"/>
  <c r="B52" i="2"/>
  <c r="B51" i="2"/>
  <c r="C50" i="2"/>
  <c r="B50" i="2"/>
  <c r="B49" i="2"/>
  <c r="B48" i="2"/>
  <c r="C16" i="2"/>
  <c r="B16" i="2"/>
  <c r="C15" i="2"/>
  <c r="B15" i="2"/>
  <c r="C14" i="2"/>
  <c r="B14" i="2"/>
  <c r="I14" i="10" l="1"/>
  <c r="B20" i="2"/>
  <c r="B21" i="2" s="1"/>
  <c r="C20" i="2"/>
  <c r="C21" i="2" s="1"/>
  <c r="F20" i="2"/>
  <c r="F21" i="2" s="1"/>
  <c r="G2" i="12"/>
  <c r="L2" i="12"/>
  <c r="G3" i="12"/>
  <c r="L3" i="12"/>
  <c r="G4" i="12"/>
  <c r="L4" i="12"/>
  <c r="G5" i="12"/>
  <c r="L5" i="12"/>
  <c r="G6" i="12"/>
  <c r="L6" i="12"/>
  <c r="G7" i="12"/>
  <c r="L7" i="12"/>
  <c r="G8" i="12"/>
  <c r="L8" i="12"/>
  <c r="G9" i="12"/>
  <c r="L9" i="12"/>
  <c r="K4" i="9"/>
  <c r="I4" i="9"/>
  <c r="J4" i="9" s="1"/>
  <c r="D4" i="9"/>
  <c r="C4" i="9"/>
  <c r="B4" i="9"/>
  <c r="D29" i="8"/>
  <c r="D28" i="8"/>
  <c r="D26" i="8"/>
  <c r="D25" i="8"/>
  <c r="D24" i="8"/>
  <c r="D23" i="8"/>
  <c r="D22" i="8"/>
  <c r="D19" i="8"/>
  <c r="D18" i="8"/>
  <c r="D17" i="8"/>
  <c r="D16" i="8"/>
  <c r="D14" i="8"/>
  <c r="D13" i="8"/>
  <c r="D12" i="8"/>
  <c r="D11" i="8"/>
  <c r="D9" i="8"/>
  <c r="D8" i="8"/>
  <c r="D7" i="8"/>
  <c r="D6" i="8"/>
  <c r="D5" i="8"/>
  <c r="D4" i="8"/>
  <c r="D3" i="8"/>
  <c r="D2" i="8"/>
  <c r="D19" i="7"/>
  <c r="D18" i="7"/>
  <c r="D17" i="7"/>
  <c r="D14" i="7"/>
  <c r="D13" i="7"/>
  <c r="D12" i="7"/>
  <c r="D10" i="7"/>
  <c r="D9" i="7"/>
  <c r="D8" i="7"/>
  <c r="D7" i="7"/>
  <c r="D6" i="7"/>
  <c r="D4" i="7"/>
  <c r="D3" i="7"/>
  <c r="D2" i="7"/>
  <c r="X61" i="2"/>
  <c r="I61" i="2"/>
  <c r="F61" i="2"/>
  <c r="C61" i="2"/>
  <c r="X60" i="2"/>
  <c r="I60" i="2"/>
  <c r="F60" i="2"/>
  <c r="C60" i="2"/>
  <c r="X58" i="2"/>
  <c r="AA58" i="2" s="1"/>
  <c r="W58" i="2"/>
  <c r="Z58" i="2" s="1"/>
  <c r="I58" i="2"/>
  <c r="H58" i="2"/>
  <c r="F58" i="2"/>
  <c r="E58" i="2"/>
  <c r="C5" i="9" s="1"/>
  <c r="C58" i="2"/>
  <c r="B58" i="2"/>
  <c r="B5" i="9" s="1"/>
  <c r="X57" i="2"/>
  <c r="AA57" i="2" s="1"/>
  <c r="W57" i="2"/>
  <c r="Z57" i="2" s="1"/>
  <c r="I57" i="2"/>
  <c r="H57" i="2"/>
  <c r="F57" i="2"/>
  <c r="E57" i="2"/>
  <c r="C3" i="9" s="1"/>
  <c r="C57" i="2"/>
  <c r="B57" i="2"/>
  <c r="B3" i="9" s="1"/>
  <c r="X56" i="2"/>
  <c r="AA56" i="2" s="1"/>
  <c r="W56" i="2"/>
  <c r="Z56" i="2" s="1"/>
  <c r="I56" i="2"/>
  <c r="H56" i="2"/>
  <c r="F56" i="2"/>
  <c r="E56" i="2"/>
  <c r="C2" i="9" s="1"/>
  <c r="C56" i="2"/>
  <c r="B56" i="2"/>
  <c r="B2" i="9" s="1"/>
  <c r="I16" i="10" l="1"/>
  <c r="K2" i="9"/>
  <c r="K3" i="9"/>
  <c r="K5" i="9"/>
  <c r="I5" i="9"/>
  <c r="J5" i="9" s="1"/>
  <c r="I2" i="9"/>
  <c r="J2" i="9" s="1"/>
  <c r="I3" i="9"/>
  <c r="J3" i="9" s="1"/>
  <c r="D2" i="9"/>
  <c r="D3" i="9"/>
  <c r="D5" i="9"/>
  <c r="D5" i="7"/>
  <c r="D10" i="8"/>
  <c r="D15" i="8"/>
  <c r="D20" i="8"/>
  <c r="D27" i="8"/>
  <c r="D11" i="7"/>
  <c r="D15" i="7"/>
  <c r="D16" i="7" l="1"/>
  <c r="D30" i="8"/>
  <c r="D21" i="8"/>
  <c r="D20" i="7"/>
  <c r="J53" i="2"/>
  <c r="J52" i="2"/>
  <c r="J51" i="2"/>
  <c r="J50" i="2"/>
  <c r="J49" i="2"/>
  <c r="I54" i="2"/>
  <c r="H54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19" i="2"/>
  <c r="J18" i="2"/>
  <c r="J17" i="2"/>
  <c r="J16" i="2"/>
  <c r="J15" i="2"/>
  <c r="J13" i="2"/>
  <c r="J12" i="2"/>
  <c r="J11" i="2"/>
  <c r="J10" i="2"/>
  <c r="J9" i="2"/>
  <c r="J8" i="2"/>
  <c r="J7" i="2"/>
  <c r="J6" i="2"/>
  <c r="J5" i="2"/>
  <c r="J4" i="2"/>
  <c r="J3" i="2"/>
  <c r="B23" i="1"/>
  <c r="C23" i="1"/>
  <c r="D23" i="1"/>
  <c r="E23" i="1"/>
  <c r="E26" i="5"/>
  <c r="E13" i="5"/>
  <c r="E15" i="10"/>
  <c r="E13" i="10"/>
  <c r="E12" i="10"/>
  <c r="E11" i="10"/>
  <c r="E8" i="10"/>
  <c r="E7" i="10"/>
  <c r="E6" i="10"/>
  <c r="E4" i="10"/>
  <c r="E3" i="10"/>
  <c r="F21" i="6"/>
  <c r="F10" i="6"/>
  <c r="F29" i="6" s="1"/>
  <c r="E9" i="10" s="1"/>
  <c r="E19" i="1"/>
  <c r="E13" i="1"/>
  <c r="E7" i="1"/>
  <c r="E2" i="10" l="1"/>
  <c r="E28" i="5"/>
  <c r="E5" i="10"/>
  <c r="I55" i="2"/>
  <c r="D31" i="8"/>
  <c r="D21" i="7"/>
  <c r="H55" i="2"/>
  <c r="J54" i="2"/>
  <c r="J14" i="2"/>
  <c r="J48" i="2"/>
  <c r="F28" i="6"/>
  <c r="E21" i="1"/>
  <c r="E10" i="10" l="1"/>
  <c r="I59" i="2"/>
  <c r="J55" i="2"/>
  <c r="H59" i="2"/>
  <c r="D6" i="9" s="1"/>
  <c r="J20" i="2"/>
  <c r="E14" i="10" l="1"/>
  <c r="J21" i="2"/>
  <c r="E16" i="10" l="1"/>
  <c r="E21" i="6" l="1"/>
  <c r="E10" i="6"/>
  <c r="E29" i="6" s="1"/>
  <c r="D9" i="10" s="1"/>
  <c r="C19" i="1" l="1"/>
  <c r="B19" i="1"/>
  <c r="D19" i="1"/>
  <c r="B13" i="1"/>
  <c r="C13" i="1"/>
  <c r="D13" i="1"/>
  <c r="B7" i="1"/>
  <c r="C7" i="1"/>
  <c r="D7" i="1"/>
  <c r="D26" i="5" l="1"/>
  <c r="C26" i="5"/>
  <c r="B26" i="5"/>
  <c r="D13" i="5"/>
  <c r="C13" i="5"/>
  <c r="B13" i="5"/>
  <c r="B25" i="5" s="1"/>
  <c r="D28" i="6"/>
  <c r="E28" i="6"/>
  <c r="C28" i="6"/>
  <c r="D28" i="5" l="1"/>
  <c r="B21" i="1"/>
  <c r="C21" i="1"/>
  <c r="D21" i="1"/>
  <c r="B6" i="10" l="1"/>
  <c r="C6" i="10"/>
  <c r="D6" i="10"/>
  <c r="B7" i="10"/>
  <c r="C7" i="10"/>
  <c r="D7" i="10"/>
  <c r="B8" i="10"/>
  <c r="C8" i="10"/>
  <c r="D8" i="10"/>
  <c r="B3" i="10"/>
  <c r="C3" i="10"/>
  <c r="D3" i="10"/>
  <c r="B4" i="10"/>
  <c r="C4" i="10"/>
  <c r="D4" i="10"/>
  <c r="F2" i="12" l="1"/>
  <c r="F3" i="12"/>
  <c r="F4" i="12"/>
  <c r="F5" i="12"/>
  <c r="F6" i="12"/>
  <c r="F7" i="12"/>
  <c r="F8" i="12"/>
  <c r="E9" i="12"/>
  <c r="E8" i="12"/>
  <c r="E7" i="12"/>
  <c r="E6" i="12"/>
  <c r="E5" i="12"/>
  <c r="E4" i="12"/>
  <c r="E3" i="12"/>
  <c r="E2" i="12"/>
  <c r="B11" i="10"/>
  <c r="C11" i="10"/>
  <c r="D11" i="10"/>
  <c r="B12" i="10"/>
  <c r="C12" i="10"/>
  <c r="D12" i="10"/>
  <c r="B13" i="10"/>
  <c r="C13" i="10"/>
  <c r="D13" i="10"/>
  <c r="B15" i="10"/>
  <c r="C15" i="10"/>
  <c r="D15" i="10"/>
  <c r="L2" i="8" l="1"/>
  <c r="L3" i="8"/>
  <c r="L4" i="8"/>
  <c r="L5" i="8"/>
  <c r="L6" i="8"/>
  <c r="L7" i="8"/>
  <c r="L8" i="8"/>
  <c r="L9" i="8"/>
  <c r="L11" i="8"/>
  <c r="L12" i="8"/>
  <c r="L13" i="8"/>
  <c r="L14" i="8"/>
  <c r="L16" i="8"/>
  <c r="L17" i="8"/>
  <c r="L18" i="8"/>
  <c r="L19" i="8"/>
  <c r="L22" i="8"/>
  <c r="L23" i="8"/>
  <c r="L24" i="8"/>
  <c r="L25" i="8"/>
  <c r="L26" i="8"/>
  <c r="L29" i="8"/>
  <c r="I26" i="8"/>
  <c r="M26" i="8" s="1"/>
  <c r="I25" i="8"/>
  <c r="M25" i="8" s="1"/>
  <c r="I24" i="8"/>
  <c r="K24" i="8" s="1"/>
  <c r="I23" i="8"/>
  <c r="I22" i="8"/>
  <c r="K22" i="8" s="1"/>
  <c r="I19" i="8"/>
  <c r="I18" i="8"/>
  <c r="I17" i="8"/>
  <c r="M17" i="8" s="1"/>
  <c r="I16" i="8"/>
  <c r="I14" i="8"/>
  <c r="K14" i="8" s="1"/>
  <c r="I13" i="8"/>
  <c r="I12" i="8"/>
  <c r="K12" i="8" s="1"/>
  <c r="I11" i="8"/>
  <c r="K11" i="8" s="1"/>
  <c r="I9" i="8"/>
  <c r="K9" i="8" s="1"/>
  <c r="I8" i="8"/>
  <c r="K8" i="8" s="1"/>
  <c r="I7" i="8"/>
  <c r="M7" i="8" s="1"/>
  <c r="I6" i="8"/>
  <c r="K6" i="8" s="1"/>
  <c r="I5" i="8"/>
  <c r="K5" i="8" s="1"/>
  <c r="I4" i="8"/>
  <c r="K4" i="8" s="1"/>
  <c r="I3" i="8"/>
  <c r="K3" i="8" s="1"/>
  <c r="I2" i="8"/>
  <c r="K2" i="8" s="1"/>
  <c r="C29" i="8"/>
  <c r="C28" i="8"/>
  <c r="C26" i="8"/>
  <c r="C25" i="8"/>
  <c r="C24" i="8"/>
  <c r="C23" i="8"/>
  <c r="C22" i="8"/>
  <c r="C19" i="8"/>
  <c r="C18" i="8"/>
  <c r="C17" i="8"/>
  <c r="C16" i="8"/>
  <c r="C14" i="8"/>
  <c r="C13" i="8"/>
  <c r="C12" i="8"/>
  <c r="C11" i="8"/>
  <c r="C9" i="8"/>
  <c r="C8" i="8"/>
  <c r="C7" i="8"/>
  <c r="C6" i="8"/>
  <c r="C5" i="8"/>
  <c r="C4" i="8"/>
  <c r="C3" i="8"/>
  <c r="C2" i="8"/>
  <c r="B12" i="8"/>
  <c r="B13" i="8"/>
  <c r="B14" i="8"/>
  <c r="B29" i="8"/>
  <c r="B28" i="8"/>
  <c r="B23" i="8"/>
  <c r="B24" i="8"/>
  <c r="B25" i="8"/>
  <c r="B26" i="8"/>
  <c r="B22" i="8"/>
  <c r="B17" i="8"/>
  <c r="B18" i="8"/>
  <c r="B19" i="8"/>
  <c r="B16" i="8"/>
  <c r="B11" i="8"/>
  <c r="B3" i="8"/>
  <c r="B4" i="8"/>
  <c r="B5" i="8"/>
  <c r="B6" i="8"/>
  <c r="B7" i="8"/>
  <c r="B8" i="8"/>
  <c r="B9" i="8"/>
  <c r="B2" i="8"/>
  <c r="L2" i="7"/>
  <c r="L3" i="7"/>
  <c r="L4" i="7"/>
  <c r="L6" i="7"/>
  <c r="L7" i="7"/>
  <c r="L8" i="7"/>
  <c r="L9" i="7"/>
  <c r="L10" i="7"/>
  <c r="L12" i="7"/>
  <c r="L13" i="7"/>
  <c r="L14" i="7"/>
  <c r="L17" i="7"/>
  <c r="L18" i="7"/>
  <c r="L19" i="7"/>
  <c r="I19" i="7"/>
  <c r="K19" i="7" s="1"/>
  <c r="I18" i="7"/>
  <c r="K18" i="7" s="1"/>
  <c r="I17" i="7"/>
  <c r="I14" i="7"/>
  <c r="I13" i="7"/>
  <c r="I12" i="7"/>
  <c r="I10" i="7"/>
  <c r="K10" i="7" s="1"/>
  <c r="I9" i="7"/>
  <c r="I8" i="7"/>
  <c r="I7" i="7"/>
  <c r="K7" i="7" s="1"/>
  <c r="I6" i="7"/>
  <c r="K6" i="7" s="1"/>
  <c r="I4" i="7"/>
  <c r="K4" i="7" s="1"/>
  <c r="I3" i="7"/>
  <c r="K3" i="7" s="1"/>
  <c r="I2" i="7"/>
  <c r="K2" i="7" s="1"/>
  <c r="C19" i="7"/>
  <c r="C18" i="7"/>
  <c r="C17" i="7"/>
  <c r="C14" i="7"/>
  <c r="C13" i="7"/>
  <c r="C12" i="7"/>
  <c r="C10" i="7"/>
  <c r="C9" i="7"/>
  <c r="C8" i="7"/>
  <c r="C7" i="7"/>
  <c r="C6" i="7"/>
  <c r="C4" i="7"/>
  <c r="C3" i="7"/>
  <c r="C2" i="7"/>
  <c r="B18" i="7"/>
  <c r="B19" i="7"/>
  <c r="B17" i="7"/>
  <c r="B13" i="7"/>
  <c r="B14" i="7"/>
  <c r="B12" i="7"/>
  <c r="B7" i="7"/>
  <c r="B8" i="7"/>
  <c r="B9" i="7"/>
  <c r="B10" i="7"/>
  <c r="B6" i="7"/>
  <c r="B3" i="7"/>
  <c r="B4" i="7"/>
  <c r="B2" i="7"/>
  <c r="M13" i="8" l="1"/>
  <c r="M5" i="8"/>
  <c r="M9" i="8"/>
  <c r="M19" i="8"/>
  <c r="M8" i="7"/>
  <c r="M13" i="7"/>
  <c r="M6" i="7"/>
  <c r="M18" i="8"/>
  <c r="M6" i="8"/>
  <c r="M22" i="8"/>
  <c r="L20" i="8"/>
  <c r="M10" i="7"/>
  <c r="M9" i="7"/>
  <c r="M19" i="7"/>
  <c r="L11" i="7"/>
  <c r="I15" i="8"/>
  <c r="K15" i="8" s="1"/>
  <c r="M23" i="8"/>
  <c r="B5" i="7"/>
  <c r="M4" i="8"/>
  <c r="M8" i="8"/>
  <c r="M24" i="8"/>
  <c r="L15" i="7"/>
  <c r="M14" i="7"/>
  <c r="B11" i="7"/>
  <c r="M4" i="7"/>
  <c r="B27" i="8"/>
  <c r="B15" i="7"/>
  <c r="I27" i="8"/>
  <c r="K27" i="8" s="1"/>
  <c r="L27" i="8"/>
  <c r="L15" i="8"/>
  <c r="C27" i="8"/>
  <c r="L10" i="8"/>
  <c r="I10" i="8"/>
  <c r="K10" i="8" s="1"/>
  <c r="I20" i="8"/>
  <c r="C10" i="8"/>
  <c r="C15" i="8"/>
  <c r="C20" i="8"/>
  <c r="M14" i="8"/>
  <c r="M3" i="8"/>
  <c r="M12" i="8"/>
  <c r="B20" i="8"/>
  <c r="B15" i="8"/>
  <c r="B10" i="8"/>
  <c r="M2" i="8"/>
  <c r="M11" i="8"/>
  <c r="M16" i="8"/>
  <c r="M2" i="7"/>
  <c r="L5" i="7"/>
  <c r="M17" i="7"/>
  <c r="C15" i="7"/>
  <c r="C11" i="7"/>
  <c r="M7" i="7"/>
  <c r="M12" i="7"/>
  <c r="M18" i="7"/>
  <c r="I11" i="7"/>
  <c r="K11" i="7" s="1"/>
  <c r="I5" i="7"/>
  <c r="K5" i="7" s="1"/>
  <c r="I15" i="7"/>
  <c r="M3" i="7"/>
  <c r="C5" i="7"/>
  <c r="I21" i="8" l="1"/>
  <c r="K21" i="8" s="1"/>
  <c r="B21" i="8"/>
  <c r="C21" i="8"/>
  <c r="L21" i="8"/>
  <c r="C16" i="7"/>
  <c r="L16" i="7"/>
  <c r="I16" i="7"/>
  <c r="K16" i="7" s="1"/>
  <c r="B16" i="7"/>
  <c r="B20" i="7"/>
  <c r="B21" i="7" s="1"/>
  <c r="L20" i="7"/>
  <c r="L21" i="7" s="1"/>
  <c r="M11" i="7"/>
  <c r="M20" i="8"/>
  <c r="M15" i="7"/>
  <c r="C30" i="8"/>
  <c r="C31" i="8" s="1"/>
  <c r="M27" i="8"/>
  <c r="B30" i="8"/>
  <c r="B31" i="8" s="1"/>
  <c r="M15" i="8"/>
  <c r="M10" i="8"/>
  <c r="C20" i="7"/>
  <c r="C21" i="7" s="1"/>
  <c r="I20" i="7"/>
  <c r="K20" i="7" s="1"/>
  <c r="M5" i="7"/>
  <c r="I21" i="7" l="1"/>
  <c r="K21" i="7" s="1"/>
  <c r="M21" i="8"/>
  <c r="M16" i="7"/>
  <c r="M20" i="7"/>
  <c r="L28" i="8"/>
  <c r="L30" i="8" s="1"/>
  <c r="L31" i="8" s="1"/>
  <c r="J17" i="7" l="1"/>
  <c r="J21" i="7"/>
  <c r="M21" i="7"/>
  <c r="J13" i="7"/>
  <c r="J9" i="7"/>
  <c r="J4" i="7"/>
  <c r="J2" i="7"/>
  <c r="J8" i="7"/>
  <c r="J10" i="7"/>
  <c r="J5" i="7"/>
  <c r="J6" i="7"/>
  <c r="J12" i="7"/>
  <c r="J11" i="7"/>
  <c r="J3" i="7"/>
  <c r="J15" i="7"/>
  <c r="J14" i="7"/>
  <c r="J18" i="7"/>
  <c r="J7" i="7"/>
  <c r="J16" i="7"/>
  <c r="C5" i="10" l="1"/>
  <c r="D5" i="10"/>
  <c r="B5" i="10"/>
  <c r="C2" i="10"/>
  <c r="D2" i="10"/>
  <c r="B2" i="10"/>
  <c r="C10" i="10" l="1"/>
  <c r="C14" i="10" s="1"/>
  <c r="C16" i="10" s="1"/>
  <c r="B10" i="10"/>
  <c r="B14" i="10" s="1"/>
  <c r="B16" i="10" s="1"/>
  <c r="D10" i="10"/>
  <c r="E54" i="2"/>
  <c r="E55" i="2" s="1"/>
  <c r="E59" i="2" s="1"/>
  <c r="C6" i="9" s="1"/>
  <c r="F54" i="2"/>
  <c r="F55" i="2" s="1"/>
  <c r="F59" i="2" s="1"/>
  <c r="D14" i="10" l="1"/>
  <c r="D16" i="10" l="1"/>
  <c r="Y47" i="2" l="1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19" i="2"/>
  <c r="Y18" i="2"/>
  <c r="Y17" i="2"/>
  <c r="Y13" i="2"/>
  <c r="Y12" i="2"/>
  <c r="Y11" i="2"/>
  <c r="Y10" i="2"/>
  <c r="Y9" i="2"/>
  <c r="Y8" i="2"/>
  <c r="Y7" i="2"/>
  <c r="Y6" i="2"/>
  <c r="Y5" i="2"/>
  <c r="Y4" i="2"/>
  <c r="Y3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/>
  <c r="G18" i="2"/>
  <c r="G17" i="2"/>
  <c r="G13" i="2"/>
  <c r="G11" i="2"/>
  <c r="G10" i="2"/>
  <c r="G9" i="2"/>
  <c r="G8" i="2"/>
  <c r="G7" i="2"/>
  <c r="G6" i="2"/>
  <c r="G5" i="2"/>
  <c r="G4" i="2"/>
  <c r="G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23" i="2"/>
  <c r="D4" i="2"/>
  <c r="D5" i="2"/>
  <c r="D6" i="2"/>
  <c r="D7" i="2"/>
  <c r="D8" i="2"/>
  <c r="D9" i="2"/>
  <c r="D10" i="2"/>
  <c r="D11" i="2"/>
  <c r="D13" i="2"/>
  <c r="D17" i="2"/>
  <c r="D18" i="2"/>
  <c r="D19" i="2"/>
  <c r="D3" i="2"/>
  <c r="I28" i="8" l="1"/>
  <c r="K28" i="8" s="1"/>
  <c r="Y53" i="2" l="1"/>
  <c r="I29" i="8"/>
  <c r="K29" i="8" s="1"/>
  <c r="M28" i="8"/>
  <c r="Y49" i="2"/>
  <c r="Y52" i="2"/>
  <c r="Y51" i="2"/>
  <c r="Y50" i="2"/>
  <c r="Y48" i="2"/>
  <c r="Y16" i="2"/>
  <c r="Y14" i="2"/>
  <c r="Y15" i="2"/>
  <c r="X54" i="2"/>
  <c r="AA54" i="2" s="1"/>
  <c r="W54" i="2"/>
  <c r="Z54" i="2" s="1"/>
  <c r="X55" i="2" l="1"/>
  <c r="AA55" i="2" s="1"/>
  <c r="I30" i="8"/>
  <c r="K30" i="8" s="1"/>
  <c r="M29" i="8"/>
  <c r="Y21" i="2"/>
  <c r="Y20" i="2"/>
  <c r="W55" i="2"/>
  <c r="Z55" i="2" s="1"/>
  <c r="Y54" i="2"/>
  <c r="G12" i="2"/>
  <c r="D53" i="2"/>
  <c r="D52" i="2"/>
  <c r="Y55" i="2" l="1"/>
  <c r="W59" i="2"/>
  <c r="X59" i="2"/>
  <c r="M30" i="8"/>
  <c r="I31" i="8"/>
  <c r="K31" i="8" s="1"/>
  <c r="G14" i="2"/>
  <c r="G15" i="2"/>
  <c r="G48" i="2"/>
  <c r="G49" i="2"/>
  <c r="G50" i="2"/>
  <c r="G51" i="2"/>
  <c r="G52" i="2"/>
  <c r="G53" i="2"/>
  <c r="D14" i="2"/>
  <c r="D16" i="2"/>
  <c r="D12" i="2"/>
  <c r="D49" i="2"/>
  <c r="D51" i="2"/>
  <c r="D15" i="2"/>
  <c r="D48" i="2"/>
  <c r="D50" i="2"/>
  <c r="C54" i="2"/>
  <c r="C55" i="2" s="1"/>
  <c r="C59" i="2" s="1"/>
  <c r="B54" i="2"/>
  <c r="I6" i="9" l="1"/>
  <c r="J6" i="9" s="1"/>
  <c r="Z59" i="2"/>
  <c r="K6" i="9"/>
  <c r="AA59" i="2"/>
  <c r="J3" i="8"/>
  <c r="J11" i="8"/>
  <c r="J15" i="8"/>
  <c r="J14" i="8"/>
  <c r="J4" i="8"/>
  <c r="J31" i="8"/>
  <c r="J10" i="8"/>
  <c r="J25" i="8"/>
  <c r="J8" i="8"/>
  <c r="J17" i="8"/>
  <c r="J27" i="8"/>
  <c r="J22" i="8"/>
  <c r="J9" i="8"/>
  <c r="J13" i="8"/>
  <c r="M31" i="8"/>
  <c r="J19" i="8"/>
  <c r="J7" i="8"/>
  <c r="J6" i="8"/>
  <c r="J24" i="8"/>
  <c r="J16" i="8"/>
  <c r="J23" i="8"/>
  <c r="J21" i="8"/>
  <c r="J28" i="8"/>
  <c r="J20" i="8"/>
  <c r="J2" i="8"/>
  <c r="J5" i="8"/>
  <c r="J26" i="8"/>
  <c r="J12" i="8"/>
  <c r="J18" i="8"/>
  <c r="G20" i="2"/>
  <c r="G54" i="2"/>
  <c r="G16" i="2"/>
  <c r="D21" i="2"/>
  <c r="D20" i="2"/>
  <c r="B55" i="2"/>
  <c r="D54" i="2"/>
  <c r="D55" i="2" l="1"/>
  <c r="B59" i="2"/>
  <c r="B6" i="9" s="1"/>
  <c r="G21" i="2"/>
  <c r="G55" i="2"/>
</calcChain>
</file>

<file path=xl/sharedStrings.xml><?xml version="1.0" encoding="utf-8"?>
<sst xmlns="http://schemas.openxmlformats.org/spreadsheetml/2006/main" count="490" uniqueCount="369">
  <si>
    <t>Risultato di amministrazione (A)</t>
  </si>
  <si>
    <t>Parte accantonata (B)</t>
  </si>
  <si>
    <t>Parte vincolata (C)</t>
  </si>
  <si>
    <t>Parte destinata a investimenti (D)</t>
  </si>
  <si>
    <t>Parte disponibile (E=A-B-C-D)</t>
  </si>
  <si>
    <t>Saldo di cassa</t>
  </si>
  <si>
    <t>Residui attivi</t>
  </si>
  <si>
    <t>Residui passivi</t>
  </si>
  <si>
    <t>FPV per spese correnti</t>
  </si>
  <si>
    <t>FPV per spese in conto capitale</t>
  </si>
  <si>
    <t>Fondo crediti di dubbia esigibilità</t>
  </si>
  <si>
    <t>Fondo anticipazioni liquidità DL35/2013</t>
  </si>
  <si>
    <t>Fondo perdite società partecipate</t>
  </si>
  <si>
    <t>Fondo contenzioso</t>
  </si>
  <si>
    <t>Altri accantonamenti</t>
  </si>
  <si>
    <t>Vincoli da trasferimenti</t>
  </si>
  <si>
    <t>Vincoli da leggi e principi contabili</t>
  </si>
  <si>
    <t>Vincoli da contrazione di mutui</t>
  </si>
  <si>
    <t>Vincoli attribuiti dall'ente</t>
  </si>
  <si>
    <t>Altri vincoli</t>
  </si>
  <si>
    <t xml:space="preserve">  100 Entrate correnti di natura tributaria, contributiva e perequativa </t>
  </si>
  <si>
    <t xml:space="preserve">  200 Trasferimenti correnti </t>
  </si>
  <si>
    <t xml:space="preserve">  300 Entrate extratributarie </t>
  </si>
  <si>
    <t xml:space="preserve">  401 Tributi in conto capitale</t>
  </si>
  <si>
    <t xml:space="preserve">  402 Contributi agli investimenti </t>
  </si>
  <si>
    <t xml:space="preserve">  403 Altri trasferimenti in conto capitale </t>
  </si>
  <si>
    <t xml:space="preserve">  404 Entrate da alienazione di beni materiali e immateriali </t>
  </si>
  <si>
    <t xml:space="preserve">  405 Altre entrate in conto capitale </t>
  </si>
  <si>
    <t xml:space="preserve">  501 Alienazione di attività finanziarie </t>
  </si>
  <si>
    <t xml:space="preserve">  502_3 Riscossione di crediti </t>
  </si>
  <si>
    <t xml:space="preserve">  504 Altre entrate per riduzione di attività finanziarie </t>
  </si>
  <si>
    <t xml:space="preserve"> - Entrate correnti </t>
  </si>
  <si>
    <t xml:space="preserve"> - Entrate in conto capitale</t>
  </si>
  <si>
    <t xml:space="preserve"> - Entrate da riduzione attività finanziarie </t>
  </si>
  <si>
    <t xml:space="preserve"> - Accensione di prestiti </t>
  </si>
  <si>
    <t xml:space="preserve"> - Anticipazioni da istituto tesoriere/cassiere </t>
  </si>
  <si>
    <t xml:space="preserve"> - Entrate per conto terzi e partite di giro</t>
  </si>
  <si>
    <t>Totale Entrate</t>
  </si>
  <si>
    <t>Entrate nette</t>
  </si>
  <si>
    <t xml:space="preserve">101 REDDITI DA LAVORO DIPENDENTE </t>
  </si>
  <si>
    <t xml:space="preserve">102 IMPOSTE E TASSE A CARICO DELL'ENTE </t>
  </si>
  <si>
    <t xml:space="preserve">103 ACQUISTO DI BENI E SERVIZI </t>
  </si>
  <si>
    <t xml:space="preserve">104 TRASFERIMENTI CORRENTI </t>
  </si>
  <si>
    <t xml:space="preserve">107 INTERESSI PASSIVI </t>
  </si>
  <si>
    <t xml:space="preserve">108 ALTRE SPESE PER REDDITI DA CAPITALE </t>
  </si>
  <si>
    <t xml:space="preserve">109 RIMBORSI E POSTE CORRETTIVE DELLE ENTRATE </t>
  </si>
  <si>
    <t xml:space="preserve">110 ALTRE SPESE CORRENTI </t>
  </si>
  <si>
    <t>201 TRIBUTI IN CONTO CAPITALE A CARICO DELL?ENTE</t>
  </si>
  <si>
    <t xml:space="preserve">202 INVESTIMENTI FISSI LORDI E ACQUISTO DI TERRENI </t>
  </si>
  <si>
    <t xml:space="preserve">203 CONTRIBUTI AGLI INVESTIMENTI </t>
  </si>
  <si>
    <t xml:space="preserve">204ALTRI TRASFERIMENTI IN CONTO CAPITALE </t>
  </si>
  <si>
    <t xml:space="preserve">205ALTRE SPESE IN CONTO CAPITALE </t>
  </si>
  <si>
    <t xml:space="preserve">301 ACQUISIZIONI DI ATTIVITA' FINANZIARIE </t>
  </si>
  <si>
    <t xml:space="preserve">303 CONCESSIONE CREDITI DI MEDIO-LUNGO TERMINE </t>
  </si>
  <si>
    <t xml:space="preserve">304 ALTRE SPESE PER INCREMENTO DI ATTIVITA' FINANZIARIE </t>
  </si>
  <si>
    <t xml:space="preserve">401 RIMBORSO DI TITOLI OBBLIGAZIONARI </t>
  </si>
  <si>
    <t xml:space="preserve">402 RIMBORSO PRESTITI A BREVE TERMINE </t>
  </si>
  <si>
    <t xml:space="preserve">403 RIMBORSO MUTUI E ALTRI FINANZIAMENTI A MEDIO LUNGO TERMINE </t>
  </si>
  <si>
    <t xml:space="preserve">404 RIMBORSO DI ALTRE FORME DI INDEBITAMENTO </t>
  </si>
  <si>
    <t xml:space="preserve">405 FONDI PER RIMBORSO PRESTITI </t>
  </si>
  <si>
    <t xml:space="preserve">501 CHIUSURA ANTICIPAZIONI RICEVUTE DA ISTITUTO TESORIERE/CASSIERE </t>
  </si>
  <si>
    <t xml:space="preserve">701 USCITE PER PARTITE DI GIRO </t>
  </si>
  <si>
    <t xml:space="preserve">702 USCITE PER CONTO TERZI </t>
  </si>
  <si>
    <t>1 Spese correnti</t>
  </si>
  <si>
    <t>2 Spese in conto capitale</t>
  </si>
  <si>
    <t>3 Spese per incremento attività finanziaria</t>
  </si>
  <si>
    <t>4 Rimborso prestiti</t>
  </si>
  <si>
    <t>5 Chiusura anticipazioni ricevute tesoriere/cassiere</t>
  </si>
  <si>
    <t>7 Conto terzi e partite di giro</t>
  </si>
  <si>
    <t>Totale Uscite</t>
  </si>
  <si>
    <t>Uscite nette</t>
  </si>
  <si>
    <t>Saldo corrente</t>
  </si>
  <si>
    <t>Saldo in conto capitale</t>
  </si>
  <si>
    <t>Acc</t>
  </si>
  <si>
    <t>Risc</t>
  </si>
  <si>
    <t>Imp</t>
  </si>
  <si>
    <t>Pag</t>
  </si>
  <si>
    <t>Rigidità strutturale di bilancio</t>
  </si>
  <si>
    <t>1.1</t>
  </si>
  <si>
    <t>Incidenza spese rigide (ripiano disavanzo,personale e debito) su entrate correnti</t>
  </si>
  <si>
    <t>Entrate correnti</t>
  </si>
  <si>
    <t>2.1</t>
  </si>
  <si>
    <t>Incidenza degli accertamenti di parte corrente sulle previsioni iniziali di parte corrente</t>
  </si>
  <si>
    <t>2.2</t>
  </si>
  <si>
    <t>Incidenza degli accertamenti di parte corrente sulle previsioni definitive di parte corrente</t>
  </si>
  <si>
    <t>2.3</t>
  </si>
  <si>
    <t>Incidenza degli accertamenti delle entrate proprie sulle previsioni iniziali di parte corrente</t>
  </si>
  <si>
    <t>2.4</t>
  </si>
  <si>
    <t>Incidenza degli accertamenti delle entrate proprie sulle previsioni definitive di parte corrente</t>
  </si>
  <si>
    <t>2.5</t>
  </si>
  <si>
    <t>Incidenza degli incassi correnti sulle previsioni iniziali di parte corrente</t>
  </si>
  <si>
    <t>2.6</t>
  </si>
  <si>
    <t>Incidenza degli incassi correnti sulle previsioni definitive di parte corrente</t>
  </si>
  <si>
    <t>2.7</t>
  </si>
  <si>
    <t>Incidenza degli incassi delle entrate proprie sulle previsioni iniziali di parte corrente</t>
  </si>
  <si>
    <t>2.8</t>
  </si>
  <si>
    <t>Incidenza degli incassi delle entrate proprie sulle previsioni definitive di parte corrente</t>
  </si>
  <si>
    <t>Anticipazioni dell'Istituto tesoriere</t>
  </si>
  <si>
    <t>3.1</t>
  </si>
  <si>
    <t>Utilizzo medio Anticipazioni di tesoreria</t>
  </si>
  <si>
    <t>3.2</t>
  </si>
  <si>
    <t>Anticipazione chiuse solo contabilmente</t>
  </si>
  <si>
    <t>Spese di personale</t>
  </si>
  <si>
    <t>4.1</t>
  </si>
  <si>
    <t>Incidenza della spesa di personale sulla spesa corrente</t>
  </si>
  <si>
    <t>4.2</t>
  </si>
  <si>
    <t>Incidenza del salario accessorio ed incentivante rispetto al totale della spesa di personale</t>
  </si>
  <si>
    <t>4.3</t>
  </si>
  <si>
    <t>Incidenza spesa personale flessibile rispetto al totale della spesa di personale</t>
  </si>
  <si>
    <t>4.4</t>
  </si>
  <si>
    <t>Spesa di personale procapite</t>
  </si>
  <si>
    <t>Esternalizzazione dei servizi</t>
  </si>
  <si>
    <t>5.1</t>
  </si>
  <si>
    <t>Indicatore di esternalizzazione dei servizi</t>
  </si>
  <si>
    <t>Interessi passivi</t>
  </si>
  <si>
    <t>6.1</t>
  </si>
  <si>
    <t>Incidenza degli interessi passivi sulla spesa corrente</t>
  </si>
  <si>
    <t>6.2</t>
  </si>
  <si>
    <t>Incidenza degli interessi passivi sulle anticipazioni sul totale della spesa per interessi passivi</t>
  </si>
  <si>
    <t>6.3</t>
  </si>
  <si>
    <t>Incidenza interessi di mora sul totale della spesa per interessi passivi</t>
  </si>
  <si>
    <t>Investimenti</t>
  </si>
  <si>
    <t>7.1</t>
  </si>
  <si>
    <t>Incidenza investimenti sul totale della spesa corrente e in conto capitale</t>
  </si>
  <si>
    <t>7.2</t>
  </si>
  <si>
    <t>Investimenti diretti procapite</t>
  </si>
  <si>
    <t>7.3</t>
  </si>
  <si>
    <t>Contributi agli investimenti procapite</t>
  </si>
  <si>
    <t>7.4</t>
  </si>
  <si>
    <t>Investimenti complessivi procapite</t>
  </si>
  <si>
    <t>7.5</t>
  </si>
  <si>
    <t>Quota investimenti complessivi finanziati dal risparmio corrente</t>
  </si>
  <si>
    <t>7.6</t>
  </si>
  <si>
    <t>Quota investimenti complessivi finanziati dal saldo positivo delle partite finanziarie</t>
  </si>
  <si>
    <t>7.7</t>
  </si>
  <si>
    <t>Quota investimenti complessivi finanziati da debito</t>
  </si>
  <si>
    <t>Analisi dei residui</t>
  </si>
  <si>
    <t>8.1</t>
  </si>
  <si>
    <t>Incidenza nuovi residui passivi di parte corrente su stock residui passivi correnti</t>
  </si>
  <si>
    <t>8.2</t>
  </si>
  <si>
    <t>Incidenza nuovi residui passivi in c/capitale su stock residui passivi in conto capitale al 31/12</t>
  </si>
  <si>
    <t>8.3</t>
  </si>
  <si>
    <t>Incidenza nuovi residui passivi per incremento attività finanziarie su stock residui passivi per incremento attività finanziarie al 31/12</t>
  </si>
  <si>
    <t>8.4</t>
  </si>
  <si>
    <t>Incidenza nuovi residui attivi di parte corrente su stock residui attivi di parte corrente</t>
  </si>
  <si>
    <t>8.5</t>
  </si>
  <si>
    <t>Incidenza nuovi residui attivi in c/capitale su stock residui attivi in c/capitale</t>
  </si>
  <si>
    <t>8.6</t>
  </si>
  <si>
    <t>Incidenza nuovi residui attivi per riduzione di attività finanziarie su stock residui attivi per riduzione di attività finanziarie</t>
  </si>
  <si>
    <t>Smaltimento debiti non finanziari</t>
  </si>
  <si>
    <t>9.1</t>
  </si>
  <si>
    <t>Smaltimento debiti commerciali nati nell'esercizio</t>
  </si>
  <si>
    <t>9.2</t>
  </si>
  <si>
    <t>Smaltimento debiti commerciali nati negli esercizi precedenti</t>
  </si>
  <si>
    <t>9.3</t>
  </si>
  <si>
    <t>Smaltimento debiti verso altre amministrazioni pubbliche nati nell'esercizio</t>
  </si>
  <si>
    <t>9.4</t>
  </si>
  <si>
    <t>Smaltimento debiti verso altre amministrazioni pubbliche nati negli esercizi precedenti</t>
  </si>
  <si>
    <t>9.5</t>
  </si>
  <si>
    <t>Indicatore annuale di tempestività dei pagamenti</t>
  </si>
  <si>
    <t>Debiti finanziari</t>
  </si>
  <si>
    <t>10.1</t>
  </si>
  <si>
    <t>Incidenza estinzioni anticipate debiti finanziari</t>
  </si>
  <si>
    <t>10.2</t>
  </si>
  <si>
    <t>Incidenza estinzioni ordinarie debiti finanziari</t>
  </si>
  <si>
    <t>10.3</t>
  </si>
  <si>
    <t>Sostenibilità debiti finanziari</t>
  </si>
  <si>
    <t>10.4</t>
  </si>
  <si>
    <t>Indebitamento procapite</t>
  </si>
  <si>
    <t>Composizione dell'avanzo di amministrazione</t>
  </si>
  <si>
    <t>11.1</t>
  </si>
  <si>
    <t>Incidenza quota libera di parte corrente nell'avanzo</t>
  </si>
  <si>
    <t>11.2</t>
  </si>
  <si>
    <t>Incidenza quota libera in c/capitale nell'avanzo</t>
  </si>
  <si>
    <t>11.3</t>
  </si>
  <si>
    <t>Incidenza quota accantonata nell'avanzo</t>
  </si>
  <si>
    <t>11.4</t>
  </si>
  <si>
    <t>Incidenza quota vincolata nell'avanzo</t>
  </si>
  <si>
    <t>Disavanzo di amministrazione</t>
  </si>
  <si>
    <t>12.1</t>
  </si>
  <si>
    <t>Quota disavanzo ripianato nell'esercizio</t>
  </si>
  <si>
    <t>12.2</t>
  </si>
  <si>
    <t>Incremento del disavanzo rispetto all'esercizio precedente</t>
  </si>
  <si>
    <t>12.3</t>
  </si>
  <si>
    <t>Sostenibilità patrimoniale del disavanzo</t>
  </si>
  <si>
    <t>12.4</t>
  </si>
  <si>
    <t>Sostenibilità disavanzo effettivamente a carico dell'esercizio</t>
  </si>
  <si>
    <t>Debiti fuori bilancio</t>
  </si>
  <si>
    <t>13.1</t>
  </si>
  <si>
    <t>Debiti riconosciuti e finanziati</t>
  </si>
  <si>
    <t>13.2</t>
  </si>
  <si>
    <t>Debiti in corso di riconoscimento</t>
  </si>
  <si>
    <t>13.3</t>
  </si>
  <si>
    <t>Debiti riconosciuti e in corso di finanziamento</t>
  </si>
  <si>
    <t>Fondo pluriennale vincolato</t>
  </si>
  <si>
    <t>14.1</t>
  </si>
  <si>
    <t>Utilizzo del FPV</t>
  </si>
  <si>
    <t>Partite di giro e conto terzi</t>
  </si>
  <si>
    <t>15.1</t>
  </si>
  <si>
    <t>Incidenza partite di giro e conto terzi in entrata</t>
  </si>
  <si>
    <t>15.2</t>
  </si>
  <si>
    <t>Incidenza partite di giro e conto terzi in uscita</t>
  </si>
  <si>
    <t>Complessiva</t>
  </si>
  <si>
    <t>Crediti esigibili nell'esercizio</t>
  </si>
  <si>
    <t>Crediti esigibili negli esercizi precedenti</t>
  </si>
  <si>
    <t>Istruzione e diritto allo studio</t>
  </si>
  <si>
    <t>Trasporti e diritto alla mobilità</t>
  </si>
  <si>
    <t>Diritti sociali, politiche sociali e famiglia</t>
  </si>
  <si>
    <t>Capacità di pagamento</t>
  </si>
  <si>
    <t>Debiti da finanziamento (D1)</t>
  </si>
  <si>
    <t>Piano degli indicatori</t>
  </si>
  <si>
    <t>Soglia</t>
  </si>
  <si>
    <t>Crediti verso lo Stato e altre AP per Fondo dotazione (A)</t>
  </si>
  <si>
    <t>Immobilizzazioni immateriali (B1)</t>
  </si>
  <si>
    <t>Immobilizzazioni materiali (B2)</t>
  </si>
  <si>
    <t>Crediti (C2)</t>
  </si>
  <si>
    <t>Disponibilità liquide (C4)</t>
  </si>
  <si>
    <t>Ratei e risconti attivi (D)</t>
  </si>
  <si>
    <t>TOTALE ATTIVO</t>
  </si>
  <si>
    <t>Fondo di dotazione (A1)</t>
  </si>
  <si>
    <t>Riserve (A2)</t>
  </si>
  <si>
    <t>Risultato economico dell'esercizio (A3)</t>
  </si>
  <si>
    <t>Fondo rischi ed oneri (B)</t>
  </si>
  <si>
    <t>Debiti verso fornitori (D2)</t>
  </si>
  <si>
    <t>Debiti per trasferimenti e contributi (D4)</t>
  </si>
  <si>
    <t>Altri debiti (D5)</t>
  </si>
  <si>
    <t>Ratei e risconti passivi (E)</t>
  </si>
  <si>
    <t>TOTALE PASSIVO</t>
  </si>
  <si>
    <t>Immobilizzazioni finanziarie - partecipazioni (B3.1)</t>
  </si>
  <si>
    <t>Immobilizzazioni finanziarie - crediti (B3.2)</t>
  </si>
  <si>
    <t>Immobilizzazioni finanziarie - altri titoli (B3.3)</t>
  </si>
  <si>
    <t>Rimanenze (C1)</t>
  </si>
  <si>
    <t>Attività finanziarie che non costituiscono utilizzi (C3)</t>
  </si>
  <si>
    <t>Var. %</t>
  </si>
  <si>
    <t>%Risc</t>
  </si>
  <si>
    <t xml:space="preserve">       di cui permessi a costruire</t>
  </si>
  <si>
    <t>Proventi da tributi</t>
  </si>
  <si>
    <t>Proventi da fondi perequativi</t>
  </si>
  <si>
    <t>Proventi da trasferimenti e contributi</t>
  </si>
  <si>
    <t>Ricavi delle vendite e prestazioni e proventi da servizi pubblici</t>
  </si>
  <si>
    <t>Variazioni nelle rimanenze di prodotti in corso di lavorazione, etc. (+/-)</t>
  </si>
  <si>
    <t>Variazione dei lavori in corso su ordinazione</t>
  </si>
  <si>
    <t>Incrementi di immobilizzazioni per lavori interni</t>
  </si>
  <si>
    <t>Altri ricavi e proventi diversi</t>
  </si>
  <si>
    <t>Acquisto di materie prime e/o beni di consumo</t>
  </si>
  <si>
    <t>Prestazioni di servizi</t>
  </si>
  <si>
    <t>Utilizzo beni di terzi</t>
  </si>
  <si>
    <t>Trasferimenti e contributi</t>
  </si>
  <si>
    <t>Personale</t>
  </si>
  <si>
    <t>Ammortamenti e svalutazioni</t>
  </si>
  <si>
    <t>Variazioni nelle rimanenze di materie prime e/o beni di consumo (+/-)</t>
  </si>
  <si>
    <t>Accantonamenti per rischi</t>
  </si>
  <si>
    <t>Oneri diversi di gestione</t>
  </si>
  <si>
    <t>Proventi finanziari</t>
  </si>
  <si>
    <t>Oneri finanziari</t>
  </si>
  <si>
    <t>Rettifiche di valore</t>
  </si>
  <si>
    <t>Proventi straordinari</t>
  </si>
  <si>
    <t>Oneri straordinari</t>
  </si>
  <si>
    <t>Imposte</t>
  </si>
  <si>
    <t>Risultato dell'esercizio</t>
  </si>
  <si>
    <t>(+)</t>
  </si>
  <si>
    <t>(-)</t>
  </si>
  <si>
    <t>(=)</t>
  </si>
  <si>
    <t xml:space="preserve">302 CONCESSIONE CREDITI DI BREVE TERMINE </t>
  </si>
  <si>
    <t>COMPONENTI POSITIVI DELLA GESTIONE</t>
  </si>
  <si>
    <t>COMPONENTI NEGATIVI DELLA GESTIONE</t>
  </si>
  <si>
    <t>Diff.</t>
  </si>
  <si>
    <t>PATRIMONIO NETTO</t>
  </si>
  <si>
    <t>Incidenza spesa (al netto servizi per conto terzi)</t>
  </si>
  <si>
    <t>% Risc.</t>
  </si>
  <si>
    <t>101 Redditi da lavoro dipendente</t>
  </si>
  <si>
    <t>102 Imposte e tasse a carico dell'ente</t>
  </si>
  <si>
    <t>103 Acquisto di beni e servizi</t>
  </si>
  <si>
    <t>104 Trasferimenti correnti</t>
  </si>
  <si>
    <t>107 Interessi passivi</t>
  </si>
  <si>
    <t>108 Altre spese per redditi da capitale</t>
  </si>
  <si>
    <t>109 Rimborsi e poste correttive delle entrate</t>
  </si>
  <si>
    <t>110 Altre spese correnti</t>
  </si>
  <si>
    <t>202 Investimenti fissi lordi e acquisto di terreni</t>
  </si>
  <si>
    <t>203 Contributi agli investimenti</t>
  </si>
  <si>
    <t>204 Altri trasferimenti in conto capitale</t>
  </si>
  <si>
    <t>205 Altre spese in conto capitale</t>
  </si>
  <si>
    <t xml:space="preserve"> - Spese correnti </t>
  </si>
  <si>
    <t xml:space="preserve"> - Spese in conto capitale</t>
  </si>
  <si>
    <t>301 Acquisizioni di attività finanziarie</t>
  </si>
  <si>
    <t>302 Concessione crediti di breve termine</t>
  </si>
  <si>
    <t>303 Concessione crediti di medio-lungo termine</t>
  </si>
  <si>
    <t>304 Altre spese per incremento di attività finanziarie</t>
  </si>
  <si>
    <t xml:space="preserve"> - Spese per incremento attività finanziarie </t>
  </si>
  <si>
    <t>401 Rimborso di titoli obbligazionari</t>
  </si>
  <si>
    <t>402 Rimborso prestiti a breve termine</t>
  </si>
  <si>
    <t>403 Rimborso mutui e finanziamenti a medio-lungo termine</t>
  </si>
  <si>
    <t>404 Rimborso di altre forme di indebitamento</t>
  </si>
  <si>
    <t>405 Fondi per rimborso prestiti</t>
  </si>
  <si>
    <t xml:space="preserve"> - Rimborso prestiti </t>
  </si>
  <si>
    <t xml:space="preserve"> - Chiusura anticipazioni ricevute da tesoriere/cassiere </t>
  </si>
  <si>
    <t xml:space="preserve"> - Uscite per conto terzi e partite di giro</t>
  </si>
  <si>
    <t>Comp.% netta</t>
  </si>
  <si>
    <t xml:space="preserve">Saldo corrente </t>
  </si>
  <si>
    <t xml:space="preserve">Saldo finale </t>
  </si>
  <si>
    <t>Saldo netto</t>
  </si>
  <si>
    <t>Saldo riduzione/incremento attività finanziarie</t>
  </si>
  <si>
    <t>Capacità di riscossione</t>
  </si>
  <si>
    <t>Spesa per il personale (pro capite)</t>
  </si>
  <si>
    <t>Investimenti (pro capite)</t>
  </si>
  <si>
    <t>Entrate natura tributaria, contributiva e perequativa (Titolo 1)</t>
  </si>
  <si>
    <t>Media principali Comuni</t>
  </si>
  <si>
    <t>Saldo della gestione</t>
  </si>
  <si>
    <t>(Proventi - Oneri) finanziari</t>
  </si>
  <si>
    <t>(Proventi- Oneri) straordinari</t>
  </si>
  <si>
    <t>Saldo prima delle imposte</t>
  </si>
  <si>
    <t>Parametro</t>
  </si>
  <si>
    <t>Indicatore</t>
  </si>
  <si>
    <t>P.1</t>
  </si>
  <si>
    <t>P.2</t>
  </si>
  <si>
    <t>P.3</t>
  </si>
  <si>
    <t>P.4</t>
  </si>
  <si>
    <t>P.5</t>
  </si>
  <si>
    <t>P.6</t>
  </si>
  <si>
    <t>P.7</t>
  </si>
  <si>
    <t>P.8</t>
  </si>
  <si>
    <t>Incidenza spese rigide (ripiano disavanzo, personale e debito) su entrate correnti</t>
  </si>
  <si>
    <t>Descrizione</t>
  </si>
  <si>
    <t>13.2/3</t>
  </si>
  <si>
    <t>Anticipazione di tesoreria chiuse solo contabilmente</t>
  </si>
  <si>
    <t>Sostenibilità dei debiti finanziari</t>
  </si>
  <si>
    <t>Debiti in corso di riconoscimento o di finanziamento</t>
  </si>
  <si>
    <t>Effettiva capacità di riscossione (totale Entrate)</t>
  </si>
  <si>
    <t>&gt; 48</t>
  </si>
  <si>
    <t>&lt;22</t>
  </si>
  <si>
    <t>&gt;0</t>
  </si>
  <si>
    <t>&gt;16</t>
  </si>
  <si>
    <t>&gt;1,2</t>
  </si>
  <si>
    <t>&gt;1</t>
  </si>
  <si>
    <t>&gt;0,6</t>
  </si>
  <si>
    <t>&lt;47</t>
  </si>
  <si>
    <t>al 1° gennaio</t>
  </si>
  <si>
    <t>Comune</t>
  </si>
  <si>
    <t>Totale Entrate nette</t>
  </si>
  <si>
    <t>% Pag.</t>
  </si>
  <si>
    <t>Risc. - Pag.</t>
  </si>
  <si>
    <t xml:space="preserve">  -- di cui proventi da tributi</t>
  </si>
  <si>
    <t xml:space="preserve">  -- di cui proventi da trasferimenti</t>
  </si>
  <si>
    <t xml:space="preserve">  -- di cui prestazioni di servizi</t>
  </si>
  <si>
    <t xml:space="preserve">  -- di cui personale</t>
  </si>
  <si>
    <t xml:space="preserve">  -- di cui ammortamenti e svalutazioni</t>
  </si>
  <si>
    <t>Ricavi e proventi</t>
  </si>
  <si>
    <t>Costi</t>
  </si>
  <si>
    <t>Entrate finali</t>
  </si>
  <si>
    <t>Uscite finali</t>
  </si>
  <si>
    <t>Sviluppo sostenibile, tutela territ. e ambiente</t>
  </si>
  <si>
    <t>Città metro-politana</t>
  </si>
  <si>
    <t>Saldo naturale</t>
  </si>
  <si>
    <t>Saldo migratorio</t>
  </si>
  <si>
    <t>Verifica</t>
  </si>
  <si>
    <t/>
  </si>
  <si>
    <t>Cancellazione residui attivi</t>
  </si>
  <si>
    <t>Rapporto Fcde/Residui attivi (scala dx)</t>
  </si>
  <si>
    <t>Saldo entrate/uscite finali</t>
  </si>
  <si>
    <t>Saldo entrate/uscite nette</t>
  </si>
  <si>
    <t>Capacità riscossione entrate finali</t>
  </si>
  <si>
    <t>Capacità pagamento uscite finali</t>
  </si>
  <si>
    <t>n.d.</t>
  </si>
  <si>
    <t>Risultato economico di esercizi precedenti (A4)</t>
  </si>
  <si>
    <t>Riserve negative per beni indisponibili (A5)</t>
  </si>
  <si>
    <t>Saldo censuario</t>
  </si>
  <si>
    <t>Margine operativo lordo</t>
  </si>
  <si>
    <t>Riscossioni 2023</t>
  </si>
  <si>
    <t>Pagamenti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</si>
</sst>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#,##0_ ;\-#,##0\ "/>
    <numFmt numFmtId="168" formatCode="#,##0.0_ ;\-#,##0.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ont="0" applyBorder="0" applyProtection="0"/>
    <xf numFmtId="164" fontId="3" fillId="0" borderId="0" applyFont="0" applyFill="0" applyBorder="0" applyAlignment="0" applyProtection="0"/>
  </cellStyleXfs>
  <cellXfs count="137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1" fillId="0" borderId="0" xfId="0" applyFont="1"/>
    <xf numFmtId="0" fontId="5" fillId="0" borderId="0" xfId="2" applyFont="1" applyFill="1" applyBorder="1" applyAlignment="1" applyProtection="1">
      <alignment vertical="center" readingOrder="1"/>
    </xf>
    <xf numFmtId="166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0" fontId="5" fillId="0" borderId="1" xfId="2" applyFont="1" applyFill="1" applyBorder="1" applyAlignment="1" applyProtection="1">
      <alignment vertical="center" readingOrder="1"/>
    </xf>
    <xf numFmtId="165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/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2" xfId="0" applyNumberFormat="1" applyBorder="1"/>
    <xf numFmtId="0" fontId="0" fillId="0" borderId="4" xfId="0" applyBorder="1" applyAlignment="1">
      <alignment horizontal="center"/>
    </xf>
    <xf numFmtId="165" fontId="0" fillId="0" borderId="4" xfId="0" applyNumberFormat="1" applyBorder="1"/>
    <xf numFmtId="165" fontId="0" fillId="0" borderId="5" xfId="0" applyNumberFormat="1" applyBorder="1"/>
    <xf numFmtId="0" fontId="0" fillId="0" borderId="0" xfId="0" quotePrefix="1" applyAlignment="1">
      <alignment horizontal="center"/>
    </xf>
    <xf numFmtId="2" fontId="0" fillId="0" borderId="0" xfId="0" applyNumberFormat="1" applyFill="1"/>
    <xf numFmtId="0" fontId="0" fillId="0" borderId="0" xfId="0" applyFill="1"/>
    <xf numFmtId="0" fontId="0" fillId="0" borderId="0" xfId="0" applyBorder="1"/>
    <xf numFmtId="0" fontId="0" fillId="0" borderId="0" xfId="0" quotePrefix="1" applyBorder="1" applyAlignment="1">
      <alignment horizontal="center"/>
    </xf>
    <xf numFmtId="3" fontId="0" fillId="0" borderId="0" xfId="0" applyNumberFormat="1" applyBorder="1"/>
    <xf numFmtId="0" fontId="1" fillId="0" borderId="1" xfId="0" applyFont="1" applyFill="1" applyBorder="1"/>
    <xf numFmtId="0" fontId="1" fillId="0" borderId="1" xfId="0" quotePrefix="1" applyFont="1" applyBorder="1" applyAlignment="1">
      <alignment horizontal="center"/>
    </xf>
    <xf numFmtId="3" fontId="2" fillId="0" borderId="1" xfId="0" applyNumberFormat="1" applyFont="1" applyBorder="1"/>
    <xf numFmtId="0" fontId="2" fillId="0" borderId="1" xfId="0" applyFont="1" applyBorder="1"/>
    <xf numFmtId="0" fontId="1" fillId="0" borderId="0" xfId="0" applyFont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 vertical="center"/>
    </xf>
    <xf numFmtId="165" fontId="1" fillId="0" borderId="0" xfId="0" applyNumberFormat="1" applyFont="1"/>
    <xf numFmtId="165" fontId="1" fillId="0" borderId="0" xfId="0" applyNumberFormat="1" applyFont="1" applyBorder="1" applyAlignment="1">
      <alignment horizontal="center"/>
    </xf>
    <xf numFmtId="165" fontId="1" fillId="0" borderId="0" xfId="1" applyNumberFormat="1" applyFont="1"/>
    <xf numFmtId="0" fontId="6" fillId="0" borderId="0" xfId="0" applyFont="1"/>
    <xf numFmtId="165" fontId="6" fillId="0" borderId="0" xfId="0" applyNumberFormat="1" applyFont="1"/>
    <xf numFmtId="165" fontId="6" fillId="0" borderId="0" xfId="0" applyNumberFormat="1" applyFont="1" applyBorder="1" applyAlignment="1">
      <alignment horizontal="center"/>
    </xf>
    <xf numFmtId="165" fontId="2" fillId="0" borderId="1" xfId="0" applyNumberFormat="1" applyFont="1" applyBorder="1"/>
    <xf numFmtId="166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7" fillId="4" borderId="0" xfId="0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8" fillId="4" borderId="0" xfId="2" applyFont="1" applyFill="1" applyBorder="1" applyAlignment="1" applyProtection="1">
      <alignment vertical="center" readingOrder="1"/>
    </xf>
    <xf numFmtId="165" fontId="0" fillId="4" borderId="0" xfId="0" applyNumberFormat="1" applyFont="1" applyFill="1"/>
    <xf numFmtId="166" fontId="0" fillId="4" borderId="0" xfId="0" applyNumberFormat="1" applyFont="1" applyFill="1" applyAlignment="1">
      <alignment horizontal="center"/>
    </xf>
    <xf numFmtId="0" fontId="0" fillId="4" borderId="0" xfId="0" applyFont="1" applyFill="1"/>
    <xf numFmtId="0" fontId="0" fillId="0" borderId="0" xfId="0" applyFill="1" applyAlignment="1">
      <alignment horizontal="center"/>
    </xf>
    <xf numFmtId="167" fontId="0" fillId="4" borderId="0" xfId="0" applyNumberFormat="1" applyFont="1" applyFill="1"/>
    <xf numFmtId="167" fontId="3" fillId="4" borderId="0" xfId="1" applyNumberFormat="1" applyFont="1" applyFill="1"/>
    <xf numFmtId="167" fontId="6" fillId="0" borderId="0" xfId="0" applyNumberFormat="1" applyFont="1"/>
    <xf numFmtId="167" fontId="2" fillId="0" borderId="1" xfId="0" applyNumberFormat="1" applyFont="1" applyBorder="1"/>
    <xf numFmtId="0" fontId="0" fillId="5" borderId="0" xfId="0" applyFill="1"/>
    <xf numFmtId="0" fontId="9" fillId="0" borderId="1" xfId="0" applyFont="1" applyBorder="1"/>
    <xf numFmtId="0" fontId="0" fillId="4" borderId="0" xfId="0" applyFill="1"/>
    <xf numFmtId="0" fontId="1" fillId="0" borderId="0" xfId="0" applyFont="1" applyBorder="1"/>
    <xf numFmtId="0" fontId="1" fillId="0" borderId="6" xfId="0" applyFont="1" applyBorder="1"/>
    <xf numFmtId="0" fontId="1" fillId="0" borderId="6" xfId="0" applyFont="1" applyBorder="1" applyAlignment="1">
      <alignment vertical="center"/>
    </xf>
    <xf numFmtId="167" fontId="0" fillId="4" borderId="0" xfId="0" applyNumberFormat="1" applyFill="1" applyAlignment="1">
      <alignment horizontal="center" vertical="center"/>
    </xf>
    <xf numFmtId="167" fontId="0" fillId="6" borderId="0" xfId="0" applyNumberFormat="1" applyFill="1" applyAlignment="1">
      <alignment horizontal="center" vertical="center"/>
    </xf>
    <xf numFmtId="0" fontId="0" fillId="4" borderId="0" xfId="0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10" fillId="4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7" fontId="1" fillId="4" borderId="0" xfId="0" applyNumberFormat="1" applyFont="1" applyFill="1" applyAlignment="1">
      <alignment horizontal="center" vertical="center"/>
    </xf>
    <xf numFmtId="167" fontId="1" fillId="6" borderId="0" xfId="1" applyNumberFormat="1" applyFont="1" applyFill="1" applyAlignment="1">
      <alignment horizontal="center" vertical="center"/>
    </xf>
    <xf numFmtId="167" fontId="9" fillId="4" borderId="0" xfId="0" applyNumberFormat="1" applyFont="1" applyFill="1" applyAlignment="1">
      <alignment horizontal="center" vertical="center"/>
    </xf>
    <xf numFmtId="167" fontId="9" fillId="6" borderId="0" xfId="0" applyNumberFormat="1" applyFont="1" applyFill="1" applyAlignment="1">
      <alignment horizontal="center" vertical="center"/>
    </xf>
    <xf numFmtId="167" fontId="9" fillId="6" borderId="0" xfId="1" applyNumberFormat="1" applyFont="1" applyFill="1" applyAlignment="1">
      <alignment horizontal="center" vertical="center"/>
    </xf>
    <xf numFmtId="167" fontId="1" fillId="6" borderId="0" xfId="0" applyNumberFormat="1" applyFont="1" applyFill="1" applyAlignment="1">
      <alignment horizontal="center" vertical="center"/>
    </xf>
    <xf numFmtId="167" fontId="6" fillId="4" borderId="0" xfId="0" quotePrefix="1" applyNumberFormat="1" applyFont="1" applyFill="1" applyAlignment="1">
      <alignment horizontal="center" vertical="center"/>
    </xf>
    <xf numFmtId="167" fontId="6" fillId="6" borderId="0" xfId="1" quotePrefix="1" applyNumberFormat="1" applyFont="1" applyFill="1" applyAlignment="1">
      <alignment horizontal="center" vertical="center"/>
    </xf>
    <xf numFmtId="167" fontId="6" fillId="6" borderId="0" xfId="0" quotePrefix="1" applyNumberFormat="1" applyFont="1" applyFill="1" applyAlignment="1">
      <alignment horizontal="center" vertical="center"/>
    </xf>
    <xf numFmtId="167" fontId="6" fillId="4" borderId="0" xfId="1" quotePrefix="1" applyNumberFormat="1" applyFont="1" applyFill="1" applyAlignment="1">
      <alignment horizontal="center" vertical="center"/>
    </xf>
    <xf numFmtId="0" fontId="10" fillId="4" borderId="0" xfId="0" applyFont="1" applyFill="1" applyAlignment="1">
      <alignment vertical="center" wrapText="1"/>
    </xf>
    <xf numFmtId="3" fontId="1" fillId="0" borderId="1" xfId="0" applyNumberFormat="1" applyFont="1" applyFill="1" applyBorder="1"/>
    <xf numFmtId="0" fontId="0" fillId="0" borderId="0" xfId="0" applyAlignment="1">
      <alignment wrapText="1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/>
    <xf numFmtId="2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0" borderId="0" xfId="0" applyNumberFormat="1" applyFill="1"/>
    <xf numFmtId="0" fontId="5" fillId="0" borderId="0" xfId="2" applyFont="1" applyFill="1" applyBorder="1" applyAlignment="1" applyProtection="1">
      <alignment vertical="center" readingOrder="1"/>
    </xf>
    <xf numFmtId="165" fontId="0" fillId="0" borderId="0" xfId="3" applyNumberFormat="1" applyFont="1"/>
    <xf numFmtId="165" fontId="0" fillId="0" borderId="0" xfId="0" applyNumberFormat="1"/>
    <xf numFmtId="165" fontId="0" fillId="2" borderId="0" xfId="3" applyNumberFormat="1" applyFont="1" applyFill="1"/>
    <xf numFmtId="0" fontId="0" fillId="0" borderId="0" xfId="0" applyAlignment="1">
      <alignment horizontal="center"/>
    </xf>
    <xf numFmtId="165" fontId="0" fillId="4" borderId="0" xfId="0" applyNumberFormat="1" applyFill="1"/>
    <xf numFmtId="0" fontId="6" fillId="0" borderId="0" xfId="0" applyFont="1"/>
    <xf numFmtId="166" fontId="6" fillId="0" borderId="0" xfId="0" applyNumberFormat="1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165" fontId="0" fillId="0" borderId="0" xfId="3" applyNumberFormat="1" applyFont="1" applyFill="1"/>
    <xf numFmtId="165" fontId="0" fillId="0" borderId="0" xfId="0" applyNumberFormat="1" applyFill="1"/>
    <xf numFmtId="3" fontId="0" fillId="2" borderId="0" xfId="0" applyNumberFormat="1" applyFill="1"/>
    <xf numFmtId="0" fontId="0" fillId="0" borderId="0" xfId="0" applyAlignment="1"/>
    <xf numFmtId="3" fontId="0" fillId="0" borderId="0" xfId="0" applyNumberFormat="1" applyAlignment="1"/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68" fontId="9" fillId="4" borderId="0" xfId="1" applyNumberFormat="1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3" fontId="2" fillId="0" borderId="0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gliaia" xfId="1" builtinId="3"/>
    <cellStyle name="Migliaia 2" xfId="3"/>
    <cellStyle name="Normal" xfId="2"/>
    <cellStyle name="Normale" xfId="0" builtinId="0"/>
  </cellStyles>
  <dxfs count="126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8901677091786"/>
          <c:y val="2.5106398139571037E-2"/>
          <c:w val="0.84949060486093697"/>
          <c:h val="0.81616719615106637"/>
        </c:manualLayout>
      </c:layout>
      <c:lineChart>
        <c:grouping val="standar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marker>
            <c:symbol val="triangl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660312721.91999996</c:v>
                </c:pt>
                <c:pt idx="1">
                  <c:v>559228156.75</c:v>
                </c:pt>
                <c:pt idx="2">
                  <c:v>578372594.63999999</c:v>
                </c:pt>
                <c:pt idx="3">
                  <c:v>180924870.30000001</c:v>
                </c:pt>
                <c:pt idx="4">
                  <c:v>394668748.29000002</c:v>
                </c:pt>
                <c:pt idx="5">
                  <c:v>1220437125.2</c:v>
                </c:pt>
                <c:pt idx="6">
                  <c:v>1260463910.3299999</c:v>
                </c:pt>
                <c:pt idx="7">
                  <c:v>1250686129.9000001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15-456D-8408-112A4369BD40}"/>
            </c:ext>
          </c:extLst>
        </c:ser>
        <c:ser>
          <c:idx val="1"/>
          <c:order val="1"/>
          <c:tx>
            <c:strRef>
              <c:f>Risultato_amministrazione!$A$4</c:f>
              <c:strCache>
                <c:ptCount val="1"/>
                <c:pt idx="0">
                  <c:v>Residui passivi</c:v>
                </c:pt>
              </c:strCache>
            </c:strRef>
          </c:tx>
          <c:marker>
            <c:symbol val="square"/>
            <c:size val="5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Risultato_amministrazione!$B$4:$I$4</c:f>
              <c:numCache>
                <c:formatCode>#,##0</c:formatCode>
                <c:ptCount val="8"/>
                <c:pt idx="0">
                  <c:v>635444682.19000006</c:v>
                </c:pt>
                <c:pt idx="1">
                  <c:v>560425223.51999998</c:v>
                </c:pt>
                <c:pt idx="2">
                  <c:v>510311664.35000002</c:v>
                </c:pt>
                <c:pt idx="3">
                  <c:v>265026525.30000001</c:v>
                </c:pt>
                <c:pt idx="4">
                  <c:v>244956550.15000001</c:v>
                </c:pt>
                <c:pt idx="5">
                  <c:v>882385906.79999995</c:v>
                </c:pt>
                <c:pt idx="6">
                  <c:v>757055135.80999994</c:v>
                </c:pt>
                <c:pt idx="7">
                  <c:v>748000539.47000003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5-456D-8408-112A4369B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987616"/>
        <c:axId val="1233985440"/>
      </c:lineChart>
      <c:catAx>
        <c:axId val="123398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233985440"/>
        <c:crosses val="autoZero"/>
        <c:auto val="1"/>
        <c:lblAlgn val="ctr"/>
        <c:lblOffset val="100"/>
        <c:noMultiLvlLbl val="0"/>
      </c:catAx>
      <c:valAx>
        <c:axId val="1233985440"/>
        <c:scaling>
          <c:orientation val="minMax"/>
          <c:max val="130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233987616"/>
        <c:crosses val="autoZero"/>
        <c:crossBetween val="between"/>
        <c:majorUnit val="2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572076286055424E-2"/>
          <c:y val="6.4783506216368081E-2"/>
          <c:w val="0.98542792371394439"/>
          <c:h val="0.748783912109082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Piano_indicatori!$B$31</c:f>
              <c:strCache>
                <c:ptCount val="1"/>
                <c:pt idx="0">
                  <c:v>Investimenti complessivi procapite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-7.63431625155086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1451474377326082E-2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Piano_indicatori!$D$31:$K$31</c:f>
              <c:numCache>
                <c:formatCode>0.00</c:formatCode>
                <c:ptCount val="8"/>
                <c:pt idx="0">
                  <c:v>63.32</c:v>
                </c:pt>
                <c:pt idx="1">
                  <c:v>54.07</c:v>
                </c:pt>
                <c:pt idx="2">
                  <c:v>49.99</c:v>
                </c:pt>
                <c:pt idx="3">
                  <c:v>23.39</c:v>
                </c:pt>
                <c:pt idx="4">
                  <c:v>45.44</c:v>
                </c:pt>
                <c:pt idx="5">
                  <c:v>74.05</c:v>
                </c:pt>
                <c:pt idx="6">
                  <c:v>150.31</c:v>
                </c:pt>
                <c:pt idx="7">
                  <c:v>335.85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33-4A6E-8076-E1B5B866D10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5387574533564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3996084777210643E-16"/>
                  <c:y val="1.1540680900173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Piano_indicatori!$D$90:$K$90</c:f>
              <c:numCache>
                <c:formatCode>0.00</c:formatCode>
                <c:ptCount val="8"/>
                <c:pt idx="0">
                  <c:v>157.51675807997006</c:v>
                </c:pt>
                <c:pt idx="1">
                  <c:v>150.44420956890005</c:v>
                </c:pt>
                <c:pt idx="2">
                  <c:v>170.92035541980178</c:v>
                </c:pt>
                <c:pt idx="3">
                  <c:v>180.492157874811</c:v>
                </c:pt>
                <c:pt idx="4">
                  <c:v>204.57029658165237</c:v>
                </c:pt>
                <c:pt idx="5">
                  <c:v>209.21258224469867</c:v>
                </c:pt>
                <c:pt idx="6">
                  <c:v>229.38618194069946</c:v>
                </c:pt>
                <c:pt idx="7">
                  <c:v>334.14493954817681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33-4A6E-8076-E1B5B866D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471440"/>
        <c:axId val="1450462736"/>
      </c:barChart>
      <c:catAx>
        <c:axId val="145047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462736"/>
        <c:crosses val="autoZero"/>
        <c:auto val="1"/>
        <c:lblAlgn val="ctr"/>
        <c:lblOffset val="100"/>
        <c:noMultiLvlLbl val="0"/>
      </c:catAx>
      <c:valAx>
        <c:axId val="1450462736"/>
        <c:scaling>
          <c:orientation val="minMax"/>
          <c:max val="350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1450471440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32604501756868032"/>
          <c:y val="0.91535004107865958"/>
          <c:w val="0.3636191867769108"/>
          <c:h val="8.464995892134004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4.2228998831793423E-2"/>
          <c:w val="0.95679921453118666"/>
          <c:h val="0.75656456237767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Piano_indicatori!$B$47</c:f>
              <c:strCache>
                <c:ptCount val="1"/>
                <c:pt idx="0">
                  <c:v>Indicatore annuale di tempestività dei pagamenti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Piano_indicatori!$D$47:$K$47</c:f>
              <c:numCache>
                <c:formatCode>0.00</c:formatCode>
                <c:ptCount val="8"/>
                <c:pt idx="0">
                  <c:v>128.57</c:v>
                </c:pt>
                <c:pt idx="1">
                  <c:v>156.25</c:v>
                </c:pt>
                <c:pt idx="2">
                  <c:v>221.93</c:v>
                </c:pt>
                <c:pt idx="3">
                  <c:v>9.51</c:v>
                </c:pt>
                <c:pt idx="4">
                  <c:v>48.07</c:v>
                </c:pt>
                <c:pt idx="5">
                  <c:v>28.19</c:v>
                </c:pt>
                <c:pt idx="6">
                  <c:v>40.549999999999997</c:v>
                </c:pt>
                <c:pt idx="7">
                  <c:v>44.29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44-41B9-BDCF-288E48435941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Piano_indicatori!$D$91:$K$91</c:f>
              <c:numCache>
                <c:formatCode>0.00</c:formatCode>
                <c:ptCount val="8"/>
                <c:pt idx="0">
                  <c:v>30.939403225806455</c:v>
                </c:pt>
                <c:pt idx="1">
                  <c:v>36.337096774193533</c:v>
                </c:pt>
                <c:pt idx="2">
                  <c:v>36.521612903225808</c:v>
                </c:pt>
                <c:pt idx="3">
                  <c:v>24.474374999999998</c:v>
                </c:pt>
                <c:pt idx="4">
                  <c:v>18.420312500000001</c:v>
                </c:pt>
                <c:pt idx="5">
                  <c:v>10.619375</c:v>
                </c:pt>
                <c:pt idx="6">
                  <c:v>3.849687499999999</c:v>
                </c:pt>
                <c:pt idx="7">
                  <c:v>1.0896875000000004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44-41B9-BDCF-288E48435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459472"/>
        <c:axId val="1450461104"/>
      </c:barChart>
      <c:catAx>
        <c:axId val="14504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461104"/>
        <c:crosses val="autoZero"/>
        <c:auto val="1"/>
        <c:lblAlgn val="ctr"/>
        <c:lblOffset val="100"/>
        <c:noMultiLvlLbl val="0"/>
      </c:catAx>
      <c:valAx>
        <c:axId val="1450461104"/>
        <c:scaling>
          <c:orientation val="minMax"/>
          <c:max val="230"/>
          <c:min val="0"/>
        </c:scaling>
        <c:delete val="1"/>
        <c:axPos val="l"/>
        <c:numFmt formatCode="0" sourceLinked="0"/>
        <c:majorTickMark val="out"/>
        <c:minorTickMark val="none"/>
        <c:tickLblPos val="none"/>
        <c:crossAx val="1450459472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1600392734413693E-2"/>
          <c:y val="5.1708217913204124E-2"/>
          <c:w val="0.95679921453118666"/>
          <c:h val="0.75077889502039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Piano_indicatori!$B$52</c:f>
              <c:strCache>
                <c:ptCount val="1"/>
                <c:pt idx="0">
                  <c:v>Indebitamento procapite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33600534402137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1451474377326082E-2"/>
                  <c:y val="-3.52627842807247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6343162515507207E-3"/>
                  <c:y val="3.8468936333910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81836033382418E-3"/>
                  <c:y val="3.6934441366574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6343162515508604E-3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33600534402137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7177211565989121E-2"/>
                  <c:y val="-7.05255685614494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717721156598926E-2"/>
                  <c:y val="3.84689363339100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Piano_indicatori!$D$52:$K$52</c:f>
              <c:numCache>
                <c:formatCode>0.00</c:formatCode>
                <c:ptCount val="8"/>
                <c:pt idx="0">
                  <c:v>1245.8</c:v>
                </c:pt>
                <c:pt idx="1">
                  <c:v>1191.33</c:v>
                </c:pt>
                <c:pt idx="2">
                  <c:v>1709.6993741094923</c:v>
                </c:pt>
                <c:pt idx="3">
                  <c:v>1464.4</c:v>
                </c:pt>
                <c:pt idx="4">
                  <c:v>1288.1832842108106</c:v>
                </c:pt>
                <c:pt idx="5">
                  <c:v>1311.44</c:v>
                </c:pt>
                <c:pt idx="6">
                  <c:v>1016.17</c:v>
                </c:pt>
                <c:pt idx="7">
                  <c:v>1010.79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10-4DD5-8C34-963CC30C4CFD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2"/>
              <c:layout>
                <c:manualLayout>
                  <c:x val="1.57093765341188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Piano_indicatori!$D$92:$K$92</c:f>
              <c:numCache>
                <c:formatCode>0.00</c:formatCode>
                <c:ptCount val="8"/>
                <c:pt idx="0">
                  <c:v>1806.715247780151</c:v>
                </c:pt>
                <c:pt idx="1">
                  <c:v>1760.2223341478993</c:v>
                </c:pt>
                <c:pt idx="2">
                  <c:v>1723.4313709635639</c:v>
                </c:pt>
                <c:pt idx="3">
                  <c:v>1688.3834954123995</c:v>
                </c:pt>
                <c:pt idx="4">
                  <c:v>1744.0187221199872</c:v>
                </c:pt>
                <c:pt idx="5">
                  <c:v>1744.7789254873785</c:v>
                </c:pt>
                <c:pt idx="6">
                  <c:v>1726.9557160967668</c:v>
                </c:pt>
                <c:pt idx="7">
                  <c:v>1697.0701833805592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10-4DD5-8C34-963CC30C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460560"/>
        <c:axId val="1450472528"/>
      </c:barChart>
      <c:catAx>
        <c:axId val="145046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472528"/>
        <c:crosses val="autoZero"/>
        <c:auto val="1"/>
        <c:lblAlgn val="ctr"/>
        <c:lblOffset val="100"/>
        <c:noMultiLvlLbl val="0"/>
      </c:catAx>
      <c:valAx>
        <c:axId val="1450472528"/>
        <c:scaling>
          <c:orientation val="minMax"/>
          <c:max val="185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50460560"/>
        <c:crosses val="autoZero"/>
        <c:crossBetween val="between"/>
        <c:majorUnit val="10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88" l="0.70000000000000062" r="0.70000000000000062" t="0.750000000000004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3675674124809"/>
          <c:y val="7.7745360071207401E-3"/>
          <c:w val="0.83182689169498691"/>
          <c:h val="0.949465515953715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Popolazione!$A$1</c:f>
              <c:strCache>
                <c:ptCount val="1"/>
                <c:pt idx="0">
                  <c:v>al 1° gennaio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Popolazione!$A$2:$A$11</c:f>
              <c:numCache>
                <c:formatCode>General</c:formatCode>
                <c:ptCount val="10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</c:numCache>
            </c:numRef>
          </c:cat>
          <c:val>
            <c:numRef>
              <c:f>Popolazione!$B$2:$B$11</c:f>
              <c:numCache>
                <c:formatCode>#,##0</c:formatCode>
                <c:ptCount val="10"/>
                <c:pt idx="0">
                  <c:v>298209</c:v>
                </c:pt>
                <c:pt idx="1">
                  <c:v>299730</c:v>
                </c:pt>
                <c:pt idx="2">
                  <c:v>301104</c:v>
                </c:pt>
                <c:pt idx="3">
                  <c:v>300356</c:v>
                </c:pt>
                <c:pt idx="4">
                  <c:v>296266</c:v>
                </c:pt>
                <c:pt idx="5">
                  <c:v>297752</c:v>
                </c:pt>
                <c:pt idx="6">
                  <c:v>297325</c:v>
                </c:pt>
                <c:pt idx="7">
                  <c:v>298452</c:v>
                </c:pt>
                <c:pt idx="8">
                  <c:v>298726</c:v>
                </c:pt>
                <c:pt idx="9">
                  <c:v>298765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94-47EF-9023-381B80469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467088"/>
        <c:axId val="1450462192"/>
      </c:barChart>
      <c:catAx>
        <c:axId val="145046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/>
            </a:pPr>
            <a:endParaRPr lang="it-IT"/>
          </a:p>
        </c:txPr>
        <c:crossAx val="1450462192"/>
        <c:crosses val="autoZero"/>
        <c:auto val="1"/>
        <c:lblAlgn val="ctr"/>
        <c:lblOffset val="100"/>
        <c:noMultiLvlLbl val="0"/>
      </c:catAx>
      <c:valAx>
        <c:axId val="1450462192"/>
        <c:scaling>
          <c:orientation val="minMax"/>
          <c:max val="330000"/>
          <c:min val="0"/>
        </c:scaling>
        <c:delete val="1"/>
        <c:axPos val="b"/>
        <c:numFmt formatCode="#,##0" sourceLinked="1"/>
        <c:majorTickMark val="none"/>
        <c:minorTickMark val="none"/>
        <c:tickLblPos val="none"/>
        <c:crossAx val="1450467088"/>
        <c:crosses val="autoZero"/>
        <c:crossBetween val="between"/>
        <c:majorUnit val="1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Risultato_amministrazione!$A$3</c:f>
              <c:strCache>
                <c:ptCount val="1"/>
                <c:pt idx="0">
                  <c:v>Residui attivi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Risultato_amministrazione!$B$3:$I$3</c:f>
              <c:numCache>
                <c:formatCode>#,##0</c:formatCode>
                <c:ptCount val="8"/>
                <c:pt idx="0">
                  <c:v>660312721.91999996</c:v>
                </c:pt>
                <c:pt idx="1">
                  <c:v>559228156.75</c:v>
                </c:pt>
                <c:pt idx="2">
                  <c:v>578372594.63999999</c:v>
                </c:pt>
                <c:pt idx="3">
                  <c:v>180924870.30000001</c:v>
                </c:pt>
                <c:pt idx="4">
                  <c:v>394668748.29000002</c:v>
                </c:pt>
                <c:pt idx="5">
                  <c:v>1220437125.2</c:v>
                </c:pt>
                <c:pt idx="6">
                  <c:v>1260463910.3299999</c:v>
                </c:pt>
                <c:pt idx="7">
                  <c:v>1250686129.9000001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70-4566-BAA9-AA8B82BC92A7}"/>
            </c:ext>
          </c:extLst>
        </c:ser>
        <c:ser>
          <c:idx val="1"/>
          <c:order val="1"/>
          <c:tx>
            <c:strRef>
              <c:f>Risultato_amministrazione!$A$8</c:f>
              <c:strCache>
                <c:ptCount val="1"/>
                <c:pt idx="0">
                  <c:v>Fondo crediti di dubbia esigibilità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Risultato_amministrazione!$B$8:$I$8</c:f>
              <c:numCache>
                <c:formatCode>#,##0</c:formatCode>
                <c:ptCount val="8"/>
                <c:pt idx="0">
                  <c:v>233581728.33000001</c:v>
                </c:pt>
                <c:pt idx="1">
                  <c:v>268959228.32999998</c:v>
                </c:pt>
                <c:pt idx="2">
                  <c:v>395830424.82999998</c:v>
                </c:pt>
                <c:pt idx="3">
                  <c:v>54445738.200000003</c:v>
                </c:pt>
                <c:pt idx="4">
                  <c:v>104076532.09999999</c:v>
                </c:pt>
                <c:pt idx="5">
                  <c:v>163567588</c:v>
                </c:pt>
                <c:pt idx="6">
                  <c:v>220147764.78</c:v>
                </c:pt>
                <c:pt idx="7">
                  <c:v>274968036.04000002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33988160"/>
        <c:axId val="1424319328"/>
      </c:barChart>
      <c:lineChart>
        <c:grouping val="standard"/>
        <c:varyColors val="0"/>
        <c:ser>
          <c:idx val="2"/>
          <c:order val="2"/>
          <c:tx>
            <c:strRef>
              <c:f>Risultato_amministrazione!$A$23</c:f>
              <c:strCache>
                <c:ptCount val="1"/>
                <c:pt idx="0">
                  <c:v>Rapporto Fcde/Residui attivi (scala dx)</c:v>
                </c:pt>
              </c:strCache>
            </c:strRef>
          </c:tx>
          <c:spPr>
            <a:ln w="444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Risultato_amministrazione!$B$1:$I$1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Risultato_amministrazione!$B$23:$I$23</c:f>
              <c:numCache>
                <c:formatCode>0.0</c:formatCode>
                <c:ptCount val="8"/>
                <c:pt idx="0">
                  <c:v>35.374409817640853</c:v>
                </c:pt>
                <c:pt idx="1">
                  <c:v>48.094722177988757</c:v>
                </c:pt>
                <c:pt idx="2">
                  <c:v>68.438655029355118</c:v>
                </c:pt>
                <c:pt idx="3">
                  <c:v>30.093009385454287</c:v>
                </c:pt>
                <c:pt idx="4">
                  <c:v>26.370603842066874</c:v>
                </c:pt>
                <c:pt idx="5">
                  <c:v>13.402377281270859</c:v>
                </c:pt>
                <c:pt idx="6">
                  <c:v>17.465614285010627</c:v>
                </c:pt>
                <c:pt idx="7">
                  <c:v>21.98537502466629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70-4566-BAA9-AA8B82BC9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311712"/>
        <c:axId val="1424321504"/>
      </c:lineChart>
      <c:catAx>
        <c:axId val="12339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4319328"/>
        <c:crosses val="autoZero"/>
        <c:auto val="1"/>
        <c:lblAlgn val="ctr"/>
        <c:lblOffset val="100"/>
        <c:noMultiLvlLbl val="0"/>
      </c:catAx>
      <c:valAx>
        <c:axId val="1424319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3988160"/>
        <c:crosses val="autoZero"/>
        <c:crossBetween val="between"/>
      </c:valAx>
      <c:valAx>
        <c:axId val="1424321504"/>
        <c:scaling>
          <c:orientation val="minMax"/>
          <c:max val="70"/>
          <c:min val="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24311712"/>
        <c:crosses val="max"/>
        <c:crossBetween val="between"/>
      </c:valAx>
      <c:catAx>
        <c:axId val="1424311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42432150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20526188681546"/>
          <c:y val="1.9227205294990446E-2"/>
          <c:w val="0.70817853021415478"/>
          <c:h val="0.961249495986914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Conto_economico!$A$28</c:f>
              <c:strCache>
                <c:ptCount val="1"/>
                <c:pt idx="0">
                  <c:v>Risultato dell'esercizio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452-41DC-B25A-48B8A55670DF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2.853067047075609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7114281934556236E-2"/>
                  <c:y val="-7.72977290882125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F3D-4504-9509-BDB7B15096F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452-41DC-B25A-48B8A55670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6857051405159852E-2"/>
                  <c:y val="3.86473429951698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350107270827953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 b="1">
                      <a:solidFill>
                        <a:srgbClr val="0070C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Conto_economico!$C$1:$J$1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Conto_economico!$C$28:$J$28</c:f>
              <c:numCache>
                <c:formatCode>#,##0</c:formatCode>
                <c:ptCount val="8"/>
                <c:pt idx="0">
                  <c:v>-377582514</c:v>
                </c:pt>
                <c:pt idx="1">
                  <c:v>-12898820.946999937</c:v>
                </c:pt>
                <c:pt idx="2">
                  <c:v>-966961474.62</c:v>
                </c:pt>
                <c:pt idx="3">
                  <c:v>764625198.10000014</c:v>
                </c:pt>
                <c:pt idx="4">
                  <c:v>77975369.840000004</c:v>
                </c:pt>
                <c:pt idx="5">
                  <c:v>85281494.299999937</c:v>
                </c:pt>
                <c:pt idx="6">
                  <c:v>53802825.610000052</c:v>
                </c:pt>
                <c:pt idx="7">
                  <c:v>73480268.519999936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452-41DC-B25A-48B8A556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314976"/>
        <c:axId val="1424312800"/>
      </c:barChart>
      <c:catAx>
        <c:axId val="1424314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/>
            </a:pPr>
            <a:endParaRPr lang="it-IT"/>
          </a:p>
        </c:txPr>
        <c:crossAx val="1424312800"/>
        <c:crosses val="autoZero"/>
        <c:auto val="1"/>
        <c:lblAlgn val="ctr"/>
        <c:lblOffset val="100"/>
        <c:noMultiLvlLbl val="0"/>
      </c:catAx>
      <c:valAx>
        <c:axId val="1424312800"/>
        <c:scaling>
          <c:orientation val="minMax"/>
          <c:max val="800000000"/>
          <c:min val="-1000000000"/>
        </c:scaling>
        <c:delete val="1"/>
        <c:axPos val="b"/>
        <c:numFmt formatCode="#,##0" sourceLinked="1"/>
        <c:majorTickMark val="out"/>
        <c:minorTickMark val="none"/>
        <c:tickLblPos val="none"/>
        <c:crossAx val="1424314976"/>
        <c:crosses val="autoZero"/>
        <c:crossBetween val="between"/>
        <c:majorUnit val="500000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Stato_patrimoniale!$A$21</c:f>
              <c:strCache>
                <c:ptCount val="1"/>
                <c:pt idx="0">
                  <c:v>Debiti da finanziamento (D1)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Stato_patrimoniale!$B$21:$I$21</c:f>
              <c:numCache>
                <c:formatCode>#,##0</c:formatCode>
                <c:ptCount val="8"/>
                <c:pt idx="0">
                  <c:v>583849970</c:v>
                </c:pt>
                <c:pt idx="1">
                  <c:v>568119682</c:v>
                </c:pt>
                <c:pt idx="2">
                  <c:v>532776518.95999998</c:v>
                </c:pt>
                <c:pt idx="3">
                  <c:v>463492510.80000001</c:v>
                </c:pt>
                <c:pt idx="4">
                  <c:v>381644908.88</c:v>
                </c:pt>
                <c:pt idx="5">
                  <c:v>409689644.5</c:v>
                </c:pt>
                <c:pt idx="6">
                  <c:v>315372572.31999999</c:v>
                </c:pt>
                <c:pt idx="7">
                  <c:v>301986823.57999998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78-494A-A3FF-551A6B06C6B4}"/>
            </c:ext>
          </c:extLst>
        </c:ser>
        <c:ser>
          <c:idx val="1"/>
          <c:order val="1"/>
          <c:tx>
            <c:strRef>
              <c:f>Stato_patrimoniale!$A$22</c:f>
              <c:strCache>
                <c:ptCount val="1"/>
                <c:pt idx="0">
                  <c:v>Debiti verso fornitori (D2)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Stato_patrimoniale!$B$22:$I$22</c:f>
              <c:numCache>
                <c:formatCode>#,##0</c:formatCode>
                <c:ptCount val="8"/>
                <c:pt idx="0">
                  <c:v>166422356</c:v>
                </c:pt>
                <c:pt idx="1">
                  <c:v>152482479</c:v>
                </c:pt>
                <c:pt idx="2">
                  <c:v>168983383.83000001</c:v>
                </c:pt>
                <c:pt idx="3">
                  <c:v>46817876.299999997</c:v>
                </c:pt>
                <c:pt idx="4">
                  <c:v>77544390.450000003</c:v>
                </c:pt>
                <c:pt idx="5">
                  <c:v>71346169.599999994</c:v>
                </c:pt>
                <c:pt idx="6">
                  <c:v>63799902.950000003</c:v>
                </c:pt>
                <c:pt idx="7">
                  <c:v>88325704.340000004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78-494A-A3FF-551A6B06C6B4}"/>
            </c:ext>
          </c:extLst>
        </c:ser>
        <c:ser>
          <c:idx val="2"/>
          <c:order val="2"/>
          <c:tx>
            <c:strRef>
              <c:f>Stato_patrimoniale!$A$23</c:f>
              <c:strCache>
                <c:ptCount val="1"/>
                <c:pt idx="0">
                  <c:v>Debiti per trasferimenti e contributi (D4)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Stato_patrimoniale!$B$23:$I$23</c:f>
              <c:numCache>
                <c:formatCode>#,##0</c:formatCode>
                <c:ptCount val="8"/>
                <c:pt idx="0">
                  <c:v>102664991</c:v>
                </c:pt>
                <c:pt idx="1">
                  <c:v>88829685</c:v>
                </c:pt>
                <c:pt idx="2">
                  <c:v>87751863.359999999</c:v>
                </c:pt>
                <c:pt idx="3">
                  <c:v>14641577.699999999</c:v>
                </c:pt>
                <c:pt idx="4">
                  <c:v>13212800.029999999</c:v>
                </c:pt>
                <c:pt idx="5">
                  <c:v>12819398.300000001</c:v>
                </c:pt>
                <c:pt idx="6">
                  <c:v>24739037.190000001</c:v>
                </c:pt>
                <c:pt idx="7">
                  <c:v>36528350.329999998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978-494A-A3FF-551A6B06C6B4}"/>
            </c:ext>
          </c:extLst>
        </c:ser>
        <c:ser>
          <c:idx val="3"/>
          <c:order val="3"/>
          <c:tx>
            <c:strRef>
              <c:f>Stato_patrimoniale!$A$24</c:f>
              <c:strCache>
                <c:ptCount val="1"/>
                <c:pt idx="0">
                  <c:v>Altri debiti (D5)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Stato_patrimoniale!$B$24:$I$24</c:f>
              <c:numCache>
                <c:formatCode>#,##0</c:formatCode>
                <c:ptCount val="8"/>
                <c:pt idx="0">
                  <c:v>158770177</c:v>
                </c:pt>
                <c:pt idx="1">
                  <c:v>118724776</c:v>
                </c:pt>
                <c:pt idx="2">
                  <c:v>75757051.359999999</c:v>
                </c:pt>
                <c:pt idx="3">
                  <c:v>81950039.909999996</c:v>
                </c:pt>
                <c:pt idx="4">
                  <c:v>100865600.39</c:v>
                </c:pt>
                <c:pt idx="5">
                  <c:v>714783288.20000005</c:v>
                </c:pt>
                <c:pt idx="6">
                  <c:v>665986025.24000001</c:v>
                </c:pt>
                <c:pt idx="7">
                  <c:v>623146484.79999995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978-494A-A3FF-551A6B06C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4306272"/>
        <c:axId val="1424315520"/>
      </c:barChart>
      <c:catAx>
        <c:axId val="142430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4315520"/>
        <c:crosses val="autoZero"/>
        <c:auto val="1"/>
        <c:lblAlgn val="ctr"/>
        <c:lblOffset val="100"/>
        <c:noMultiLvlLbl val="0"/>
      </c:catAx>
      <c:valAx>
        <c:axId val="1424315520"/>
        <c:scaling>
          <c:orientation val="minMax"/>
          <c:max val="1250000000"/>
          <c:min val="0"/>
        </c:scaling>
        <c:delete val="0"/>
        <c:axPos val="l"/>
        <c:numFmt formatCode="#,##0" sourceLinked="1"/>
        <c:majorTickMark val="none"/>
        <c:minorTickMark val="none"/>
        <c:tickLblPos val="nextTo"/>
        <c:crossAx val="1424306272"/>
        <c:crosses val="autoZero"/>
        <c:crossBetween val="between"/>
        <c:majorUnit val="2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140016946700559E-2"/>
          <c:y val="1.2121212121212118E-2"/>
          <c:w val="0.85667982447076541"/>
          <c:h val="0.832514197089000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Stato_patrimoniale!$A$14</c:f>
              <c:strCache>
                <c:ptCount val="1"/>
                <c:pt idx="0">
                  <c:v>Fondo di dotazione (A1)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Stato_patrimoniale!$B$14:$I$14</c:f>
              <c:numCache>
                <c:formatCode>#,##0</c:formatCode>
                <c:ptCount val="8"/>
                <c:pt idx="0">
                  <c:v>1736428087.5999999</c:v>
                </c:pt>
                <c:pt idx="1">
                  <c:v>1736428087.5999999</c:v>
                </c:pt>
                <c:pt idx="2">
                  <c:v>1736428087.5999999</c:v>
                </c:pt>
                <c:pt idx="3">
                  <c:v>1736428087.5999999</c:v>
                </c:pt>
                <c:pt idx="4">
                  <c:v>1736428087.5999999</c:v>
                </c:pt>
                <c:pt idx="5">
                  <c:v>1736428087.5999999</c:v>
                </c:pt>
                <c:pt idx="6">
                  <c:v>1736428087.5999999</c:v>
                </c:pt>
                <c:pt idx="7">
                  <c:v>1736428087.5999999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74-44E8-A59E-6B7D2C2D3CAD}"/>
            </c:ext>
          </c:extLst>
        </c:ser>
        <c:ser>
          <c:idx val="1"/>
          <c:order val="1"/>
          <c:tx>
            <c:strRef>
              <c:f>Stato_patrimoniale!$A$15</c:f>
              <c:strCache>
                <c:ptCount val="1"/>
                <c:pt idx="0">
                  <c:v>Riserve (A2)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Stato_patrimoniale!$B$15:$I$15</c:f>
              <c:numCache>
                <c:formatCode>#,##0</c:formatCode>
                <c:ptCount val="8"/>
                <c:pt idx="0">
                  <c:v>413074700.47000003</c:v>
                </c:pt>
                <c:pt idx="1">
                  <c:v>318527087.88</c:v>
                </c:pt>
                <c:pt idx="2">
                  <c:v>315375762.01999998</c:v>
                </c:pt>
                <c:pt idx="3">
                  <c:v>-649868163.79999995</c:v>
                </c:pt>
                <c:pt idx="4">
                  <c:v>88080966.299999997</c:v>
                </c:pt>
                <c:pt idx="5">
                  <c:v>301626807.60000002</c:v>
                </c:pt>
                <c:pt idx="6">
                  <c:v>301626807.60000002</c:v>
                </c:pt>
                <c:pt idx="7">
                  <c:v>301626807.60000002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374-44E8-A59E-6B7D2C2D3CAD}"/>
            </c:ext>
          </c:extLst>
        </c:ser>
        <c:ser>
          <c:idx val="2"/>
          <c:order val="2"/>
          <c:tx>
            <c:strRef>
              <c:f>Stato_patrimoniale!$A$17</c:f>
              <c:strCache>
                <c:ptCount val="1"/>
                <c:pt idx="0">
                  <c:v>Risultato economico dell'esercizio (A3)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Stato_patrimoniale!$B$17:$I$17</c:f>
              <c:numCache>
                <c:formatCode>#,##0</c:formatCode>
                <c:ptCount val="8"/>
                <c:pt idx="0">
                  <c:v>-377582513.22000003</c:v>
                </c:pt>
                <c:pt idx="1">
                  <c:v>-12898820.949999999</c:v>
                </c:pt>
                <c:pt idx="2">
                  <c:v>-966961474.62</c:v>
                </c:pt>
                <c:pt idx="3">
                  <c:v>764625198</c:v>
                </c:pt>
                <c:pt idx="4">
                  <c:v>77975369.840000004</c:v>
                </c:pt>
                <c:pt idx="5">
                  <c:v>85281494.099999994</c:v>
                </c:pt>
                <c:pt idx="6">
                  <c:v>53802825.609999999</c:v>
                </c:pt>
                <c:pt idx="7">
                  <c:v>73480268.519999996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74-44E8-A59E-6B7D2C2D3CAD}"/>
            </c:ext>
          </c:extLst>
        </c:ser>
        <c:ser>
          <c:idx val="3"/>
          <c:order val="3"/>
          <c:tx>
            <c:strRef>
              <c:f>Stato_patrimoniale!$A$18</c:f>
              <c:strCache>
                <c:ptCount val="1"/>
                <c:pt idx="0">
                  <c:v>Risultato economico di esercizi precedenti (A4)</c:v>
                </c:pt>
              </c:strCache>
            </c:strRef>
          </c:tx>
          <c:invertIfNegative val="0"/>
          <c:cat>
            <c:numRef>
              <c:f>Stato_patrimoniale!$B$1:$I$1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Stato_patrimoniale!$B$18:$I$18</c:f>
              <c:numCache>
                <c:formatCode>#,##0</c:formatCode>
                <c:ptCount val="8"/>
                <c:pt idx="4">
                  <c:v>0</c:v>
                </c:pt>
                <c:pt idx="5">
                  <c:v>-137154484.90000001</c:v>
                </c:pt>
                <c:pt idx="6">
                  <c:v>-51872990.780000001</c:v>
                </c:pt>
                <c:pt idx="7">
                  <c:v>1929834.83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4317152"/>
        <c:axId val="1423390992"/>
      </c:barChart>
      <c:catAx>
        <c:axId val="142431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23390992"/>
        <c:crosses val="autoZero"/>
        <c:auto val="1"/>
        <c:lblAlgn val="ctr"/>
        <c:lblOffset val="100"/>
        <c:noMultiLvlLbl val="0"/>
      </c:catAx>
      <c:valAx>
        <c:axId val="1423390992"/>
        <c:scaling>
          <c:orientation val="minMax"/>
          <c:max val="2500000000"/>
          <c:min val="-1000000000"/>
        </c:scaling>
        <c:delete val="0"/>
        <c:axPos val="b"/>
        <c:numFmt formatCode="#,##0" sourceLinked="0"/>
        <c:majorTickMark val="none"/>
        <c:minorTickMark val="none"/>
        <c:tickLblPos val="nextTo"/>
        <c:crossAx val="1424317152"/>
        <c:crosses val="autoZero"/>
        <c:crossBetween val="between"/>
        <c:majorUnit val="500000000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it-IT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228191836882E-2"/>
          <c:y val="3.0301278829508272E-2"/>
          <c:w val="0.91226637907374508"/>
          <c:h val="0.68340956050706358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Piano_indicatori!$A$72</c:f>
              <c:strCache>
                <c:ptCount val="1"/>
                <c:pt idx="0">
                  <c:v>Entrate natura tributaria, contributiva e perequativa (Titolo 1)</c:v>
                </c:pt>
              </c:strCache>
            </c:strRef>
          </c:tx>
          <c:marker>
            <c:symbol val="triang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Piano_indicatori!$D$73:$K$73</c:f>
              <c:numCache>
                <c:formatCode>0.00</c:formatCode>
                <c:ptCount val="8"/>
                <c:pt idx="0">
                  <c:v>42.554912587085163</c:v>
                </c:pt>
                <c:pt idx="1">
                  <c:v>45.76</c:v>
                </c:pt>
                <c:pt idx="2">
                  <c:v>44.665164266231464</c:v>
                </c:pt>
                <c:pt idx="3">
                  <c:v>76.48</c:v>
                </c:pt>
                <c:pt idx="4">
                  <c:v>65.36</c:v>
                </c:pt>
                <c:pt idx="5">
                  <c:v>34.74</c:v>
                </c:pt>
                <c:pt idx="6">
                  <c:v>65.02</c:v>
                </c:pt>
                <c:pt idx="7">
                  <c:v>37.125638329907552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F0-4554-BA49-E20421A575FC}"/>
            </c:ext>
          </c:extLst>
        </c:ser>
        <c:ser>
          <c:idx val="1"/>
          <c:order val="1"/>
          <c:tx>
            <c:strRef>
              <c:f>Piano_indicatori!$A$76</c:f>
              <c:strCache>
                <c:ptCount val="1"/>
                <c:pt idx="0">
                  <c:v>Totale Entrate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Piano_indicatori!$D$76:$K$76</c:f>
              <c:numCache>
                <c:formatCode>0.00</c:formatCode>
                <c:ptCount val="8"/>
                <c:pt idx="0">
                  <c:v>65.519871549692354</c:v>
                </c:pt>
                <c:pt idx="2">
                  <c:v>64.788978341077893</c:v>
                </c:pt>
                <c:pt idx="3">
                  <c:v>83.2262990745119</c:v>
                </c:pt>
                <c:pt idx="4">
                  <c:v>70.704223201646599</c:v>
                </c:pt>
                <c:pt idx="5">
                  <c:v>39.904401174989843</c:v>
                </c:pt>
                <c:pt idx="6">
                  <c:v>50.432904173774126</c:v>
                </c:pt>
                <c:pt idx="7">
                  <c:v>50.454284675662144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F0-4554-BA49-E20421A575FC}"/>
            </c:ext>
          </c:extLst>
        </c:ser>
        <c:ser>
          <c:idx val="2"/>
          <c:order val="2"/>
          <c:tx>
            <c:strRef>
              <c:f>Piano_indicatori!$A$77</c:f>
              <c:strCache>
                <c:ptCount val="1"/>
                <c:pt idx="0">
                  <c:v>Totale Entrate nette</c:v>
                </c:pt>
              </c:strCache>
            </c:strRef>
          </c:tx>
          <c:marker>
            <c:symbol val="diamond"/>
            <c:size val="7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Piano_indicatori!$D$77:$K$77</c:f>
              <c:numCache>
                <c:formatCode>0.00</c:formatCode>
                <c:ptCount val="8"/>
                <c:pt idx="0">
                  <c:v>55.765470705806393</c:v>
                </c:pt>
                <c:pt idx="2">
                  <c:v>55.754070425428139</c:v>
                </c:pt>
                <c:pt idx="3">
                  <c:v>83.173956489262025</c:v>
                </c:pt>
                <c:pt idx="4">
                  <c:v>72.274027893299419</c:v>
                </c:pt>
                <c:pt idx="5">
                  <c:v>48.66709862835539</c:v>
                </c:pt>
                <c:pt idx="6">
                  <c:v>53.429748345501459</c:v>
                </c:pt>
                <c:pt idx="7">
                  <c:v>40.212351182249328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F0-4554-BA49-E20421A57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394800"/>
        <c:axId val="1423404592"/>
      </c:lineChart>
      <c:catAx>
        <c:axId val="142339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23404592"/>
        <c:crosses val="autoZero"/>
        <c:auto val="1"/>
        <c:lblAlgn val="ctr"/>
        <c:lblOffset val="100"/>
        <c:noMultiLvlLbl val="0"/>
      </c:catAx>
      <c:valAx>
        <c:axId val="1423404592"/>
        <c:scaling>
          <c:orientation val="minMax"/>
          <c:max val="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42339480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5626467744163592E-2"/>
          <c:y val="0.82043195398447955"/>
          <c:w val="0.96177967444791523"/>
          <c:h val="0.1795680460155259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8781011404414E-2"/>
          <c:y val="4.1350142172088745E-2"/>
          <c:w val="0.9029842635309353"/>
          <c:h val="0.708268034271450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Piano_indicatori!$B$79</c:f>
              <c:strCache>
                <c:ptCount val="1"/>
                <c:pt idx="0">
                  <c:v>Istruzione e diritto allo studio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Piano_indicatori!$D$79:$K$79</c:f>
              <c:numCache>
                <c:formatCode>0.00</c:formatCode>
                <c:ptCount val="8"/>
                <c:pt idx="0">
                  <c:v>2.0474137931034484</c:v>
                </c:pt>
                <c:pt idx="1">
                  <c:v>2.5699168556311411</c:v>
                </c:pt>
                <c:pt idx="2">
                  <c:v>2.5749817117776153</c:v>
                </c:pt>
                <c:pt idx="3">
                  <c:v>2.7058481233633986</c:v>
                </c:pt>
                <c:pt idx="4">
                  <c:v>2.5392541707556426</c:v>
                </c:pt>
                <c:pt idx="5">
                  <c:v>2.5993044114955151</c:v>
                </c:pt>
                <c:pt idx="6">
                  <c:v>3.1415241057542773</c:v>
                </c:pt>
                <c:pt idx="7">
                  <c:v>4.0636042402826851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A-4FC4-8050-8C2A7299C75D}"/>
            </c:ext>
          </c:extLst>
        </c:ser>
        <c:ser>
          <c:idx val="1"/>
          <c:order val="1"/>
          <c:tx>
            <c:strRef>
              <c:f>Piano_indicatori!$B$80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Piano_indicatori!$D$80:$K$80</c:f>
              <c:numCache>
                <c:formatCode>0.00</c:formatCode>
                <c:ptCount val="8"/>
                <c:pt idx="0">
                  <c:v>9.6982758620689644</c:v>
                </c:pt>
                <c:pt idx="1">
                  <c:v>8.9947089947089935</c:v>
                </c:pt>
                <c:pt idx="2">
                  <c:v>10.91441111923921</c:v>
                </c:pt>
                <c:pt idx="3">
                  <c:v>13.180098923479781</c:v>
                </c:pt>
                <c:pt idx="4">
                  <c:v>11.359175662414133</c:v>
                </c:pt>
                <c:pt idx="5">
                  <c:v>11.58704008786381</c:v>
                </c:pt>
                <c:pt idx="6">
                  <c:v>15.241057542768274</c:v>
                </c:pt>
                <c:pt idx="7">
                  <c:v>19.832155477031801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A-4FC4-8050-8C2A7299C75D}"/>
            </c:ext>
          </c:extLst>
        </c:ser>
        <c:ser>
          <c:idx val="2"/>
          <c:order val="2"/>
          <c:tx>
            <c:strRef>
              <c:f>Piano_indicatori!$B$81</c:f>
              <c:strCache>
                <c:ptCount val="1"/>
                <c:pt idx="0">
                  <c:v>Trasporti e diritto alla mobilità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Piano_indicatori!$D$81:$K$81</c:f>
              <c:numCache>
                <c:formatCode>0.00</c:formatCode>
                <c:ptCount val="8"/>
                <c:pt idx="0">
                  <c:v>13.454433497536943</c:v>
                </c:pt>
                <c:pt idx="1">
                  <c:v>8.4807256235827655</c:v>
                </c:pt>
                <c:pt idx="2">
                  <c:v>8.9685442574981717</c:v>
                </c:pt>
                <c:pt idx="3">
                  <c:v>7.5210939773057897</c:v>
                </c:pt>
                <c:pt idx="4">
                  <c:v>6.697742885181551</c:v>
                </c:pt>
                <c:pt idx="5">
                  <c:v>11.934834340106168</c:v>
                </c:pt>
                <c:pt idx="6">
                  <c:v>19.611197511664074</c:v>
                </c:pt>
                <c:pt idx="7">
                  <c:v>22.548586572438165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A-4FC4-8050-8C2A7299C75D}"/>
            </c:ext>
          </c:extLst>
        </c:ser>
        <c:ser>
          <c:idx val="3"/>
          <c:order val="3"/>
          <c:tx>
            <c:strRef>
              <c:f>Piano_indicatori!$B$82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Piano_indicatori!$D$82:$K$82</c:f>
              <c:numCache>
                <c:formatCode>0.00</c:formatCode>
                <c:ptCount val="8"/>
                <c:pt idx="0">
                  <c:v>5.0338669950738915</c:v>
                </c:pt>
                <c:pt idx="1">
                  <c:v>5.850340136054422</c:v>
                </c:pt>
                <c:pt idx="2">
                  <c:v>5.720555961960498</c:v>
                </c:pt>
                <c:pt idx="3">
                  <c:v>8.6703520512074483</c:v>
                </c:pt>
                <c:pt idx="4">
                  <c:v>8.4641805691854763</c:v>
                </c:pt>
                <c:pt idx="5">
                  <c:v>10.763316858868754</c:v>
                </c:pt>
                <c:pt idx="6">
                  <c:v>10.886469673405911</c:v>
                </c:pt>
                <c:pt idx="7">
                  <c:v>19.96466431095406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AA-4FC4-8050-8C2A7299C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3397520"/>
        <c:axId val="1190581248"/>
      </c:barChart>
      <c:catAx>
        <c:axId val="14233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it-IT"/>
          </a:p>
        </c:txPr>
        <c:crossAx val="1190581248"/>
        <c:crosses val="autoZero"/>
        <c:auto val="1"/>
        <c:lblAlgn val="ctr"/>
        <c:lblOffset val="100"/>
        <c:noMultiLvlLbl val="0"/>
      </c:catAx>
      <c:valAx>
        <c:axId val="1190581248"/>
        <c:scaling>
          <c:orientation val="minMax"/>
          <c:max val="40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400"/>
            </a:pPr>
            <a:endParaRPr lang="it-IT"/>
          </a:p>
        </c:txPr>
        <c:crossAx val="1423397520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4972222222222232E-2"/>
          <c:y val="0.83670972494627494"/>
          <c:w val="0.95561111111111163"/>
          <c:h val="0.13551275795084503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133073571989068E-2"/>
          <c:y val="3.0301278829508276E-2"/>
          <c:w val="0.9122665336936"/>
          <c:h val="0.72979616909588463"/>
        </c:manualLayout>
      </c:layout>
      <c:lineChart>
        <c:grouping val="standard"/>
        <c:varyColors val="0"/>
        <c:ser>
          <c:idx val="0"/>
          <c:order val="0"/>
          <c:tx>
            <c:strRef>
              <c:f>Piano_indicatori!$B$84</c:f>
              <c:strCache>
                <c:ptCount val="1"/>
                <c:pt idx="0">
                  <c:v>Istruzione e diritto allo studio</c:v>
                </c:pt>
              </c:strCache>
            </c:strRef>
          </c:tx>
          <c:marker>
            <c:symbol val="triangle"/>
            <c:size val="5"/>
            <c:spPr>
              <a:solidFill>
                <a:srgbClr val="4BACC6">
                  <a:lumMod val="40000"/>
                  <a:lumOff val="60000"/>
                </a:srgbClr>
              </a:solidFill>
            </c:spPr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Piano_indicatori!$D$84:$K$84</c:f>
              <c:numCache>
                <c:formatCode>0.00</c:formatCode>
                <c:ptCount val="8"/>
                <c:pt idx="0">
                  <c:v>35.422886346166038</c:v>
                </c:pt>
                <c:pt idx="1">
                  <c:v>36.72</c:v>
                </c:pt>
                <c:pt idx="2">
                  <c:v>47.106121974119333</c:v>
                </c:pt>
                <c:pt idx="3">
                  <c:v>65.91</c:v>
                </c:pt>
                <c:pt idx="4">
                  <c:v>59.54</c:v>
                </c:pt>
                <c:pt idx="5">
                  <c:v>63.293792787412542</c:v>
                </c:pt>
                <c:pt idx="6">
                  <c:v>64.132648189289426</c:v>
                </c:pt>
                <c:pt idx="7">
                  <c:v>62.801034058529581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3A-469B-84B2-5562AE3617E1}"/>
            </c:ext>
          </c:extLst>
        </c:ser>
        <c:ser>
          <c:idx val="1"/>
          <c:order val="1"/>
          <c:tx>
            <c:strRef>
              <c:f>Piano_indicatori!$B$85</c:f>
              <c:strCache>
                <c:ptCount val="1"/>
                <c:pt idx="0">
                  <c:v>Sviluppo sostenibile, tutela territ. e ambiente</c:v>
                </c:pt>
              </c:strCache>
            </c:strRef>
          </c:tx>
          <c:marker>
            <c:symbol val="squar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Piano_indicatori!$D$85:$K$85</c:f>
              <c:numCache>
                <c:formatCode>0.00</c:formatCode>
                <c:ptCount val="8"/>
                <c:pt idx="0">
                  <c:v>56.141218147901071</c:v>
                </c:pt>
                <c:pt idx="1">
                  <c:v>60.51</c:v>
                </c:pt>
                <c:pt idx="2">
                  <c:v>57.13463334148998</c:v>
                </c:pt>
                <c:pt idx="3">
                  <c:v>86.08</c:v>
                </c:pt>
                <c:pt idx="4">
                  <c:v>83.2</c:v>
                </c:pt>
                <c:pt idx="5">
                  <c:v>83.839569672388677</c:v>
                </c:pt>
                <c:pt idx="6">
                  <c:v>83.532960108857949</c:v>
                </c:pt>
                <c:pt idx="7">
                  <c:v>84.841385045792478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3A-469B-84B2-5562AE3617E1}"/>
            </c:ext>
          </c:extLst>
        </c:ser>
        <c:ser>
          <c:idx val="2"/>
          <c:order val="2"/>
          <c:tx>
            <c:strRef>
              <c:f>Piano_indicatori!$B$86</c:f>
              <c:strCache>
                <c:ptCount val="1"/>
                <c:pt idx="0">
                  <c:v>Trasporti e diritto alla mobilità</c:v>
                </c:pt>
              </c:strCache>
            </c:strRef>
          </c:tx>
          <c:marker>
            <c:symbol val="diamond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Piano_indicatori!$D$86:$K$86</c:f>
              <c:numCache>
                <c:formatCode>0.00</c:formatCode>
                <c:ptCount val="8"/>
                <c:pt idx="0">
                  <c:v>30.516621301267516</c:v>
                </c:pt>
                <c:pt idx="1">
                  <c:v>39.51</c:v>
                </c:pt>
                <c:pt idx="2">
                  <c:v>46.933680184457103</c:v>
                </c:pt>
                <c:pt idx="3">
                  <c:v>72.650000000000006</c:v>
                </c:pt>
                <c:pt idx="4">
                  <c:v>82.93</c:v>
                </c:pt>
                <c:pt idx="5">
                  <c:v>88.355821785117811</c:v>
                </c:pt>
                <c:pt idx="6">
                  <c:v>71.858792789892021</c:v>
                </c:pt>
                <c:pt idx="7">
                  <c:v>90.564988285074747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73A-469B-84B2-5562AE3617E1}"/>
            </c:ext>
          </c:extLst>
        </c:ser>
        <c:ser>
          <c:idx val="3"/>
          <c:order val="3"/>
          <c:tx>
            <c:strRef>
              <c:f>Piano_indicatori!$B$87</c:f>
              <c:strCache>
                <c:ptCount val="1"/>
                <c:pt idx="0">
                  <c:v>Diritti sociali, politiche sociali e famiglia</c:v>
                </c:pt>
              </c:strCache>
            </c:strRef>
          </c:tx>
          <c:marker>
            <c:symbol val="circle"/>
            <c:size val="5"/>
          </c:marker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Piano_indicatori!$D$87:$K$87</c:f>
              <c:numCache>
                <c:formatCode>0.00</c:formatCode>
                <c:ptCount val="8"/>
                <c:pt idx="0">
                  <c:v>45.298797162745117</c:v>
                </c:pt>
                <c:pt idx="1">
                  <c:v>50.13</c:v>
                </c:pt>
                <c:pt idx="2">
                  <c:v>59.220960630375551</c:v>
                </c:pt>
                <c:pt idx="3">
                  <c:v>58.33</c:v>
                </c:pt>
                <c:pt idx="4">
                  <c:v>67.837853862716216</c:v>
                </c:pt>
                <c:pt idx="5">
                  <c:v>67.515326415445571</c:v>
                </c:pt>
                <c:pt idx="6">
                  <c:v>60.425625981741526</c:v>
                </c:pt>
                <c:pt idx="7">
                  <c:v>55.422787198116929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73A-469B-84B2-5562AE36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0572000"/>
        <c:axId val="1190582336"/>
      </c:lineChart>
      <c:catAx>
        <c:axId val="119057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190582336"/>
        <c:crosses val="autoZero"/>
        <c:auto val="1"/>
        <c:lblAlgn val="ctr"/>
        <c:lblOffset val="100"/>
        <c:noMultiLvlLbl val="0"/>
      </c:catAx>
      <c:valAx>
        <c:axId val="1190582336"/>
        <c:scaling>
          <c:orientation val="minMax"/>
          <c:max val="90"/>
          <c:min val="30"/>
        </c:scaling>
        <c:delete val="0"/>
        <c:axPos val="l"/>
        <c:numFmt formatCode="0" sourceLinked="0"/>
        <c:majorTickMark val="none"/>
        <c:minorTickMark val="none"/>
        <c:tickLblPos val="nextTo"/>
        <c:spPr>
          <a:ln>
            <a:noFill/>
          </a:ln>
        </c:spPr>
        <c:crossAx val="1190572000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9534903497887523E-3"/>
          <c:y val="0.86298514547383764"/>
          <c:w val="0.97653411880215957"/>
          <c:h val="0.10961746802926231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20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527736867943053E-2"/>
          <c:y val="4.4321329639889197E-2"/>
          <c:w val="0.95679921453118599"/>
          <c:h val="0.776633003976996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Piano_indicatori!$B$20</c:f>
              <c:strCache>
                <c:ptCount val="1"/>
                <c:pt idx="0">
                  <c:v>Spesa di personale procapite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F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Piano_indicatori!$D$20:$K$20</c:f>
              <c:numCache>
                <c:formatCode>0.00</c:formatCode>
                <c:ptCount val="8"/>
                <c:pt idx="0">
                  <c:v>321.74</c:v>
                </c:pt>
                <c:pt idx="1">
                  <c:v>321.19</c:v>
                </c:pt>
                <c:pt idx="2">
                  <c:v>339.64</c:v>
                </c:pt>
                <c:pt idx="3">
                  <c:v>298.26</c:v>
                </c:pt>
                <c:pt idx="4">
                  <c:v>289.10000000000002</c:v>
                </c:pt>
                <c:pt idx="5">
                  <c:v>311.06</c:v>
                </c:pt>
                <c:pt idx="6">
                  <c:v>276.83</c:v>
                </c:pt>
                <c:pt idx="7">
                  <c:v>268.3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31-4E19-98D9-D92F9A6181BB}"/>
            </c:ext>
          </c:extLst>
        </c:ser>
        <c:ser>
          <c:idx val="1"/>
          <c:order val="1"/>
          <c:tx>
            <c:strRef>
              <c:f>Piano_indicatori!$B$88</c:f>
              <c:strCache>
                <c:ptCount val="1"/>
                <c:pt idx="0">
                  <c:v>Media principali Comuni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00B05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Piano_indicatori!$D$1:$K$1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Piano_indicatori!$D$89:$K$89</c:f>
              <c:numCache>
                <c:formatCode>0.00</c:formatCode>
                <c:ptCount val="8"/>
                <c:pt idx="0">
                  <c:v>367.13226833883101</c:v>
                </c:pt>
                <c:pt idx="1">
                  <c:v>350.14826884227551</c:v>
                </c:pt>
                <c:pt idx="2">
                  <c:v>362.58510068602214</c:v>
                </c:pt>
                <c:pt idx="3">
                  <c:v>355.01394750014094</c:v>
                </c:pt>
                <c:pt idx="4">
                  <c:v>354.72657825926274</c:v>
                </c:pt>
                <c:pt idx="5">
                  <c:v>352.25227220007974</c:v>
                </c:pt>
                <c:pt idx="6">
                  <c:v>369.77947768871218</c:v>
                </c:pt>
                <c:pt idx="7">
                  <c:v>368.56431741147844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31-4E19-98D9-D92F9A61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0461648"/>
        <c:axId val="1450473072"/>
      </c:barChart>
      <c:catAx>
        <c:axId val="145046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noFill/>
          </a:ln>
        </c:spPr>
        <c:crossAx val="1450473072"/>
        <c:crosses val="autoZero"/>
        <c:auto val="1"/>
        <c:lblAlgn val="ctr"/>
        <c:lblOffset val="100"/>
        <c:noMultiLvlLbl val="0"/>
      </c:catAx>
      <c:valAx>
        <c:axId val="1450473072"/>
        <c:scaling>
          <c:orientation val="minMax"/>
          <c:max val="380"/>
          <c:min val="0"/>
        </c:scaling>
        <c:delete val="1"/>
        <c:axPos val="l"/>
        <c:numFmt formatCode="0" sourceLinked="0"/>
        <c:majorTickMark val="none"/>
        <c:minorTickMark val="none"/>
        <c:tickLblPos val="none"/>
        <c:crossAx val="1450461648"/>
        <c:crosses val="autoZero"/>
        <c:crossBetween val="between"/>
        <c:majorUnit val="100"/>
      </c:valAx>
      <c:spPr>
        <a:noFill/>
        <a:ln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906781</xdr:colOff>
      <xdr:row>23</xdr:row>
      <xdr:rowOff>137160</xdr:rowOff>
    </xdr:from>
    <xdr:to>
      <xdr:col>8</xdr:col>
      <xdr:colOff>381001</xdr:colOff>
      <xdr:row>47</xdr:row>
      <xdr:rowOff>70484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1097280</xdr:colOff>
      <xdr:row>49</xdr:row>
      <xdr:rowOff>15240</xdr:rowOff>
    </xdr:from>
    <xdr:to>
      <xdr:col>8</xdr:col>
      <xdr:colOff>807720</xdr:colOff>
      <xdr:row>71</xdr:row>
      <xdr:rowOff>62865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30</xdr:row>
      <xdr:rowOff>179069</xdr:rowOff>
    </xdr:from>
    <xdr:to>
      <xdr:col>13</xdr:col>
      <xdr:colOff>521969</xdr:colOff>
      <xdr:row>48</xdr:row>
      <xdr:rowOff>43814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29</xdr:row>
      <xdr:rowOff>38100</xdr:rowOff>
    </xdr:from>
    <xdr:to>
      <xdr:col>7</xdr:col>
      <xdr:colOff>563881</xdr:colOff>
      <xdr:row>49</xdr:row>
      <xdr:rowOff>133350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400050</xdr:colOff>
      <xdr:row>52</xdr:row>
      <xdr:rowOff>85725</xdr:rowOff>
    </xdr:from>
    <xdr:to>
      <xdr:col>7</xdr:col>
      <xdr:colOff>845820</xdr:colOff>
      <xdr:row>74</xdr:row>
      <xdr:rowOff>85725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178</xdr:row>
      <xdr:rowOff>28576</xdr:rowOff>
    </xdr:from>
    <xdr:to>
      <xdr:col>2</xdr:col>
      <xdr:colOff>752475</xdr:colOff>
      <xdr:row>196</xdr:row>
      <xdr:rowOff>180976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552449</xdr:colOff>
      <xdr:row>198</xdr:row>
      <xdr:rowOff>123823</xdr:rowOff>
    </xdr:from>
    <xdr:to>
      <xdr:col>3</xdr:col>
      <xdr:colOff>85724</xdr:colOff>
      <xdr:row>216</xdr:row>
      <xdr:rowOff>104775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218</xdr:row>
      <xdr:rowOff>0</xdr:rowOff>
    </xdr:from>
    <xdr:to>
      <xdr:col>3</xdr:col>
      <xdr:colOff>123825</xdr:colOff>
      <xdr:row>236</xdr:row>
      <xdr:rowOff>152400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94</xdr:row>
      <xdr:rowOff>161924</xdr:rowOff>
    </xdr:from>
    <xdr:to>
      <xdr:col>3</xdr:col>
      <xdr:colOff>123825</xdr:colOff>
      <xdr:row>112</xdr:row>
      <xdr:rowOff>171449</xdr:rowOff>
    </xdr:to>
    <xdr:graphicFrame macro="">
      <xdr:nvGraphicFramePr>
        <xdr:cNvPr id="6" name="Gra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115</xdr:row>
      <xdr:rowOff>142875</xdr:rowOff>
    </xdr:from>
    <xdr:to>
      <xdr:col>3</xdr:col>
      <xdr:colOff>123825</xdr:colOff>
      <xdr:row>133</xdr:row>
      <xdr:rowOff>152400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136</xdr:row>
      <xdr:rowOff>142875</xdr:rowOff>
    </xdr:from>
    <xdr:to>
      <xdr:col>3</xdr:col>
      <xdr:colOff>123825</xdr:colOff>
      <xdr:row>154</xdr:row>
      <xdr:rowOff>9525</xdr:rowOff>
    </xdr:to>
    <xdr:graphicFrame macro="">
      <xdr:nvGraphicFramePr>
        <xdr:cNvPr id="12" name="Gra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157</xdr:row>
      <xdr:rowOff>0</xdr:rowOff>
    </xdr:from>
    <xdr:to>
      <xdr:col>3</xdr:col>
      <xdr:colOff>123825</xdr:colOff>
      <xdr:row>175</xdr:row>
      <xdr:rowOff>9525</xdr:rowOff>
    </xdr:to>
    <xdr:graphicFrame macro="">
      <xdr:nvGraphicFramePr>
        <xdr:cNvPr id="13" name="Gra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12</xdr:row>
      <xdr:rowOff>19049</xdr:rowOff>
    </xdr:from>
    <xdr:to>
      <xdr:col>10</xdr:col>
      <xdr:colOff>419100</xdr:colOff>
      <xdr:row>29</xdr:row>
      <xdr:rowOff>47625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workbookViewId="0">
      <pane xSplit="1" ySplit="2" topLeftCell="P34" activePane="bottomRight" state="frozen"/>
      <selection pane="topRight" activeCell="B1" sqref="B1"/>
      <selection pane="bottomLeft" activeCell="A3" sqref="A3"/>
      <selection pane="bottomRight" activeCell="W3" sqref="W3:X53"/>
    </sheetView>
  </sheetViews>
  <sheetFormatPr defaultRowHeight="14.4" x14ac:dyDescent="0.3"/>
  <cols>
    <col min="1" max="1" width="60.6640625" bestFit="1" customWidth="1"/>
    <col min="2" max="3" width="15.33203125" bestFit="1" customWidth="1"/>
    <col min="4" max="4" width="7.109375" customWidth="1"/>
    <col min="5" max="6" width="15.33203125" bestFit="1" customWidth="1"/>
    <col min="7" max="7" width="7.109375" customWidth="1"/>
    <col min="8" max="9" width="15.33203125" bestFit="1" customWidth="1"/>
    <col min="10" max="10" width="7.109375" customWidth="1"/>
    <col min="11" max="12" width="15.33203125" style="93" bestFit="1" customWidth="1"/>
    <col min="13" max="13" width="7.109375" style="93" customWidth="1"/>
    <col min="14" max="15" width="15.33203125" style="93" bestFit="1" customWidth="1"/>
    <col min="16" max="16" width="7.109375" style="93" customWidth="1"/>
    <col min="17" max="18" width="15.33203125" style="93" bestFit="1" customWidth="1"/>
    <col min="19" max="19" width="7.109375" style="93" customWidth="1"/>
    <col min="20" max="21" width="15.33203125" style="93" bestFit="1" customWidth="1"/>
    <col min="22" max="22" width="7.109375" style="93" customWidth="1"/>
    <col min="23" max="24" width="15.33203125" bestFit="1" customWidth="1"/>
    <col min="25" max="25" width="7.109375" customWidth="1"/>
    <col min="26" max="27" width="8.88671875" style="93"/>
  </cols>
  <sheetData>
    <row r="1" spans="1:27" x14ac:dyDescent="0.3">
      <c r="B1" s="131">
        <v>2016</v>
      </c>
      <c r="C1" s="131"/>
      <c r="D1" s="132"/>
      <c r="E1" s="133">
        <v>2017</v>
      </c>
      <c r="F1" s="134"/>
      <c r="G1" s="135"/>
      <c r="H1" s="133">
        <v>2018</v>
      </c>
      <c r="I1" s="134"/>
      <c r="J1" s="135"/>
      <c r="K1" s="133">
        <v>2019</v>
      </c>
      <c r="L1" s="134"/>
      <c r="M1" s="135"/>
      <c r="N1" s="133">
        <v>2020</v>
      </c>
      <c r="O1" s="134"/>
      <c r="P1" s="135"/>
      <c r="Q1" s="133">
        <v>2021</v>
      </c>
      <c r="R1" s="134"/>
      <c r="S1" s="135"/>
      <c r="T1" s="133">
        <v>2022</v>
      </c>
      <c r="U1" s="134"/>
      <c r="V1" s="135"/>
      <c r="W1" s="133">
        <v>2023</v>
      </c>
      <c r="X1" s="134"/>
      <c r="Y1" s="135"/>
      <c r="Z1" s="130" t="s">
        <v>233</v>
      </c>
      <c r="AA1" s="130"/>
    </row>
    <row r="2" spans="1:27" x14ac:dyDescent="0.3">
      <c r="B2" s="14" t="s">
        <v>73</v>
      </c>
      <c r="C2" s="14" t="s">
        <v>74</v>
      </c>
      <c r="D2" s="15" t="s">
        <v>234</v>
      </c>
      <c r="E2" s="20" t="s">
        <v>73</v>
      </c>
      <c r="F2" s="14" t="s">
        <v>74</v>
      </c>
      <c r="G2" s="15" t="s">
        <v>234</v>
      </c>
      <c r="H2" s="20" t="s">
        <v>73</v>
      </c>
      <c r="I2" s="90" t="s">
        <v>74</v>
      </c>
      <c r="J2" s="91" t="s">
        <v>234</v>
      </c>
      <c r="K2" s="20" t="s">
        <v>73</v>
      </c>
      <c r="L2" s="116" t="s">
        <v>74</v>
      </c>
      <c r="M2" s="117" t="s">
        <v>234</v>
      </c>
      <c r="N2" s="20" t="s">
        <v>73</v>
      </c>
      <c r="O2" s="120" t="s">
        <v>74</v>
      </c>
      <c r="P2" s="121" t="s">
        <v>234</v>
      </c>
      <c r="Q2" s="20" t="s">
        <v>73</v>
      </c>
      <c r="R2" s="123" t="s">
        <v>74</v>
      </c>
      <c r="S2" s="124" t="s">
        <v>234</v>
      </c>
      <c r="T2" s="20" t="s">
        <v>73</v>
      </c>
      <c r="U2" s="127" t="s">
        <v>74</v>
      </c>
      <c r="V2" s="128" t="s">
        <v>234</v>
      </c>
      <c r="W2" s="20" t="s">
        <v>73</v>
      </c>
      <c r="X2" s="14" t="s">
        <v>74</v>
      </c>
      <c r="Y2" s="15" t="s">
        <v>234</v>
      </c>
      <c r="Z2" s="104" t="s">
        <v>73</v>
      </c>
      <c r="AA2" s="104" t="s">
        <v>74</v>
      </c>
    </row>
    <row r="3" spans="1:27" x14ac:dyDescent="0.3">
      <c r="A3" t="s">
        <v>20</v>
      </c>
      <c r="B3" s="102">
        <v>287196197.04000002</v>
      </c>
      <c r="C3" s="102">
        <v>197002890.69</v>
      </c>
      <c r="D3" s="17">
        <f>IF(B3&gt;0,C3/B3*100,"-")</f>
        <v>68.595229574910391</v>
      </c>
      <c r="E3" s="102">
        <v>270619290.24000001</v>
      </c>
      <c r="F3" s="102">
        <v>210914395.80000001</v>
      </c>
      <c r="G3" s="17">
        <f>IF(E3&gt;0,F3/E3*100,"-")</f>
        <v>77.937679761464736</v>
      </c>
      <c r="H3" s="102">
        <v>277624043.87</v>
      </c>
      <c r="I3" s="102">
        <v>212505208.02000001</v>
      </c>
      <c r="J3" s="17">
        <f>IF(H3&gt;0,I3/H3*100,"-")</f>
        <v>76.544237688399747</v>
      </c>
      <c r="K3" s="102">
        <v>261829653.13999999</v>
      </c>
      <c r="L3" s="102">
        <v>200254108.80000001</v>
      </c>
      <c r="M3" s="17">
        <f>IF(K3&gt;0,L3/K3*100,"-")</f>
        <v>76.482593319147242</v>
      </c>
      <c r="N3" s="102">
        <v>260852344.34999999</v>
      </c>
      <c r="O3" s="102">
        <v>187860745.88999999</v>
      </c>
      <c r="P3" s="17">
        <f>IF(N3&gt;0,O3/N3*100,"-")</f>
        <v>72.018040074785318</v>
      </c>
      <c r="Q3" s="102">
        <v>251335136.59999999</v>
      </c>
      <c r="R3" s="102">
        <v>109346202.3</v>
      </c>
      <c r="S3" s="17">
        <f>IF(Q3&gt;0,R3/Q3*100,"-")</f>
        <v>43.506134390602355</v>
      </c>
      <c r="T3" s="102">
        <v>274979054.61000001</v>
      </c>
      <c r="U3" s="102">
        <v>208471206.25999999</v>
      </c>
      <c r="V3" s="17">
        <f>IF(T3&gt;0,U3/T3*100,"-")</f>
        <v>75.813485705546768</v>
      </c>
      <c r="W3" s="102">
        <v>280762790.97000003</v>
      </c>
      <c r="X3" s="102">
        <v>123681055.09999999</v>
      </c>
      <c r="Y3" s="17">
        <f>IF(W3&gt;0,X3/W3*100,"-")</f>
        <v>44.051797131912515</v>
      </c>
      <c r="Z3" s="96">
        <f>IF(T3&gt;0,W3/T3*100-100,"-")</f>
        <v>2.103337058963632</v>
      </c>
      <c r="AA3" s="96">
        <f>IF(U3&gt;0,X3/U3*100-100,"-")</f>
        <v>-40.672355996372886</v>
      </c>
    </row>
    <row r="4" spans="1:27" x14ac:dyDescent="0.3">
      <c r="A4" t="s">
        <v>21</v>
      </c>
      <c r="B4" s="102">
        <v>108939854.08</v>
      </c>
      <c r="C4" s="102">
        <v>99998086.040000007</v>
      </c>
      <c r="D4" s="17">
        <f t="shared" ref="D4:D21" si="0">IF(B4&gt;0,C4/B4*100,"-")</f>
        <v>91.792013936943945</v>
      </c>
      <c r="E4" s="102">
        <v>73627142.370000005</v>
      </c>
      <c r="F4" s="102">
        <v>62395049.740000002</v>
      </c>
      <c r="G4" s="17">
        <f t="shared" ref="G4:G21" si="1">IF(E4&gt;0,F4/E4*100,"-")</f>
        <v>84.744630487551547</v>
      </c>
      <c r="H4" s="102">
        <v>70051112.040000007</v>
      </c>
      <c r="I4" s="102">
        <v>66413763.149999999</v>
      </c>
      <c r="J4" s="17">
        <f t="shared" ref="J4:J13" si="2">IF(H4&gt;0,I4/H4*100,"-")</f>
        <v>94.807578660674167</v>
      </c>
      <c r="K4" s="102">
        <v>93283304.299999997</v>
      </c>
      <c r="L4" s="102">
        <v>81019735.200000003</v>
      </c>
      <c r="M4" s="17">
        <f t="shared" ref="M4:M13" si="3">IF(K4&gt;0,L4/K4*100,"-")</f>
        <v>86.853414775531277</v>
      </c>
      <c r="N4" s="102">
        <v>141723655.84999999</v>
      </c>
      <c r="O4" s="102">
        <v>118602414.78</v>
      </c>
      <c r="P4" s="17">
        <f t="shared" ref="P4:P13" si="4">IF(N4&gt;0,O4/N4*100,"-")</f>
        <v>83.685686816834973</v>
      </c>
      <c r="Q4" s="102">
        <v>178637265.69999999</v>
      </c>
      <c r="R4" s="102">
        <v>71312142.900000006</v>
      </c>
      <c r="S4" s="17">
        <f t="shared" ref="S4:S13" si="5">IF(Q4&gt;0,R4/Q4*100,"-")</f>
        <v>39.920081972011516</v>
      </c>
      <c r="T4" s="102">
        <v>155821662.41</v>
      </c>
      <c r="U4" s="102">
        <v>74457727.299999997</v>
      </c>
      <c r="V4" s="17">
        <f t="shared" ref="V4:V13" si="6">IF(T4&gt;0,U4/T4*100,"-")</f>
        <v>47.783938477107149</v>
      </c>
      <c r="W4" s="102">
        <v>159888603.59999999</v>
      </c>
      <c r="X4" s="102">
        <v>81252200.159999996</v>
      </c>
      <c r="Y4" s="17">
        <f t="shared" ref="Y4:Y21" si="7">IF(W4&gt;0,X4/W4*100,"-")</f>
        <v>50.818005993267676</v>
      </c>
      <c r="Z4" s="96">
        <f t="shared" ref="Z4:AA55" si="8">IF(T4&gt;0,W4/T4*100-100,"-")</f>
        <v>2.6099973053162557</v>
      </c>
      <c r="AA4" s="96">
        <f t="shared" si="8"/>
        <v>9.1252756515440865</v>
      </c>
    </row>
    <row r="5" spans="1:27" x14ac:dyDescent="0.3">
      <c r="A5" t="s">
        <v>22</v>
      </c>
      <c r="B5" s="102">
        <v>58712089.920000002</v>
      </c>
      <c r="C5" s="102">
        <v>12927658.92</v>
      </c>
      <c r="D5" s="17">
        <f t="shared" si="0"/>
        <v>22.018734024993808</v>
      </c>
      <c r="E5" s="102">
        <v>47035154.240000002</v>
      </c>
      <c r="F5" s="102">
        <v>9587285.1099999994</v>
      </c>
      <c r="G5" s="17">
        <f t="shared" si="1"/>
        <v>20.383233062403157</v>
      </c>
      <c r="H5" s="102">
        <v>102906027.56</v>
      </c>
      <c r="I5" s="102">
        <v>15708446.029999999</v>
      </c>
      <c r="J5" s="17">
        <f t="shared" si="2"/>
        <v>15.264845415241679</v>
      </c>
      <c r="K5" s="102">
        <v>64543068.700000003</v>
      </c>
      <c r="L5" s="102">
        <v>18505419.5</v>
      </c>
      <c r="M5" s="17">
        <f t="shared" si="3"/>
        <v>28.671428044449332</v>
      </c>
      <c r="N5" s="102">
        <v>46190315.729999997</v>
      </c>
      <c r="O5" s="102">
        <v>11054462.210000001</v>
      </c>
      <c r="P5" s="17">
        <f t="shared" si="4"/>
        <v>23.932424005537321</v>
      </c>
      <c r="Q5" s="102">
        <v>67581956.299999997</v>
      </c>
      <c r="R5" s="102">
        <v>21216158.899999999</v>
      </c>
      <c r="S5" s="17">
        <f t="shared" si="5"/>
        <v>31.393229881982563</v>
      </c>
      <c r="T5" s="102">
        <v>50503887.630000003</v>
      </c>
      <c r="U5" s="102">
        <v>13056847.300000001</v>
      </c>
      <c r="V5" s="17">
        <f t="shared" si="6"/>
        <v>25.853152920932871</v>
      </c>
      <c r="W5" s="102">
        <v>64402216.859999999</v>
      </c>
      <c r="X5" s="102">
        <v>21128316.789999999</v>
      </c>
      <c r="Y5" s="17">
        <f t="shared" si="7"/>
        <v>32.806816007482389</v>
      </c>
      <c r="Z5" s="96">
        <f t="shared" si="8"/>
        <v>27.519325505833336</v>
      </c>
      <c r="AA5" s="96">
        <f t="shared" si="8"/>
        <v>61.817905230460923</v>
      </c>
    </row>
    <row r="6" spans="1:27" x14ac:dyDescent="0.3">
      <c r="A6" t="s">
        <v>23</v>
      </c>
      <c r="B6" s="102">
        <v>953227</v>
      </c>
      <c r="C6" s="102">
        <v>837500</v>
      </c>
      <c r="D6" s="17">
        <f t="shared" si="0"/>
        <v>87.859450057541395</v>
      </c>
      <c r="E6" s="102">
        <v>674700</v>
      </c>
      <c r="F6" s="102">
        <v>674700</v>
      </c>
      <c r="G6" s="17">
        <f t="shared" si="1"/>
        <v>100</v>
      </c>
      <c r="H6" s="102">
        <v>1027364</v>
      </c>
      <c r="I6" s="102">
        <v>724300</v>
      </c>
      <c r="J6" s="17">
        <f t="shared" si="2"/>
        <v>70.500815679739603</v>
      </c>
      <c r="K6" s="102">
        <v>481500</v>
      </c>
      <c r="L6" s="102">
        <v>481500</v>
      </c>
      <c r="M6" s="17">
        <f t="shared" si="3"/>
        <v>100</v>
      </c>
      <c r="N6" s="102">
        <v>417200</v>
      </c>
      <c r="O6" s="102">
        <v>417200</v>
      </c>
      <c r="P6" s="17">
        <f t="shared" si="4"/>
        <v>100</v>
      </c>
      <c r="Q6" s="102">
        <v>623900</v>
      </c>
      <c r="R6" s="102">
        <v>623900</v>
      </c>
      <c r="S6" s="17">
        <f t="shared" si="5"/>
        <v>100</v>
      </c>
      <c r="T6" s="102">
        <v>128800</v>
      </c>
      <c r="U6" s="102">
        <v>128800</v>
      </c>
      <c r="V6" s="17">
        <f t="shared" si="6"/>
        <v>100</v>
      </c>
      <c r="W6" s="102">
        <v>0</v>
      </c>
      <c r="X6" s="102">
        <v>0</v>
      </c>
      <c r="Y6" s="17" t="str">
        <f t="shared" si="7"/>
        <v>-</v>
      </c>
      <c r="Z6" s="96">
        <f t="shared" si="8"/>
        <v>-100</v>
      </c>
      <c r="AA6" s="96">
        <f t="shared" si="8"/>
        <v>-100</v>
      </c>
    </row>
    <row r="7" spans="1:27" x14ac:dyDescent="0.3">
      <c r="A7" t="s">
        <v>24</v>
      </c>
      <c r="B7" s="102">
        <v>15420984.390000001</v>
      </c>
      <c r="C7" s="102">
        <v>1848678.52</v>
      </c>
      <c r="D7" s="17">
        <f t="shared" si="0"/>
        <v>11.988070756357208</v>
      </c>
      <c r="E7" s="102">
        <v>18139961.210000001</v>
      </c>
      <c r="F7" s="102">
        <v>1326753.6299999999</v>
      </c>
      <c r="G7" s="17">
        <f t="shared" si="1"/>
        <v>7.3139827292938291</v>
      </c>
      <c r="H7" s="102">
        <v>16704536.76</v>
      </c>
      <c r="I7" s="102">
        <v>9021203.2599999998</v>
      </c>
      <c r="J7" s="17">
        <f t="shared" si="2"/>
        <v>54.004510209476763</v>
      </c>
      <c r="K7" s="102">
        <v>14828175.199999999</v>
      </c>
      <c r="L7" s="102">
        <v>6577146</v>
      </c>
      <c r="M7" s="17">
        <f t="shared" si="3"/>
        <v>44.355734345518123</v>
      </c>
      <c r="N7" s="102">
        <v>98042475.469999999</v>
      </c>
      <c r="O7" s="102">
        <v>18452384.210000001</v>
      </c>
      <c r="P7" s="17">
        <f t="shared" si="4"/>
        <v>18.820806106274055</v>
      </c>
      <c r="Q7" s="102">
        <v>76395684.599999994</v>
      </c>
      <c r="R7" s="102">
        <v>9563549.4000000004</v>
      </c>
      <c r="S7" s="17">
        <f t="shared" si="5"/>
        <v>12.51844191209722</v>
      </c>
      <c r="T7" s="102">
        <v>147421150.21000001</v>
      </c>
      <c r="U7" s="102">
        <v>32978103.23</v>
      </c>
      <c r="V7" s="17">
        <f t="shared" si="6"/>
        <v>22.369994524546179</v>
      </c>
      <c r="W7" s="102">
        <v>35341103.880000003</v>
      </c>
      <c r="X7" s="102">
        <v>17886656.039999999</v>
      </c>
      <c r="Y7" s="17">
        <f t="shared" si="7"/>
        <v>50.611480899786763</v>
      </c>
      <c r="Z7" s="96">
        <f t="shared" si="8"/>
        <v>-76.027114271149742</v>
      </c>
      <c r="AA7" s="96">
        <f t="shared" si="8"/>
        <v>-45.762023014930087</v>
      </c>
    </row>
    <row r="8" spans="1:27" x14ac:dyDescent="0.3">
      <c r="A8" t="s">
        <v>25</v>
      </c>
      <c r="B8" s="102">
        <v>0</v>
      </c>
      <c r="C8" s="102">
        <v>0</v>
      </c>
      <c r="D8" s="17" t="str">
        <f t="shared" si="0"/>
        <v>-</v>
      </c>
      <c r="E8" s="102">
        <v>36000</v>
      </c>
      <c r="F8" s="102">
        <v>0</v>
      </c>
      <c r="G8" s="17">
        <f t="shared" si="1"/>
        <v>0</v>
      </c>
      <c r="H8" s="102">
        <v>15965.24</v>
      </c>
      <c r="I8" s="102">
        <v>0</v>
      </c>
      <c r="J8" s="17">
        <f t="shared" si="2"/>
        <v>0</v>
      </c>
      <c r="K8" s="102">
        <v>31354</v>
      </c>
      <c r="L8" s="102">
        <v>0</v>
      </c>
      <c r="M8" s="17">
        <f t="shared" si="3"/>
        <v>0</v>
      </c>
      <c r="N8" s="102">
        <v>0</v>
      </c>
      <c r="O8" s="102">
        <v>0</v>
      </c>
      <c r="P8" s="17" t="str">
        <f t="shared" si="4"/>
        <v>-</v>
      </c>
      <c r="Q8" s="102">
        <v>0</v>
      </c>
      <c r="R8" s="102">
        <v>0</v>
      </c>
      <c r="S8" s="17" t="str">
        <f t="shared" si="5"/>
        <v>-</v>
      </c>
      <c r="T8" s="102">
        <v>0</v>
      </c>
      <c r="U8" s="102">
        <v>0</v>
      </c>
      <c r="V8" s="17" t="str">
        <f t="shared" si="6"/>
        <v>-</v>
      </c>
      <c r="W8" s="102">
        <v>0</v>
      </c>
      <c r="X8" s="102">
        <v>0</v>
      </c>
      <c r="Y8" s="17" t="str">
        <f t="shared" si="7"/>
        <v>-</v>
      </c>
      <c r="Z8" s="96" t="str">
        <f t="shared" si="8"/>
        <v>-</v>
      </c>
      <c r="AA8" s="96" t="str">
        <f t="shared" si="8"/>
        <v>-</v>
      </c>
    </row>
    <row r="9" spans="1:27" x14ac:dyDescent="0.3">
      <c r="A9" t="s">
        <v>26</v>
      </c>
      <c r="B9" s="102">
        <v>37932537.049999997</v>
      </c>
      <c r="C9" s="102">
        <v>119949.69</v>
      </c>
      <c r="D9" s="17">
        <f t="shared" si="0"/>
        <v>0.31621847450353974</v>
      </c>
      <c r="E9" s="102">
        <v>2873835.42</v>
      </c>
      <c r="F9" s="102">
        <v>412097.8</v>
      </c>
      <c r="G9" s="17">
        <f t="shared" si="1"/>
        <v>14.339645100483869</v>
      </c>
      <c r="H9" s="102">
        <v>687944.26</v>
      </c>
      <c r="I9" s="102">
        <v>624925.92000000004</v>
      </c>
      <c r="J9" s="17">
        <f t="shared" si="2"/>
        <v>90.839615407213373</v>
      </c>
      <c r="K9" s="102">
        <v>0</v>
      </c>
      <c r="L9" s="102">
        <v>0</v>
      </c>
      <c r="M9" s="17" t="str">
        <f t="shared" si="3"/>
        <v>-</v>
      </c>
      <c r="N9" s="102">
        <v>0</v>
      </c>
      <c r="O9" s="102">
        <v>0</v>
      </c>
      <c r="P9" s="17" t="str">
        <f t="shared" si="4"/>
        <v>-</v>
      </c>
      <c r="Q9" s="102">
        <v>0</v>
      </c>
      <c r="R9" s="102">
        <v>0</v>
      </c>
      <c r="S9" s="17" t="str">
        <f t="shared" si="5"/>
        <v>-</v>
      </c>
      <c r="T9" s="102">
        <v>0</v>
      </c>
      <c r="U9" s="102">
        <v>0</v>
      </c>
      <c r="V9" s="17" t="str">
        <f t="shared" si="6"/>
        <v>-</v>
      </c>
      <c r="W9" s="102">
        <v>0</v>
      </c>
      <c r="X9" s="102">
        <v>0</v>
      </c>
      <c r="Y9" s="17" t="str">
        <f t="shared" si="7"/>
        <v>-</v>
      </c>
      <c r="Z9" s="96" t="str">
        <f t="shared" si="8"/>
        <v>-</v>
      </c>
      <c r="AA9" s="96" t="str">
        <f t="shared" si="8"/>
        <v>-</v>
      </c>
    </row>
    <row r="10" spans="1:27" x14ac:dyDescent="0.3">
      <c r="A10" t="s">
        <v>27</v>
      </c>
      <c r="B10" s="102">
        <v>2350377.09</v>
      </c>
      <c r="C10" s="102">
        <v>817843.46</v>
      </c>
      <c r="D10" s="17">
        <f t="shared" si="0"/>
        <v>34.796265819626413</v>
      </c>
      <c r="E10" s="102">
        <v>3090666.37</v>
      </c>
      <c r="F10" s="102">
        <v>3090666.37</v>
      </c>
      <c r="G10" s="17">
        <f t="shared" si="1"/>
        <v>100</v>
      </c>
      <c r="H10" s="102">
        <v>3384843.3</v>
      </c>
      <c r="I10" s="102">
        <v>2585291.08</v>
      </c>
      <c r="J10" s="17">
        <f t="shared" si="2"/>
        <v>76.378456869775917</v>
      </c>
      <c r="K10" s="102">
        <v>1717548.8</v>
      </c>
      <c r="L10" s="102">
        <v>1717548.8</v>
      </c>
      <c r="M10" s="17">
        <f t="shared" si="3"/>
        <v>100</v>
      </c>
      <c r="N10" s="102">
        <v>3102589.01</v>
      </c>
      <c r="O10" s="102">
        <v>3102589.01</v>
      </c>
      <c r="P10" s="17">
        <f t="shared" si="4"/>
        <v>100</v>
      </c>
      <c r="Q10" s="102">
        <v>4811599.9000000004</v>
      </c>
      <c r="R10" s="102">
        <v>4791085.3</v>
      </c>
      <c r="S10" s="17">
        <f t="shared" si="5"/>
        <v>99.573642854219841</v>
      </c>
      <c r="T10" s="102">
        <v>6239915.5700000003</v>
      </c>
      <c r="U10" s="102">
        <v>4205026.5599999996</v>
      </c>
      <c r="V10" s="17">
        <f t="shared" si="6"/>
        <v>67.389157959392051</v>
      </c>
      <c r="W10" s="102">
        <v>3035530.86</v>
      </c>
      <c r="X10" s="102">
        <v>2197953.87</v>
      </c>
      <c r="Y10" s="17">
        <f t="shared" si="7"/>
        <v>72.407561358147419</v>
      </c>
      <c r="Z10" s="96">
        <f t="shared" si="8"/>
        <v>-51.353013899833911</v>
      </c>
      <c r="AA10" s="96">
        <f t="shared" si="8"/>
        <v>-47.730321351406623</v>
      </c>
    </row>
    <row r="11" spans="1:27" x14ac:dyDescent="0.3">
      <c r="A11" t="s">
        <v>28</v>
      </c>
      <c r="B11" s="102">
        <v>0</v>
      </c>
      <c r="C11" s="102">
        <v>0</v>
      </c>
      <c r="D11" s="17" t="str">
        <f t="shared" si="0"/>
        <v>-</v>
      </c>
      <c r="E11" s="102">
        <v>0</v>
      </c>
      <c r="F11" s="102">
        <v>0</v>
      </c>
      <c r="G11" s="17" t="str">
        <f t="shared" si="1"/>
        <v>-</v>
      </c>
      <c r="H11" s="102">
        <v>0</v>
      </c>
      <c r="I11" s="102">
        <v>0</v>
      </c>
      <c r="J11" s="17" t="str">
        <f t="shared" si="2"/>
        <v>-</v>
      </c>
      <c r="K11" s="102">
        <v>0</v>
      </c>
      <c r="L11" s="102">
        <v>0</v>
      </c>
      <c r="M11" s="17" t="str">
        <f t="shared" si="3"/>
        <v>-</v>
      </c>
      <c r="N11" s="102">
        <v>0</v>
      </c>
      <c r="O11" s="102">
        <v>0</v>
      </c>
      <c r="P11" s="17" t="str">
        <f t="shared" si="4"/>
        <v>-</v>
      </c>
      <c r="Q11" s="102">
        <v>0</v>
      </c>
      <c r="R11" s="102">
        <v>0</v>
      </c>
      <c r="S11" s="17" t="str">
        <f t="shared" si="5"/>
        <v>-</v>
      </c>
      <c r="T11" s="102">
        <v>0</v>
      </c>
      <c r="U11" s="102">
        <v>0</v>
      </c>
      <c r="V11" s="17" t="str">
        <f t="shared" si="6"/>
        <v>-</v>
      </c>
      <c r="W11" s="102">
        <v>0</v>
      </c>
      <c r="X11" s="102">
        <v>0</v>
      </c>
      <c r="Y11" s="17" t="str">
        <f t="shared" si="7"/>
        <v>-</v>
      </c>
      <c r="Z11" s="96" t="str">
        <f t="shared" si="8"/>
        <v>-</v>
      </c>
      <c r="AA11" s="96" t="str">
        <f t="shared" si="8"/>
        <v>-</v>
      </c>
    </row>
    <row r="12" spans="1:27" x14ac:dyDescent="0.3">
      <c r="A12" t="s">
        <v>29</v>
      </c>
      <c r="B12" s="102">
        <v>0</v>
      </c>
      <c r="C12" s="102">
        <v>0</v>
      </c>
      <c r="D12" s="17" t="str">
        <f t="shared" si="0"/>
        <v>-</v>
      </c>
      <c r="E12" s="102">
        <v>0</v>
      </c>
      <c r="F12" s="102">
        <v>0</v>
      </c>
      <c r="G12" s="17" t="str">
        <f t="shared" si="1"/>
        <v>-</v>
      </c>
      <c r="H12" s="102">
        <v>0</v>
      </c>
      <c r="I12" s="102">
        <v>0</v>
      </c>
      <c r="J12" s="17" t="str">
        <f t="shared" si="2"/>
        <v>-</v>
      </c>
      <c r="K12" s="102">
        <v>0</v>
      </c>
      <c r="L12" s="102">
        <v>0</v>
      </c>
      <c r="M12" s="17" t="str">
        <f t="shared" si="3"/>
        <v>-</v>
      </c>
      <c r="N12" s="102">
        <v>0</v>
      </c>
      <c r="O12" s="102">
        <v>0</v>
      </c>
      <c r="P12" s="17" t="str">
        <f t="shared" si="4"/>
        <v>-</v>
      </c>
      <c r="Q12" s="102">
        <v>0</v>
      </c>
      <c r="R12" s="102">
        <v>0</v>
      </c>
      <c r="S12" s="17" t="str">
        <f t="shared" si="5"/>
        <v>-</v>
      </c>
      <c r="T12" s="102">
        <v>0</v>
      </c>
      <c r="U12" s="102">
        <v>0</v>
      </c>
      <c r="V12" s="17" t="str">
        <f t="shared" si="6"/>
        <v>-</v>
      </c>
      <c r="W12" s="102">
        <v>0</v>
      </c>
      <c r="X12" s="102">
        <v>0</v>
      </c>
      <c r="Y12" s="17" t="str">
        <f t="shared" si="7"/>
        <v>-</v>
      </c>
      <c r="Z12" s="96" t="str">
        <f t="shared" si="8"/>
        <v>-</v>
      </c>
      <c r="AA12" s="96" t="str">
        <f t="shared" si="8"/>
        <v>-</v>
      </c>
    </row>
    <row r="13" spans="1:27" x14ac:dyDescent="0.3">
      <c r="A13" t="s">
        <v>30</v>
      </c>
      <c r="B13" s="102">
        <v>0</v>
      </c>
      <c r="C13" s="102">
        <v>0</v>
      </c>
      <c r="D13" s="17" t="str">
        <f t="shared" si="0"/>
        <v>-</v>
      </c>
      <c r="E13" s="102">
        <v>0</v>
      </c>
      <c r="F13" s="102">
        <v>0</v>
      </c>
      <c r="G13" s="17" t="str">
        <f t="shared" si="1"/>
        <v>-</v>
      </c>
      <c r="H13" s="102">
        <v>0</v>
      </c>
      <c r="I13" s="102">
        <v>0</v>
      </c>
      <c r="J13" s="17" t="str">
        <f t="shared" si="2"/>
        <v>-</v>
      </c>
      <c r="K13" s="102">
        <v>0</v>
      </c>
      <c r="L13" s="102">
        <v>0</v>
      </c>
      <c r="M13" s="17" t="str">
        <f t="shared" si="3"/>
        <v>-</v>
      </c>
      <c r="N13" s="102">
        <v>0</v>
      </c>
      <c r="O13" s="102">
        <v>0</v>
      </c>
      <c r="P13" s="17" t="str">
        <f t="shared" si="4"/>
        <v>-</v>
      </c>
      <c r="Q13" s="102">
        <v>0</v>
      </c>
      <c r="R13" s="102">
        <v>0</v>
      </c>
      <c r="S13" s="17" t="str">
        <f t="shared" si="5"/>
        <v>-</v>
      </c>
      <c r="T13" s="102">
        <v>0</v>
      </c>
      <c r="U13" s="102">
        <v>0</v>
      </c>
      <c r="V13" s="17" t="str">
        <f t="shared" si="6"/>
        <v>-</v>
      </c>
      <c r="W13" s="102">
        <v>0</v>
      </c>
      <c r="X13" s="102">
        <v>0</v>
      </c>
      <c r="Y13" s="17" t="str">
        <f t="shared" si="7"/>
        <v>-</v>
      </c>
      <c r="Z13" s="96" t="str">
        <f t="shared" si="8"/>
        <v>-</v>
      </c>
      <c r="AA13" s="96" t="str">
        <f t="shared" si="8"/>
        <v>-</v>
      </c>
    </row>
    <row r="14" spans="1:27" x14ac:dyDescent="0.3">
      <c r="A14" t="s">
        <v>31</v>
      </c>
      <c r="B14" s="102">
        <f t="shared" ref="B14:C14" si="9">SUM(B3:B5)</f>
        <v>454848141.04000002</v>
      </c>
      <c r="C14" s="102">
        <f t="shared" si="9"/>
        <v>309928635.65000004</v>
      </c>
      <c r="D14" s="17">
        <f>IF(B14&gt;0,C14/B14*100,"-")</f>
        <v>68.138925431541878</v>
      </c>
      <c r="E14" s="102">
        <f t="shared" ref="E14:F14" si="10">SUM(E3:E5)</f>
        <v>391281586.85000002</v>
      </c>
      <c r="F14" s="102">
        <f t="shared" si="10"/>
        <v>282896730.65000004</v>
      </c>
      <c r="G14" s="17">
        <f>IF(E14&gt;0,F14/E14*100,"-")</f>
        <v>72.30003663792391</v>
      </c>
      <c r="H14" s="102">
        <f t="shared" ref="H14:I14" si="11">SUM(H3:H5)</f>
        <v>450581183.47000003</v>
      </c>
      <c r="I14" s="102">
        <f t="shared" si="11"/>
        <v>294627417.19999999</v>
      </c>
      <c r="J14" s="17">
        <f t="shared" ref="J14:J21" si="12">IF(H14&gt;0,I14/H14*100,"-")</f>
        <v>65.388309145762733</v>
      </c>
      <c r="K14" s="102">
        <f t="shared" ref="K14:L14" si="13">SUM(K3:K5)</f>
        <v>419656026.13999999</v>
      </c>
      <c r="L14" s="102">
        <f t="shared" si="13"/>
        <v>299779263.5</v>
      </c>
      <c r="M14" s="17">
        <f>IF(K14&gt;0,L14/K14*100,"-")</f>
        <v>71.434518945759564</v>
      </c>
      <c r="N14" s="102">
        <f t="shared" ref="N14:O14" si="14">SUM(N3:N5)</f>
        <v>448766315.93000001</v>
      </c>
      <c r="O14" s="102">
        <f t="shared" si="14"/>
        <v>317517622.87999994</v>
      </c>
      <c r="P14" s="17">
        <f>IF(N14&gt;0,O14/N14*100,"-")</f>
        <v>70.753443743208067</v>
      </c>
      <c r="Q14" s="102">
        <f t="shared" ref="Q14:R14" si="15">SUM(Q3:Q5)</f>
        <v>497554358.59999996</v>
      </c>
      <c r="R14" s="102">
        <f t="shared" si="15"/>
        <v>201874504.09999999</v>
      </c>
      <c r="S14" s="17">
        <f>IF(Q14&gt;0,R14/Q14*100,"-")</f>
        <v>40.573356581183809</v>
      </c>
      <c r="T14" s="102">
        <f t="shared" ref="T14:U14" si="16">SUM(T3:T5)</f>
        <v>481304604.64999998</v>
      </c>
      <c r="U14" s="102">
        <f t="shared" si="16"/>
        <v>295985780.86000001</v>
      </c>
      <c r="V14" s="17">
        <f>IF(T14&gt;0,U14/T14*100,"-")</f>
        <v>61.49656122139907</v>
      </c>
      <c r="W14" s="102">
        <f t="shared" ref="W14:X14" si="17">SUM(W3:W5)</f>
        <v>505053611.43000007</v>
      </c>
      <c r="X14" s="102">
        <f t="shared" si="17"/>
        <v>226061572.04999998</v>
      </c>
      <c r="Y14" s="17">
        <f>IF(W14&gt;0,X14/W14*100,"-")</f>
        <v>44.759915964155397</v>
      </c>
      <c r="Z14" s="96">
        <f t="shared" si="8"/>
        <v>4.9342986853969819</v>
      </c>
      <c r="AA14" s="96">
        <f t="shared" si="8"/>
        <v>-23.624178366552641</v>
      </c>
    </row>
    <row r="15" spans="1:27" x14ac:dyDescent="0.3">
      <c r="A15" t="s">
        <v>32</v>
      </c>
      <c r="B15" s="101">
        <f t="shared" ref="B15:C15" si="18">SUM(B6:B10)</f>
        <v>56657125.530000001</v>
      </c>
      <c r="C15" s="101">
        <f t="shared" si="18"/>
        <v>3623971.67</v>
      </c>
      <c r="D15" s="17">
        <f>IF(B15&gt;0,C15/B15*100,"-")</f>
        <v>6.396321091300516</v>
      </c>
      <c r="E15" s="101">
        <f t="shared" ref="E15:F15" si="19">SUM(E6:E10)</f>
        <v>24815163.000000004</v>
      </c>
      <c r="F15" s="101">
        <f t="shared" si="19"/>
        <v>5504217.7999999998</v>
      </c>
      <c r="G15" s="17">
        <f>IF(E15&gt;0,F15/E15*100,"-")</f>
        <v>22.180864981624335</v>
      </c>
      <c r="H15" s="101">
        <f t="shared" ref="H15:I15" si="20">SUM(H6:H10)</f>
        <v>21820653.559999999</v>
      </c>
      <c r="I15" s="101">
        <f t="shared" si="20"/>
        <v>12955720.26</v>
      </c>
      <c r="J15" s="17">
        <f t="shared" si="12"/>
        <v>59.373658192115123</v>
      </c>
      <c r="K15" s="101">
        <f t="shared" ref="K15:L15" si="21">SUM(K6:K10)</f>
        <v>17058578</v>
      </c>
      <c r="L15" s="101">
        <f t="shared" si="21"/>
        <v>8776194.8000000007</v>
      </c>
      <c r="M15" s="17">
        <f>IF(K15&gt;0,L15/K15*100,"-")</f>
        <v>51.447399660159256</v>
      </c>
      <c r="N15" s="101">
        <f t="shared" ref="N15:O15" si="22">SUM(N6:N10)</f>
        <v>101562264.48</v>
      </c>
      <c r="O15" s="101">
        <f t="shared" si="22"/>
        <v>21972173.219999999</v>
      </c>
      <c r="P15" s="17">
        <f>IF(N15&gt;0,O15/N15*100,"-")</f>
        <v>21.634189954800423</v>
      </c>
      <c r="Q15" s="101">
        <f t="shared" ref="Q15:R15" si="23">SUM(Q6:Q10)</f>
        <v>81831184.5</v>
      </c>
      <c r="R15" s="101">
        <f t="shared" si="23"/>
        <v>14978534.699999999</v>
      </c>
      <c r="S15" s="17">
        <f>IF(Q15&gt;0,R15/Q15*100,"-")</f>
        <v>18.30418903443833</v>
      </c>
      <c r="T15" s="101">
        <f t="shared" ref="T15:U15" si="24">SUM(T6:T10)</f>
        <v>153789865.78</v>
      </c>
      <c r="U15" s="101">
        <f t="shared" si="24"/>
        <v>37311929.789999999</v>
      </c>
      <c r="V15" s="17">
        <f>IF(T15&gt;0,U15/T15*100,"-")</f>
        <v>24.261631025399026</v>
      </c>
      <c r="W15" s="101">
        <f t="shared" ref="W15:X15" si="25">SUM(W6:W10)</f>
        <v>38376634.740000002</v>
      </c>
      <c r="X15" s="101">
        <f t="shared" si="25"/>
        <v>20084609.91</v>
      </c>
      <c r="Y15" s="17">
        <f>IF(W15&gt;0,X15/W15*100,"-")</f>
        <v>52.335516248551606</v>
      </c>
      <c r="Z15" s="96">
        <f t="shared" si="8"/>
        <v>-75.046057459404594</v>
      </c>
      <c r="AA15" s="96">
        <f t="shared" si="8"/>
        <v>-46.171077124553086</v>
      </c>
    </row>
    <row r="16" spans="1:27" x14ac:dyDescent="0.3">
      <c r="A16" t="s">
        <v>33</v>
      </c>
      <c r="B16" s="102">
        <f t="shared" ref="B16:C16" si="26">SUM(B11:B13)</f>
        <v>0</v>
      </c>
      <c r="C16" s="102">
        <f t="shared" si="26"/>
        <v>0</v>
      </c>
      <c r="D16" s="17" t="str">
        <f t="shared" si="0"/>
        <v>-</v>
      </c>
      <c r="E16" s="102">
        <f t="shared" ref="E16:F16" si="27">SUM(E11:E13)</f>
        <v>0</v>
      </c>
      <c r="F16" s="102">
        <f t="shared" si="27"/>
        <v>0</v>
      </c>
      <c r="G16" s="17" t="str">
        <f t="shared" si="1"/>
        <v>-</v>
      </c>
      <c r="H16" s="102">
        <f t="shared" ref="H16:I16" si="28">SUM(H11:H13)</f>
        <v>0</v>
      </c>
      <c r="I16" s="102">
        <f t="shared" si="28"/>
        <v>0</v>
      </c>
      <c r="J16" s="17" t="str">
        <f t="shared" si="12"/>
        <v>-</v>
      </c>
      <c r="K16" s="102">
        <f t="shared" ref="K16:L16" si="29">SUM(K11:K13)</f>
        <v>0</v>
      </c>
      <c r="L16" s="102">
        <f t="shared" si="29"/>
        <v>0</v>
      </c>
      <c r="M16" s="17" t="str">
        <f t="shared" ref="M16:M21" si="30">IF(K16&gt;0,L16/K16*100,"-")</f>
        <v>-</v>
      </c>
      <c r="N16" s="102">
        <f t="shared" ref="N16:O16" si="31">SUM(N11:N13)</f>
        <v>0</v>
      </c>
      <c r="O16" s="102">
        <f t="shared" si="31"/>
        <v>0</v>
      </c>
      <c r="P16" s="17" t="str">
        <f t="shared" ref="P16:P21" si="32">IF(N16&gt;0,O16/N16*100,"-")</f>
        <v>-</v>
      </c>
      <c r="Q16" s="102">
        <f t="shared" ref="Q16:R16" si="33">SUM(Q11:Q13)</f>
        <v>0</v>
      </c>
      <c r="R16" s="102">
        <f t="shared" si="33"/>
        <v>0</v>
      </c>
      <c r="S16" s="17" t="str">
        <f t="shared" ref="S16:S21" si="34">IF(Q16&gt;0,R16/Q16*100,"-")</f>
        <v>-</v>
      </c>
      <c r="T16" s="102">
        <f t="shared" ref="T16:U16" si="35">SUM(T11:T13)</f>
        <v>0</v>
      </c>
      <c r="U16" s="102">
        <f t="shared" si="35"/>
        <v>0</v>
      </c>
      <c r="V16" s="17" t="str">
        <f t="shared" ref="V16:V21" si="36">IF(T16&gt;0,U16/T16*100,"-")</f>
        <v>-</v>
      </c>
      <c r="W16" s="102">
        <f t="shared" ref="W16:X16" si="37">SUM(W11:W13)</f>
        <v>0</v>
      </c>
      <c r="X16" s="102">
        <f t="shared" si="37"/>
        <v>0</v>
      </c>
      <c r="Y16" s="17" t="str">
        <f t="shared" si="7"/>
        <v>-</v>
      </c>
      <c r="Z16" s="96" t="str">
        <f t="shared" si="8"/>
        <v>-</v>
      </c>
      <c r="AA16" s="96" t="str">
        <f t="shared" si="8"/>
        <v>-</v>
      </c>
    </row>
    <row r="17" spans="1:27" x14ac:dyDescent="0.3">
      <c r="A17" t="s">
        <v>34</v>
      </c>
      <c r="B17" s="102">
        <v>0</v>
      </c>
      <c r="C17" s="102">
        <v>0</v>
      </c>
      <c r="D17" s="17" t="str">
        <f t="shared" si="0"/>
        <v>-</v>
      </c>
      <c r="E17" s="102">
        <v>0</v>
      </c>
      <c r="F17" s="102">
        <v>0</v>
      </c>
      <c r="G17" s="17" t="str">
        <f t="shared" si="1"/>
        <v>-</v>
      </c>
      <c r="H17" s="102">
        <v>0</v>
      </c>
      <c r="I17" s="102">
        <v>0</v>
      </c>
      <c r="J17" s="17" t="str">
        <f t="shared" si="12"/>
        <v>-</v>
      </c>
      <c r="K17" s="102">
        <v>0</v>
      </c>
      <c r="L17" s="102">
        <v>0</v>
      </c>
      <c r="M17" s="17" t="str">
        <f t="shared" si="30"/>
        <v>-</v>
      </c>
      <c r="N17" s="16">
        <v>10951791.789999999</v>
      </c>
      <c r="O17" s="16">
        <v>10951791.789999999</v>
      </c>
      <c r="P17" s="17">
        <f t="shared" si="32"/>
        <v>100</v>
      </c>
      <c r="Q17" s="16">
        <v>0</v>
      </c>
      <c r="R17" s="16">
        <v>0</v>
      </c>
      <c r="S17" s="17" t="str">
        <f t="shared" si="34"/>
        <v>-</v>
      </c>
      <c r="T17" s="16">
        <v>0</v>
      </c>
      <c r="U17" s="16">
        <v>0</v>
      </c>
      <c r="V17" s="17" t="str">
        <f t="shared" si="36"/>
        <v>-</v>
      </c>
      <c r="W17" s="16">
        <v>0</v>
      </c>
      <c r="X17" s="16">
        <v>0</v>
      </c>
      <c r="Y17" s="17" t="str">
        <f t="shared" si="7"/>
        <v>-</v>
      </c>
      <c r="Z17" s="96" t="str">
        <f t="shared" si="8"/>
        <v>-</v>
      </c>
      <c r="AA17" s="96" t="str">
        <f t="shared" si="8"/>
        <v>-</v>
      </c>
    </row>
    <row r="18" spans="1:27" x14ac:dyDescent="0.3">
      <c r="A18" t="s">
        <v>35</v>
      </c>
      <c r="B18" s="102">
        <v>400691924.07999998</v>
      </c>
      <c r="C18" s="102">
        <v>400691924.07999998</v>
      </c>
      <c r="D18" s="17">
        <f t="shared" si="0"/>
        <v>100</v>
      </c>
      <c r="E18" s="102">
        <v>473507435.88</v>
      </c>
      <c r="F18" s="102">
        <v>473507435.88</v>
      </c>
      <c r="G18" s="17">
        <f t="shared" si="1"/>
        <v>100</v>
      </c>
      <c r="H18" s="102">
        <v>351152641.89999998</v>
      </c>
      <c r="I18" s="102">
        <v>351152641.89999998</v>
      </c>
      <c r="J18" s="17">
        <f t="shared" si="12"/>
        <v>100</v>
      </c>
      <c r="K18" s="102">
        <v>324941805.68000001</v>
      </c>
      <c r="L18" s="102">
        <v>324941805.68000001</v>
      </c>
      <c r="M18" s="17">
        <f t="shared" si="30"/>
        <v>100</v>
      </c>
      <c r="N18" s="102">
        <v>414310883.48000002</v>
      </c>
      <c r="O18" s="102">
        <v>414310883.48000002</v>
      </c>
      <c r="P18" s="17">
        <f t="shared" si="32"/>
        <v>100</v>
      </c>
      <c r="Q18" s="102">
        <v>319042651.10000002</v>
      </c>
      <c r="R18" s="102">
        <v>319042651.10000002</v>
      </c>
      <c r="S18" s="17">
        <f t="shared" si="34"/>
        <v>100</v>
      </c>
      <c r="T18" s="102">
        <v>203517535.65000001</v>
      </c>
      <c r="U18" s="102">
        <v>203517535.65000001</v>
      </c>
      <c r="V18" s="17">
        <f t="shared" si="36"/>
        <v>100</v>
      </c>
      <c r="W18" s="102">
        <v>0</v>
      </c>
      <c r="X18" s="102">
        <v>0</v>
      </c>
      <c r="Y18" s="17" t="str">
        <f t="shared" si="7"/>
        <v>-</v>
      </c>
      <c r="Z18" s="96">
        <f t="shared" si="8"/>
        <v>-100</v>
      </c>
      <c r="AA18" s="96">
        <f t="shared" si="8"/>
        <v>-100</v>
      </c>
    </row>
    <row r="19" spans="1:27" x14ac:dyDescent="0.3">
      <c r="A19" t="s">
        <v>36</v>
      </c>
      <c r="B19" s="102">
        <v>465083835.61000001</v>
      </c>
      <c r="C19" s="102">
        <v>462844913.52999997</v>
      </c>
      <c r="D19" s="17">
        <f t="shared" si="0"/>
        <v>99.51859817336728</v>
      </c>
      <c r="E19" s="102">
        <v>455022517.82999998</v>
      </c>
      <c r="F19" s="102">
        <v>452031588.51999998</v>
      </c>
      <c r="G19" s="17">
        <f t="shared" si="1"/>
        <v>99.342685429225853</v>
      </c>
      <c r="H19" s="102">
        <v>339031229.31999999</v>
      </c>
      <c r="I19" s="102">
        <v>337931465.82999998</v>
      </c>
      <c r="J19" s="17">
        <f t="shared" si="12"/>
        <v>99.675615874028537</v>
      </c>
      <c r="K19" s="102">
        <v>316328850.10000002</v>
      </c>
      <c r="L19" s="102">
        <v>263563125.59999999</v>
      </c>
      <c r="M19" s="17">
        <f t="shared" si="30"/>
        <v>83.31934488956054</v>
      </c>
      <c r="N19" s="102">
        <v>200563239.22999999</v>
      </c>
      <c r="O19" s="102">
        <v>154583798.91999999</v>
      </c>
      <c r="P19" s="17">
        <f t="shared" si="32"/>
        <v>77.074841587858415</v>
      </c>
      <c r="Q19" s="102">
        <v>745311692.70000005</v>
      </c>
      <c r="R19" s="102">
        <v>222342885.09999999</v>
      </c>
      <c r="S19" s="17">
        <f t="shared" si="34"/>
        <v>29.832201383360907</v>
      </c>
      <c r="T19" s="102">
        <v>503159103.79000002</v>
      </c>
      <c r="U19" s="102">
        <v>494892776.08999997</v>
      </c>
      <c r="V19" s="17">
        <f t="shared" si="36"/>
        <v>98.357114551295069</v>
      </c>
      <c r="W19" s="102">
        <v>805000283.12</v>
      </c>
      <c r="X19" s="102">
        <v>799696803.29999995</v>
      </c>
      <c r="Y19" s="17">
        <f t="shared" si="7"/>
        <v>99.341182862763105</v>
      </c>
      <c r="Z19" s="96">
        <f t="shared" si="8"/>
        <v>59.989211574710453</v>
      </c>
      <c r="AA19" s="96">
        <f t="shared" si="8"/>
        <v>61.589912388328969</v>
      </c>
    </row>
    <row r="20" spans="1:27" x14ac:dyDescent="0.3">
      <c r="A20" t="s">
        <v>37</v>
      </c>
      <c r="B20" s="102">
        <f t="shared" ref="B20:C20" si="38">B14+B15+B16+B17+B18+B19</f>
        <v>1377281026.2600002</v>
      </c>
      <c r="C20" s="102">
        <f t="shared" si="38"/>
        <v>1177089444.9300001</v>
      </c>
      <c r="D20" s="17">
        <f t="shared" si="0"/>
        <v>85.464725243938091</v>
      </c>
      <c r="E20" s="102">
        <f t="shared" ref="E20:F20" si="39">E14+E15+E16+E17+E18+E19</f>
        <v>1344626703.5599999</v>
      </c>
      <c r="F20" s="102">
        <f t="shared" si="39"/>
        <v>1213939972.8499999</v>
      </c>
      <c r="G20" s="17">
        <f t="shared" si="1"/>
        <v>90.280816946145933</v>
      </c>
      <c r="H20" s="102">
        <f t="shared" ref="H20:I20" si="40">H14+H15+H16+H17+H18+H19</f>
        <v>1162585708.25</v>
      </c>
      <c r="I20" s="102">
        <f t="shared" si="40"/>
        <v>996667245.18999982</v>
      </c>
      <c r="J20" s="17">
        <f t="shared" si="12"/>
        <v>85.728496240526525</v>
      </c>
      <c r="K20" s="102">
        <f t="shared" ref="K20:L20" si="41">K14+K15+K16+K17+K18+K19</f>
        <v>1077985259.9200001</v>
      </c>
      <c r="L20" s="102">
        <f t="shared" si="41"/>
        <v>897060389.58000004</v>
      </c>
      <c r="M20" s="17">
        <f t="shared" si="30"/>
        <v>83.216387360117807</v>
      </c>
      <c r="N20" s="102">
        <f t="shared" ref="N20:O20" si="42">N14+N15+N16+N17+N18+N19</f>
        <v>1176154494.9099998</v>
      </c>
      <c r="O20" s="102">
        <f t="shared" si="42"/>
        <v>919336270.28999984</v>
      </c>
      <c r="P20" s="17">
        <f t="shared" si="32"/>
        <v>78.164584182484305</v>
      </c>
      <c r="Q20" s="102">
        <f t="shared" ref="Q20:R20" si="43">Q14+Q15+Q16+Q17+Q18+Q19</f>
        <v>1643739886.9000001</v>
      </c>
      <c r="R20" s="102">
        <f t="shared" si="43"/>
        <v>758238575</v>
      </c>
      <c r="S20" s="17">
        <f t="shared" si="34"/>
        <v>46.128866315338662</v>
      </c>
      <c r="T20" s="102">
        <f t="shared" ref="T20:U20" si="44">T14+T15+T16+T17+T18+T19</f>
        <v>1341771109.8699999</v>
      </c>
      <c r="U20" s="102">
        <f t="shared" si="44"/>
        <v>1031708022.3900001</v>
      </c>
      <c r="V20" s="17">
        <f t="shared" si="36"/>
        <v>76.891506666137658</v>
      </c>
      <c r="W20" s="102">
        <f t="shared" ref="W20:X20" si="45">W14+W15+W16+W17+W18+W19</f>
        <v>1348430529.29</v>
      </c>
      <c r="X20" s="102">
        <f t="shared" si="45"/>
        <v>1045842985.26</v>
      </c>
      <c r="Y20" s="17">
        <f t="shared" si="7"/>
        <v>77.560019781714388</v>
      </c>
      <c r="Z20" s="96">
        <f t="shared" si="8"/>
        <v>0.49631560636638028</v>
      </c>
      <c r="AA20" s="96">
        <f t="shared" si="8"/>
        <v>1.3700545661412491</v>
      </c>
    </row>
    <row r="21" spans="1:27" x14ac:dyDescent="0.3">
      <c r="A21" t="s">
        <v>38</v>
      </c>
      <c r="B21" s="102">
        <f t="shared" ref="B21:C21" si="46">B20-B19</f>
        <v>912197190.65000021</v>
      </c>
      <c r="C21" s="102">
        <f t="shared" si="46"/>
        <v>714244531.4000001</v>
      </c>
      <c r="D21" s="17">
        <f t="shared" si="0"/>
        <v>78.299356621681113</v>
      </c>
      <c r="E21" s="102">
        <f t="shared" ref="E21:F21" si="47">E20-E19</f>
        <v>889604185.73000002</v>
      </c>
      <c r="F21" s="102">
        <f t="shared" si="47"/>
        <v>761908384.32999992</v>
      </c>
      <c r="G21" s="17">
        <f t="shared" si="1"/>
        <v>85.645773317128189</v>
      </c>
      <c r="H21" s="102">
        <f t="shared" ref="H21:I21" si="48">H20-H19</f>
        <v>823554478.93000007</v>
      </c>
      <c r="I21" s="102">
        <f t="shared" si="48"/>
        <v>658735779.3599999</v>
      </c>
      <c r="J21" s="17">
        <f t="shared" si="12"/>
        <v>79.986909938958718</v>
      </c>
      <c r="K21" s="102">
        <f t="shared" ref="K21:L21" si="49">K20-K19</f>
        <v>761656409.82000005</v>
      </c>
      <c r="L21" s="102">
        <f t="shared" si="49"/>
        <v>633497263.98000002</v>
      </c>
      <c r="M21" s="17">
        <f t="shared" si="30"/>
        <v>83.17362734854585</v>
      </c>
      <c r="N21" s="102">
        <f t="shared" ref="N21:O21" si="50">N20-N19</f>
        <v>975591255.67999983</v>
      </c>
      <c r="O21" s="102">
        <f t="shared" si="50"/>
        <v>764752471.36999989</v>
      </c>
      <c r="P21" s="17">
        <f t="shared" si="32"/>
        <v>78.388614793083349</v>
      </c>
      <c r="Q21" s="102">
        <f t="shared" ref="Q21:R21" si="51">Q20-Q19</f>
        <v>898428194.20000005</v>
      </c>
      <c r="R21" s="102">
        <f t="shared" si="51"/>
        <v>535895689.89999998</v>
      </c>
      <c r="S21" s="17">
        <f t="shared" si="34"/>
        <v>59.648138088229196</v>
      </c>
      <c r="T21" s="102">
        <f t="shared" ref="T21:U21" si="52">T20-T19</f>
        <v>838612006.07999992</v>
      </c>
      <c r="U21" s="102">
        <f t="shared" si="52"/>
        <v>536815246.30000013</v>
      </c>
      <c r="V21" s="17">
        <f t="shared" si="36"/>
        <v>64.012349263789375</v>
      </c>
      <c r="W21" s="102">
        <f t="shared" ref="W21:X21" si="53">W20-W19</f>
        <v>543430246.16999996</v>
      </c>
      <c r="X21" s="102">
        <f t="shared" si="53"/>
        <v>246146181.96000004</v>
      </c>
      <c r="Y21" s="17">
        <f t="shared" si="7"/>
        <v>45.294899151233246</v>
      </c>
      <c r="Z21" s="96">
        <f t="shared" si="8"/>
        <v>-35.198847353711855</v>
      </c>
      <c r="AA21" s="96">
        <f t="shared" si="8"/>
        <v>-54.146946522744472</v>
      </c>
    </row>
    <row r="22" spans="1:27" x14ac:dyDescent="0.3">
      <c r="B22" s="104" t="s">
        <v>75</v>
      </c>
      <c r="C22" s="104" t="s">
        <v>76</v>
      </c>
      <c r="D22" s="15"/>
      <c r="E22" s="104" t="s">
        <v>75</v>
      </c>
      <c r="F22" s="104" t="s">
        <v>76</v>
      </c>
      <c r="G22" s="15"/>
      <c r="H22" s="104" t="s">
        <v>75</v>
      </c>
      <c r="I22" s="104" t="s">
        <v>76</v>
      </c>
      <c r="J22" s="91"/>
      <c r="K22" s="104" t="s">
        <v>75</v>
      </c>
      <c r="L22" s="104" t="s">
        <v>76</v>
      </c>
      <c r="M22" s="117"/>
      <c r="N22" s="104" t="s">
        <v>75</v>
      </c>
      <c r="O22" s="104" t="s">
        <v>76</v>
      </c>
      <c r="P22" s="121"/>
      <c r="Q22" s="104" t="s">
        <v>75</v>
      </c>
      <c r="R22" s="104" t="s">
        <v>76</v>
      </c>
      <c r="S22" s="124"/>
      <c r="T22" s="104" t="s">
        <v>75</v>
      </c>
      <c r="U22" s="104" t="s">
        <v>76</v>
      </c>
      <c r="V22" s="128"/>
      <c r="W22" s="104" t="s">
        <v>75</v>
      </c>
      <c r="X22" s="104" t="s">
        <v>76</v>
      </c>
      <c r="Y22" s="15"/>
    </row>
    <row r="23" spans="1:27" x14ac:dyDescent="0.3">
      <c r="A23" s="5" t="s">
        <v>39</v>
      </c>
      <c r="B23" s="101">
        <v>102161509.97</v>
      </c>
      <c r="C23" s="101">
        <v>0</v>
      </c>
      <c r="D23" s="17">
        <f>IF(B23&gt;0,C23/B23*100,"-")</f>
        <v>0</v>
      </c>
      <c r="E23" s="101">
        <v>103335941.13</v>
      </c>
      <c r="F23" s="110">
        <v>92626036</v>
      </c>
      <c r="G23" s="17">
        <f>IF(E23&gt;0,F23/E23*100,"-")</f>
        <v>89.635837238346156</v>
      </c>
      <c r="H23" s="101">
        <v>101436068.73</v>
      </c>
      <c r="I23" s="110">
        <v>0</v>
      </c>
      <c r="J23" s="17">
        <f>IF(H23&gt;0,I23/H23*100,"-")</f>
        <v>0</v>
      </c>
      <c r="K23" s="101">
        <v>88249249.099999994</v>
      </c>
      <c r="L23" s="110">
        <v>81904294.370000005</v>
      </c>
      <c r="M23" s="17">
        <f>IF(K23&gt;0,L23/K23*100,"-")</f>
        <v>92.810188421195321</v>
      </c>
      <c r="N23" s="101">
        <v>79711072.439999998</v>
      </c>
      <c r="O23" s="110">
        <v>74478734.519999996</v>
      </c>
      <c r="P23" s="17">
        <f>IF(N23&gt;0,O23/N23*100,"-")</f>
        <v>93.435870626457216</v>
      </c>
      <c r="Q23" s="101">
        <v>80379171.700000003</v>
      </c>
      <c r="R23" s="110">
        <v>73054919.700000003</v>
      </c>
      <c r="S23" s="17">
        <f>IF(Q23&gt;0,R23/Q23*100,"-")</f>
        <v>90.887873257345348</v>
      </c>
      <c r="T23" s="1">
        <v>81908129.780000001</v>
      </c>
      <c r="U23" s="1">
        <v>72005990.659999996</v>
      </c>
      <c r="V23" s="17">
        <f>IF(T23&gt;0,U23/T23*100,"-")</f>
        <v>87.910676087225383</v>
      </c>
      <c r="W23" s="1">
        <v>78391463.420000002</v>
      </c>
      <c r="X23" s="1">
        <v>72492001.299999997</v>
      </c>
      <c r="Y23" s="17">
        <f>IF(W23&gt;0,X23/W23*100,"-")</f>
        <v>92.474356438031649</v>
      </c>
      <c r="Z23" s="96">
        <f t="shared" si="8"/>
        <v>-4.2934277335418898</v>
      </c>
      <c r="AA23" s="96">
        <f t="shared" si="8"/>
        <v>0.67495861878335006</v>
      </c>
    </row>
    <row r="24" spans="1:27" x14ac:dyDescent="0.3">
      <c r="A24" s="5" t="s">
        <v>40</v>
      </c>
      <c r="B24" s="101">
        <v>65090055.57</v>
      </c>
      <c r="C24" s="101">
        <v>0</v>
      </c>
      <c r="D24" s="17">
        <f t="shared" ref="D24:D55" si="54">IF(B24&gt;0,C24/B24*100,"-")</f>
        <v>0</v>
      </c>
      <c r="E24" s="101">
        <v>6463332.2000000002</v>
      </c>
      <c r="F24" s="110">
        <v>4871932</v>
      </c>
      <c r="G24" s="17">
        <f t="shared" ref="G24:G55" si="55">IF(E24&gt;0,F24/E24*100,"-")</f>
        <v>75.37802250052998</v>
      </c>
      <c r="H24" s="101">
        <v>6308632.1399999997</v>
      </c>
      <c r="I24" s="110">
        <v>0</v>
      </c>
      <c r="J24" s="17">
        <f t="shared" ref="J24:J55" si="56">IF(H24&gt;0,I24/H24*100,"-")</f>
        <v>0</v>
      </c>
      <c r="K24" s="101">
        <v>5333407.2</v>
      </c>
      <c r="L24" s="110">
        <v>4329696.8</v>
      </c>
      <c r="M24" s="17">
        <f t="shared" ref="M24:M55" si="57">IF(K24&gt;0,L24/K24*100,"-")</f>
        <v>81.180690647434531</v>
      </c>
      <c r="N24" s="101">
        <v>5210531.07</v>
      </c>
      <c r="O24" s="110">
        <v>3915495.78</v>
      </c>
      <c r="P24" s="17">
        <f t="shared" ref="P24:P55" si="58">IF(N24&gt;0,O24/N24*100,"-")</f>
        <v>75.145810041201798</v>
      </c>
      <c r="Q24" s="101">
        <v>4965799.8</v>
      </c>
      <c r="R24" s="110">
        <v>3843486.4</v>
      </c>
      <c r="S24" s="17">
        <f t="shared" ref="S24:S55" si="59">IF(Q24&gt;0,R24/Q24*100,"-")</f>
        <v>77.3991412219236</v>
      </c>
      <c r="T24" s="1">
        <v>5160691.22</v>
      </c>
      <c r="U24" s="1">
        <v>3838283.46</v>
      </c>
      <c r="V24" s="17">
        <f t="shared" ref="V24:V55" si="60">IF(T24&gt;0,U24/T24*100,"-")</f>
        <v>74.375375242853607</v>
      </c>
      <c r="W24" s="1">
        <v>4890846</v>
      </c>
      <c r="X24" s="1">
        <v>3894466.95</v>
      </c>
      <c r="Y24" s="17">
        <f t="shared" ref="Y24:Y55" si="61">IF(W24&gt;0,X24/W24*100,"-")</f>
        <v>79.627674843984053</v>
      </c>
      <c r="Z24" s="96">
        <f t="shared" si="8"/>
        <v>-5.2288580830844467</v>
      </c>
      <c r="AA24" s="96">
        <f t="shared" si="8"/>
        <v>1.4637660450434851</v>
      </c>
    </row>
    <row r="25" spans="1:27" x14ac:dyDescent="0.3">
      <c r="A25" s="5" t="s">
        <v>41</v>
      </c>
      <c r="B25" s="101">
        <v>151613739.05000001</v>
      </c>
      <c r="C25" s="101">
        <v>0</v>
      </c>
      <c r="D25" s="17">
        <f t="shared" si="54"/>
        <v>0</v>
      </c>
      <c r="E25" s="101">
        <v>165433561.55000001</v>
      </c>
      <c r="F25" s="110">
        <v>69493792</v>
      </c>
      <c r="G25" s="17">
        <f t="shared" si="55"/>
        <v>42.007069997702047</v>
      </c>
      <c r="H25" s="101">
        <v>153277583.03</v>
      </c>
      <c r="I25" s="110">
        <v>0</v>
      </c>
      <c r="J25" s="17">
        <f t="shared" si="56"/>
        <v>0</v>
      </c>
      <c r="K25" s="101">
        <v>171163463.30000001</v>
      </c>
      <c r="L25" s="110">
        <v>124600588.29000001</v>
      </c>
      <c r="M25" s="17">
        <f t="shared" si="57"/>
        <v>72.796253293619813</v>
      </c>
      <c r="N25" s="101">
        <v>159468005.38</v>
      </c>
      <c r="O25" s="110">
        <v>123530470.98</v>
      </c>
      <c r="P25" s="17">
        <f t="shared" si="58"/>
        <v>77.464109923264161</v>
      </c>
      <c r="Q25" s="101">
        <v>164807453.34</v>
      </c>
      <c r="R25" s="110">
        <v>124071191.7</v>
      </c>
      <c r="S25" s="17">
        <f t="shared" si="59"/>
        <v>75.282512523289498</v>
      </c>
      <c r="T25" s="1">
        <v>191482729.94</v>
      </c>
      <c r="U25" s="1">
        <v>142863094.43000001</v>
      </c>
      <c r="V25" s="17">
        <f t="shared" si="60"/>
        <v>74.608866541001035</v>
      </c>
      <c r="W25" s="1">
        <v>212830616.02000001</v>
      </c>
      <c r="X25" s="1">
        <v>159041494.38</v>
      </c>
      <c r="Y25" s="17">
        <f t="shared" si="61"/>
        <v>74.726793237799313</v>
      </c>
      <c r="Z25" s="96">
        <f t="shared" si="8"/>
        <v>11.148726617115415</v>
      </c>
      <c r="AA25" s="96">
        <f t="shared" si="8"/>
        <v>11.324408178717604</v>
      </c>
    </row>
    <row r="26" spans="1:27" x14ac:dyDescent="0.3">
      <c r="A26" s="5" t="s">
        <v>42</v>
      </c>
      <c r="B26" s="101">
        <v>42948697.030000001</v>
      </c>
      <c r="C26" s="101">
        <v>0</v>
      </c>
      <c r="D26" s="17">
        <f t="shared" si="54"/>
        <v>0</v>
      </c>
      <c r="E26" s="101">
        <v>51042858.5</v>
      </c>
      <c r="F26" s="110">
        <v>33891991</v>
      </c>
      <c r="G26" s="17">
        <f t="shared" si="55"/>
        <v>66.399084996385923</v>
      </c>
      <c r="H26" s="101">
        <v>41760765.670000002</v>
      </c>
      <c r="I26" s="110">
        <v>0</v>
      </c>
      <c r="J26" s="17">
        <f t="shared" si="56"/>
        <v>0</v>
      </c>
      <c r="K26" s="101">
        <v>36010572.5</v>
      </c>
      <c r="L26" s="110">
        <v>21425994.800000001</v>
      </c>
      <c r="M26" s="17">
        <f t="shared" si="57"/>
        <v>59.499178470433932</v>
      </c>
      <c r="N26" s="101">
        <v>32424546.530000001</v>
      </c>
      <c r="O26" s="110">
        <v>23527393.370000001</v>
      </c>
      <c r="P26" s="17">
        <f t="shared" si="58"/>
        <v>72.560439197605646</v>
      </c>
      <c r="Q26" s="101">
        <v>32311484.800000001</v>
      </c>
      <c r="R26" s="110">
        <v>25517314.300000001</v>
      </c>
      <c r="S26" s="17">
        <f t="shared" si="59"/>
        <v>78.972892944863986</v>
      </c>
      <c r="T26" s="1">
        <v>30876694.27</v>
      </c>
      <c r="U26" s="1">
        <v>20487360.550000001</v>
      </c>
      <c r="V26" s="17">
        <f t="shared" si="60"/>
        <v>66.35218255830469</v>
      </c>
      <c r="W26" s="1">
        <v>65771047.329999998</v>
      </c>
      <c r="X26" s="1">
        <v>37967730.090000004</v>
      </c>
      <c r="Y26" s="17">
        <f t="shared" si="61"/>
        <v>57.727117981716958</v>
      </c>
      <c r="Z26" s="96">
        <f t="shared" si="8"/>
        <v>113.01194601620156</v>
      </c>
      <c r="AA26" s="96">
        <f t="shared" si="8"/>
        <v>85.322701757206119</v>
      </c>
    </row>
    <row r="27" spans="1:27" x14ac:dyDescent="0.3">
      <c r="A27" s="5" t="s">
        <v>43</v>
      </c>
      <c r="B27" s="101">
        <v>30613672.199999999</v>
      </c>
      <c r="C27" s="101">
        <v>0</v>
      </c>
      <c r="D27" s="17">
        <f t="shared" si="54"/>
        <v>0</v>
      </c>
      <c r="E27" s="101">
        <v>23917949.52</v>
      </c>
      <c r="F27" s="110">
        <v>18211825</v>
      </c>
      <c r="G27" s="17">
        <f t="shared" si="55"/>
        <v>76.14291929486437</v>
      </c>
      <c r="H27" s="101">
        <v>33749723.140000001</v>
      </c>
      <c r="I27" s="110">
        <v>0</v>
      </c>
      <c r="J27" s="17">
        <f t="shared" si="56"/>
        <v>0</v>
      </c>
      <c r="K27" s="101">
        <v>25139064.699999999</v>
      </c>
      <c r="L27" s="110">
        <v>20539353.800000001</v>
      </c>
      <c r="M27" s="17">
        <f t="shared" si="57"/>
        <v>81.702935431802288</v>
      </c>
      <c r="N27" s="101">
        <v>21059248.440000001</v>
      </c>
      <c r="O27" s="110">
        <v>16745451.970000001</v>
      </c>
      <c r="P27" s="17">
        <f t="shared" si="58"/>
        <v>79.515904937013985</v>
      </c>
      <c r="Q27" s="101">
        <v>19530094.440000001</v>
      </c>
      <c r="R27" s="110">
        <v>16377024.4</v>
      </c>
      <c r="S27" s="17">
        <f t="shared" si="59"/>
        <v>83.855326200870124</v>
      </c>
      <c r="T27" s="1">
        <v>16909334.800000001</v>
      </c>
      <c r="U27" s="1">
        <v>15849969.029999999</v>
      </c>
      <c r="V27" s="17">
        <f t="shared" si="60"/>
        <v>93.73502398213796</v>
      </c>
      <c r="W27" s="1">
        <v>15532492.779999999</v>
      </c>
      <c r="X27" s="1">
        <v>15532492.779999999</v>
      </c>
      <c r="Y27" s="17">
        <f t="shared" si="61"/>
        <v>100</v>
      </c>
      <c r="Z27" s="96">
        <f t="shared" si="8"/>
        <v>-8.1424966522042155</v>
      </c>
      <c r="AA27" s="96">
        <f t="shared" si="8"/>
        <v>-2.0030086456263518</v>
      </c>
    </row>
    <row r="28" spans="1:27" x14ac:dyDescent="0.3">
      <c r="A28" s="5" t="s">
        <v>44</v>
      </c>
      <c r="B28" s="101">
        <v>0</v>
      </c>
      <c r="C28" s="101">
        <v>0</v>
      </c>
      <c r="D28" s="17" t="str">
        <f t="shared" si="54"/>
        <v>-</v>
      </c>
      <c r="E28" s="101">
        <v>0</v>
      </c>
      <c r="F28" s="110">
        <v>0</v>
      </c>
      <c r="G28" s="17" t="str">
        <f t="shared" si="55"/>
        <v>-</v>
      </c>
      <c r="H28" s="101">
        <v>0</v>
      </c>
      <c r="I28" s="110">
        <v>0</v>
      </c>
      <c r="J28" s="17" t="str">
        <f t="shared" si="56"/>
        <v>-</v>
      </c>
      <c r="K28" s="101">
        <v>0</v>
      </c>
      <c r="L28" s="110">
        <v>0</v>
      </c>
      <c r="M28" s="17" t="str">
        <f t="shared" si="57"/>
        <v>-</v>
      </c>
      <c r="N28" s="101">
        <v>0</v>
      </c>
      <c r="O28" s="110">
        <v>0</v>
      </c>
      <c r="P28" s="17" t="str">
        <f t="shared" si="58"/>
        <v>-</v>
      </c>
      <c r="Q28" s="101">
        <v>0</v>
      </c>
      <c r="R28" s="110">
        <v>0</v>
      </c>
      <c r="S28" s="17" t="str">
        <f t="shared" si="59"/>
        <v>-</v>
      </c>
      <c r="T28" s="101">
        <v>0</v>
      </c>
      <c r="U28" s="110">
        <v>0</v>
      </c>
      <c r="V28" s="17" t="str">
        <f t="shared" si="60"/>
        <v>-</v>
      </c>
      <c r="W28" s="101">
        <v>0</v>
      </c>
      <c r="X28" s="110">
        <v>0</v>
      </c>
      <c r="Y28" s="17" t="str">
        <f t="shared" si="61"/>
        <v>-</v>
      </c>
      <c r="Z28" s="96" t="str">
        <f t="shared" si="8"/>
        <v>-</v>
      </c>
      <c r="AA28" s="96" t="str">
        <f t="shared" si="8"/>
        <v>-</v>
      </c>
    </row>
    <row r="29" spans="1:27" x14ac:dyDescent="0.3">
      <c r="A29" s="5" t="s">
        <v>45</v>
      </c>
      <c r="B29" s="101">
        <v>1429837.97</v>
      </c>
      <c r="C29" s="101">
        <v>0</v>
      </c>
      <c r="D29" s="17">
        <f t="shared" si="54"/>
        <v>0</v>
      </c>
      <c r="E29" s="101">
        <v>54123.72</v>
      </c>
      <c r="F29" s="110">
        <v>33316</v>
      </c>
      <c r="G29" s="17">
        <f t="shared" si="55"/>
        <v>61.555266341633576</v>
      </c>
      <c r="H29" s="101">
        <v>71036.149999999994</v>
      </c>
      <c r="I29" s="110">
        <v>0</v>
      </c>
      <c r="J29" s="17">
        <f t="shared" si="56"/>
        <v>0</v>
      </c>
      <c r="K29" s="101">
        <v>21790.5</v>
      </c>
      <c r="L29" s="110">
        <v>15283.5</v>
      </c>
      <c r="M29" s="17">
        <f t="shared" si="57"/>
        <v>70.138363048117299</v>
      </c>
      <c r="N29" s="101">
        <v>18467586.829999998</v>
      </c>
      <c r="O29" s="110">
        <v>19123</v>
      </c>
      <c r="P29" s="17">
        <f t="shared" si="58"/>
        <v>0.10354899195023848</v>
      </c>
      <c r="Q29" s="101">
        <v>21398751.800000001</v>
      </c>
      <c r="R29" s="110">
        <v>130368.7</v>
      </c>
      <c r="S29" s="17">
        <f t="shared" si="59"/>
        <v>0.60923506762670143</v>
      </c>
      <c r="T29" s="1">
        <v>9593357.5399999991</v>
      </c>
      <c r="U29" s="1">
        <v>4946469.7300000004</v>
      </c>
      <c r="V29" s="17">
        <f t="shared" si="60"/>
        <v>51.561402870428211</v>
      </c>
      <c r="W29" s="1">
        <v>701794.31</v>
      </c>
      <c r="X29" s="1">
        <v>470337.52</v>
      </c>
      <c r="Y29" s="17">
        <f t="shared" si="61"/>
        <v>67.019283755663395</v>
      </c>
      <c r="Z29" s="96">
        <f t="shared" si="8"/>
        <v>-92.684580898044999</v>
      </c>
      <c r="AA29" s="96">
        <f t="shared" si="8"/>
        <v>-90.49145055619293</v>
      </c>
    </row>
    <row r="30" spans="1:27" x14ac:dyDescent="0.3">
      <c r="A30" s="5" t="s">
        <v>46</v>
      </c>
      <c r="B30" s="101">
        <v>24095394.530000001</v>
      </c>
      <c r="C30" s="101">
        <v>0</v>
      </c>
      <c r="D30" s="17">
        <f t="shared" si="54"/>
        <v>0</v>
      </c>
      <c r="E30" s="101">
        <v>27438175.800000001</v>
      </c>
      <c r="F30" s="110">
        <v>19791865</v>
      </c>
      <c r="G30" s="17">
        <f t="shared" si="55"/>
        <v>72.132583245566934</v>
      </c>
      <c r="H30" s="101">
        <v>5001284.47</v>
      </c>
      <c r="I30" s="110">
        <v>0</v>
      </c>
      <c r="J30" s="17">
        <f t="shared" si="56"/>
        <v>0</v>
      </c>
      <c r="K30" s="101">
        <v>467313.63</v>
      </c>
      <c r="L30" s="110">
        <v>256227.6</v>
      </c>
      <c r="M30" s="17">
        <f t="shared" si="57"/>
        <v>54.829900852667194</v>
      </c>
      <c r="N30" s="101">
        <v>1739330.43</v>
      </c>
      <c r="O30" s="110">
        <v>421149.3</v>
      </c>
      <c r="P30" s="17">
        <f t="shared" si="58"/>
        <v>24.213300287053567</v>
      </c>
      <c r="Q30" s="101">
        <v>11264039</v>
      </c>
      <c r="R30" s="110">
        <v>181909.33</v>
      </c>
      <c r="S30" s="17">
        <f t="shared" si="59"/>
        <v>1.614956500061834</v>
      </c>
      <c r="T30" s="1">
        <v>18247777.199999999</v>
      </c>
      <c r="U30" s="1">
        <v>5458086.3700000001</v>
      </c>
      <c r="V30" s="17">
        <f t="shared" si="60"/>
        <v>29.910965649010667</v>
      </c>
      <c r="W30" s="1">
        <v>1384677.8</v>
      </c>
      <c r="X30" s="1">
        <v>558433.15</v>
      </c>
      <c r="Y30" s="17">
        <f t="shared" si="61"/>
        <v>40.329465092890203</v>
      </c>
      <c r="Z30" s="96">
        <f t="shared" si="8"/>
        <v>-92.411800161610913</v>
      </c>
      <c r="AA30" s="96">
        <f t="shared" si="8"/>
        <v>-89.768700747034899</v>
      </c>
    </row>
    <row r="31" spans="1:27" x14ac:dyDescent="0.3">
      <c r="A31" s="5" t="s">
        <v>47</v>
      </c>
      <c r="B31" s="102">
        <v>0</v>
      </c>
      <c r="C31" s="102">
        <v>0</v>
      </c>
      <c r="D31" s="17" t="str">
        <f t="shared" si="54"/>
        <v>-</v>
      </c>
      <c r="E31" s="102">
        <v>0</v>
      </c>
      <c r="F31" s="111">
        <v>0</v>
      </c>
      <c r="G31" s="17" t="str">
        <f t="shared" si="55"/>
        <v>-</v>
      </c>
      <c r="H31" s="102">
        <v>0</v>
      </c>
      <c r="I31" s="110">
        <v>0</v>
      </c>
      <c r="J31" s="17" t="str">
        <f t="shared" si="56"/>
        <v>-</v>
      </c>
      <c r="K31" s="102">
        <v>0</v>
      </c>
      <c r="L31" s="110">
        <v>0</v>
      </c>
      <c r="M31" s="17" t="str">
        <f t="shared" si="57"/>
        <v>-</v>
      </c>
      <c r="N31" s="102">
        <v>0</v>
      </c>
      <c r="O31" s="110">
        <v>0</v>
      </c>
      <c r="P31" s="17" t="str">
        <f t="shared" si="58"/>
        <v>-</v>
      </c>
      <c r="Q31" s="102">
        <v>0</v>
      </c>
      <c r="R31" s="110">
        <v>0</v>
      </c>
      <c r="S31" s="17" t="str">
        <f t="shared" si="59"/>
        <v>-</v>
      </c>
      <c r="T31" s="102">
        <v>0</v>
      </c>
      <c r="U31" s="110">
        <v>0</v>
      </c>
      <c r="V31" s="17" t="str">
        <f t="shared" si="60"/>
        <v>-</v>
      </c>
      <c r="W31" s="102">
        <v>0</v>
      </c>
      <c r="X31" s="110">
        <v>0</v>
      </c>
      <c r="Y31" s="17" t="str">
        <f t="shared" si="61"/>
        <v>-</v>
      </c>
      <c r="Z31" s="96" t="str">
        <f t="shared" si="8"/>
        <v>-</v>
      </c>
      <c r="AA31" s="96" t="str">
        <f t="shared" si="8"/>
        <v>-</v>
      </c>
    </row>
    <row r="32" spans="1:27" x14ac:dyDescent="0.3">
      <c r="A32" s="5" t="s">
        <v>48</v>
      </c>
      <c r="B32" s="101">
        <v>19074602.43</v>
      </c>
      <c r="C32" s="101">
        <v>0</v>
      </c>
      <c r="D32" s="17">
        <f t="shared" si="54"/>
        <v>0</v>
      </c>
      <c r="E32" s="101">
        <v>17247702.469999999</v>
      </c>
      <c r="F32" s="110">
        <v>1494460</v>
      </c>
      <c r="G32" s="17">
        <f t="shared" si="55"/>
        <v>8.6646902832386345</v>
      </c>
      <c r="H32" s="101">
        <v>15847271.859999999</v>
      </c>
      <c r="I32" s="110">
        <v>0</v>
      </c>
      <c r="J32" s="17">
        <f t="shared" si="56"/>
        <v>0</v>
      </c>
      <c r="K32" s="101">
        <v>7405983.2999999998</v>
      </c>
      <c r="L32" s="110">
        <v>4436478.12</v>
      </c>
      <c r="M32" s="17">
        <f t="shared" si="57"/>
        <v>59.903971428074918</v>
      </c>
      <c r="N32" s="101">
        <v>12698739.98</v>
      </c>
      <c r="O32" s="110">
        <v>4727133.5</v>
      </c>
      <c r="P32" s="17">
        <f t="shared" si="58"/>
        <v>37.225216891164351</v>
      </c>
      <c r="Q32" s="101">
        <v>23135129.600000001</v>
      </c>
      <c r="R32" s="110">
        <v>19112896.199999999</v>
      </c>
      <c r="S32" s="17">
        <f t="shared" si="59"/>
        <v>82.614173901148135</v>
      </c>
      <c r="T32" s="1">
        <v>41651347.609999999</v>
      </c>
      <c r="U32" s="1">
        <v>23910018.559999999</v>
      </c>
      <c r="V32" s="17">
        <f t="shared" si="60"/>
        <v>57.405149969888335</v>
      </c>
      <c r="W32" s="1">
        <v>76499477.319999993</v>
      </c>
      <c r="X32" s="1">
        <v>61888975.020000003</v>
      </c>
      <c r="Y32" s="17">
        <f t="shared" si="61"/>
        <v>80.901173691836163</v>
      </c>
      <c r="Z32" s="96">
        <f t="shared" si="8"/>
        <v>83.666271824620082</v>
      </c>
      <c r="AA32" s="96">
        <f t="shared" si="8"/>
        <v>158.84118351767603</v>
      </c>
    </row>
    <row r="33" spans="1:27" x14ac:dyDescent="0.3">
      <c r="A33" s="5" t="s">
        <v>49</v>
      </c>
      <c r="B33" s="101">
        <v>1153456.73</v>
      </c>
      <c r="C33" s="101">
        <v>0</v>
      </c>
      <c r="D33" s="17">
        <f t="shared" si="54"/>
        <v>0</v>
      </c>
      <c r="E33" s="101">
        <v>0</v>
      </c>
      <c r="F33" s="110">
        <v>0</v>
      </c>
      <c r="G33" s="17" t="str">
        <f t="shared" si="55"/>
        <v>-</v>
      </c>
      <c r="H33" s="101">
        <v>0</v>
      </c>
      <c r="I33" s="110">
        <v>0</v>
      </c>
      <c r="J33" s="17" t="str">
        <f t="shared" si="56"/>
        <v>-</v>
      </c>
      <c r="K33" s="101">
        <v>0</v>
      </c>
      <c r="L33" s="110">
        <v>0</v>
      </c>
      <c r="M33" s="17" t="str">
        <f t="shared" si="57"/>
        <v>-</v>
      </c>
      <c r="N33" s="101">
        <v>823287</v>
      </c>
      <c r="O33" s="110">
        <v>0</v>
      </c>
      <c r="P33" s="17">
        <f t="shared" si="58"/>
        <v>0</v>
      </c>
      <c r="Q33" s="101">
        <v>0</v>
      </c>
      <c r="R33" s="110">
        <v>0</v>
      </c>
      <c r="S33" s="17" t="str">
        <f t="shared" si="59"/>
        <v>-</v>
      </c>
      <c r="T33" s="1">
        <v>4999989.25</v>
      </c>
      <c r="U33" s="1">
        <v>64725.64</v>
      </c>
      <c r="V33" s="17">
        <f t="shared" si="60"/>
        <v>1.294515583208504</v>
      </c>
      <c r="W33" s="1">
        <v>23841322.719999999</v>
      </c>
      <c r="X33" s="1">
        <v>23218243.670000002</v>
      </c>
      <c r="Y33" s="17">
        <f t="shared" si="61"/>
        <v>97.386558383032551</v>
      </c>
      <c r="Z33" s="96">
        <f t="shared" si="8"/>
        <v>376.82747957908111</v>
      </c>
      <c r="AA33" s="96">
        <f t="shared" si="8"/>
        <v>35771.786930187176</v>
      </c>
    </row>
    <row r="34" spans="1:27" x14ac:dyDescent="0.3">
      <c r="A34" s="5" t="s">
        <v>50</v>
      </c>
      <c r="B34" s="101">
        <v>0</v>
      </c>
      <c r="C34" s="101">
        <v>0</v>
      </c>
      <c r="D34" s="17" t="str">
        <f t="shared" si="54"/>
        <v>-</v>
      </c>
      <c r="E34" s="101">
        <v>0</v>
      </c>
      <c r="F34" s="110">
        <v>0</v>
      </c>
      <c r="G34" s="17" t="str">
        <f t="shared" si="55"/>
        <v>-</v>
      </c>
      <c r="H34" s="101">
        <v>0</v>
      </c>
      <c r="I34" s="110">
        <v>0</v>
      </c>
      <c r="J34" s="17" t="str">
        <f t="shared" si="56"/>
        <v>-</v>
      </c>
      <c r="K34" s="101">
        <v>0</v>
      </c>
      <c r="L34" s="110">
        <v>0</v>
      </c>
      <c r="M34" s="17" t="str">
        <f t="shared" si="57"/>
        <v>-</v>
      </c>
      <c r="N34" s="101">
        <v>2666351</v>
      </c>
      <c r="O34" s="110">
        <v>2666351</v>
      </c>
      <c r="P34" s="17">
        <f t="shared" si="58"/>
        <v>100</v>
      </c>
      <c r="Q34" s="101">
        <v>0</v>
      </c>
      <c r="R34" s="110">
        <v>0</v>
      </c>
      <c r="S34" s="17" t="str">
        <f t="shared" si="59"/>
        <v>-</v>
      </c>
      <c r="T34" s="101">
        <v>0</v>
      </c>
      <c r="U34" s="110">
        <v>0</v>
      </c>
      <c r="V34" s="17" t="str">
        <f t="shared" si="60"/>
        <v>-</v>
      </c>
      <c r="W34" s="101">
        <v>0</v>
      </c>
      <c r="X34" s="110">
        <v>0</v>
      </c>
      <c r="Y34" s="17" t="str">
        <f t="shared" si="61"/>
        <v>-</v>
      </c>
      <c r="Z34" s="96" t="str">
        <f t="shared" si="8"/>
        <v>-</v>
      </c>
      <c r="AA34" s="96" t="str">
        <f t="shared" si="8"/>
        <v>-</v>
      </c>
    </row>
    <row r="35" spans="1:27" x14ac:dyDescent="0.3">
      <c r="A35" s="5" t="s">
        <v>51</v>
      </c>
      <c r="B35" s="101">
        <v>144441.73000000001</v>
      </c>
      <c r="C35" s="101">
        <v>0</v>
      </c>
      <c r="D35" s="17">
        <f t="shared" si="54"/>
        <v>0</v>
      </c>
      <c r="E35" s="101">
        <v>392602.75</v>
      </c>
      <c r="F35" s="110">
        <v>330091</v>
      </c>
      <c r="G35" s="17">
        <f t="shared" si="55"/>
        <v>84.077607709064694</v>
      </c>
      <c r="H35" s="101">
        <v>505132.98</v>
      </c>
      <c r="I35" s="110">
        <v>0</v>
      </c>
      <c r="J35" s="17">
        <f t="shared" si="56"/>
        <v>0</v>
      </c>
      <c r="K35" s="101">
        <v>14021.74</v>
      </c>
      <c r="L35" s="110">
        <v>0</v>
      </c>
      <c r="M35" s="17">
        <f t="shared" si="57"/>
        <v>0</v>
      </c>
      <c r="N35" s="101">
        <v>5635337.1799999997</v>
      </c>
      <c r="O35" s="110">
        <v>708488.8</v>
      </c>
      <c r="P35" s="17">
        <f t="shared" si="58"/>
        <v>12.572252154040587</v>
      </c>
      <c r="Q35" s="101">
        <v>16225710.300000001</v>
      </c>
      <c r="R35" s="110">
        <v>10224039.08</v>
      </c>
      <c r="S35" s="17">
        <f t="shared" si="59"/>
        <v>63.011349832863708</v>
      </c>
      <c r="T35" s="1">
        <v>8981231.0700000003</v>
      </c>
      <c r="U35" s="1">
        <v>8112241.8300000001</v>
      </c>
      <c r="V35" s="17">
        <f t="shared" si="60"/>
        <v>90.32438612004222</v>
      </c>
      <c r="W35" s="1">
        <v>6376605.0700000003</v>
      </c>
      <c r="X35" s="1">
        <v>6114606.75</v>
      </c>
      <c r="Y35" s="17">
        <f t="shared" si="61"/>
        <v>95.891256912982996</v>
      </c>
      <c r="Z35" s="96">
        <f t="shared" si="8"/>
        <v>-29.000768154159076</v>
      </c>
      <c r="AA35" s="96">
        <f t="shared" si="8"/>
        <v>-24.624944890233877</v>
      </c>
    </row>
    <row r="36" spans="1:27" x14ac:dyDescent="0.3">
      <c r="A36" s="5" t="s">
        <v>52</v>
      </c>
      <c r="B36" s="101">
        <v>0</v>
      </c>
      <c r="C36" s="101">
        <v>0</v>
      </c>
      <c r="D36" s="17" t="str">
        <f t="shared" si="54"/>
        <v>-</v>
      </c>
      <c r="E36" s="101">
        <v>0</v>
      </c>
      <c r="F36" s="110">
        <v>0</v>
      </c>
      <c r="G36" s="17" t="str">
        <f t="shared" si="55"/>
        <v>-</v>
      </c>
      <c r="H36" s="101">
        <v>0</v>
      </c>
      <c r="I36" s="110">
        <v>0</v>
      </c>
      <c r="J36" s="17" t="str">
        <f t="shared" si="56"/>
        <v>-</v>
      </c>
      <c r="K36" s="101">
        <v>0</v>
      </c>
      <c r="L36" s="110">
        <v>0</v>
      </c>
      <c r="M36" s="17" t="str">
        <f t="shared" si="57"/>
        <v>-</v>
      </c>
      <c r="N36" s="101">
        <v>0</v>
      </c>
      <c r="O36" s="110">
        <v>0</v>
      </c>
      <c r="P36" s="17" t="str">
        <f t="shared" si="58"/>
        <v>-</v>
      </c>
      <c r="Q36" s="101">
        <v>0</v>
      </c>
      <c r="R36" s="110">
        <v>0</v>
      </c>
      <c r="S36" s="17" t="str">
        <f t="shared" si="59"/>
        <v>-</v>
      </c>
      <c r="T36" s="101">
        <v>0</v>
      </c>
      <c r="U36" s="110">
        <v>0</v>
      </c>
      <c r="V36" s="17" t="str">
        <f t="shared" si="60"/>
        <v>-</v>
      </c>
      <c r="W36" s="101">
        <v>0</v>
      </c>
      <c r="X36" s="110">
        <v>0</v>
      </c>
      <c r="Y36" s="17" t="str">
        <f t="shared" si="61"/>
        <v>-</v>
      </c>
      <c r="Z36" s="96" t="str">
        <f t="shared" si="8"/>
        <v>-</v>
      </c>
      <c r="AA36" s="96" t="str">
        <f t="shared" si="8"/>
        <v>-</v>
      </c>
    </row>
    <row r="37" spans="1:27" x14ac:dyDescent="0.3">
      <c r="A37" s="5" t="s">
        <v>263</v>
      </c>
      <c r="B37" s="101">
        <v>0</v>
      </c>
      <c r="C37" s="101">
        <v>0</v>
      </c>
      <c r="D37" s="17" t="str">
        <f t="shared" si="54"/>
        <v>-</v>
      </c>
      <c r="E37" s="101">
        <v>0</v>
      </c>
      <c r="F37" s="110">
        <v>0</v>
      </c>
      <c r="G37" s="17" t="str">
        <f t="shared" si="55"/>
        <v>-</v>
      </c>
      <c r="H37" s="101">
        <v>0</v>
      </c>
      <c r="I37" s="110">
        <v>0</v>
      </c>
      <c r="J37" s="17" t="str">
        <f t="shared" si="56"/>
        <v>-</v>
      </c>
      <c r="K37" s="101">
        <v>0</v>
      </c>
      <c r="L37" s="110">
        <v>0</v>
      </c>
      <c r="M37" s="17" t="str">
        <f t="shared" si="57"/>
        <v>-</v>
      </c>
      <c r="N37" s="101">
        <v>0</v>
      </c>
      <c r="O37" s="110">
        <v>0</v>
      </c>
      <c r="P37" s="17" t="str">
        <f t="shared" si="58"/>
        <v>-</v>
      </c>
      <c r="Q37" s="101">
        <v>0</v>
      </c>
      <c r="R37" s="110">
        <v>0</v>
      </c>
      <c r="S37" s="17" t="str">
        <f t="shared" si="59"/>
        <v>-</v>
      </c>
      <c r="T37" s="101">
        <v>0</v>
      </c>
      <c r="U37" s="110">
        <v>0</v>
      </c>
      <c r="V37" s="17" t="str">
        <f t="shared" si="60"/>
        <v>-</v>
      </c>
      <c r="W37" s="101">
        <v>0</v>
      </c>
      <c r="X37" s="110">
        <v>0</v>
      </c>
      <c r="Y37" s="17" t="str">
        <f t="shared" si="61"/>
        <v>-</v>
      </c>
      <c r="Z37" s="96" t="str">
        <f t="shared" si="8"/>
        <v>-</v>
      </c>
      <c r="AA37" s="96" t="str">
        <f t="shared" si="8"/>
        <v>-</v>
      </c>
    </row>
    <row r="38" spans="1:27" x14ac:dyDescent="0.3">
      <c r="A38" s="5" t="s">
        <v>53</v>
      </c>
      <c r="B38" s="101">
        <v>0</v>
      </c>
      <c r="C38" s="101">
        <v>0</v>
      </c>
      <c r="D38" s="17" t="str">
        <f t="shared" si="54"/>
        <v>-</v>
      </c>
      <c r="E38" s="101">
        <v>0</v>
      </c>
      <c r="F38" s="110">
        <v>0</v>
      </c>
      <c r="G38" s="17" t="str">
        <f t="shared" si="55"/>
        <v>-</v>
      </c>
      <c r="H38" s="101">
        <v>0</v>
      </c>
      <c r="I38" s="110">
        <v>0</v>
      </c>
      <c r="J38" s="17" t="str">
        <f t="shared" si="56"/>
        <v>-</v>
      </c>
      <c r="K38" s="101">
        <v>0</v>
      </c>
      <c r="L38" s="110">
        <v>0</v>
      </c>
      <c r="M38" s="17" t="str">
        <f t="shared" si="57"/>
        <v>-</v>
      </c>
      <c r="N38" s="101">
        <v>0</v>
      </c>
      <c r="O38" s="110">
        <v>0</v>
      </c>
      <c r="P38" s="17" t="str">
        <f t="shared" si="58"/>
        <v>-</v>
      </c>
      <c r="Q38" s="101">
        <v>0</v>
      </c>
      <c r="R38" s="110">
        <v>0</v>
      </c>
      <c r="S38" s="17" t="str">
        <f t="shared" si="59"/>
        <v>-</v>
      </c>
      <c r="T38" s="101">
        <v>0</v>
      </c>
      <c r="U38" s="110">
        <v>0</v>
      </c>
      <c r="V38" s="17" t="str">
        <f t="shared" si="60"/>
        <v>-</v>
      </c>
      <c r="W38" s="101">
        <v>0</v>
      </c>
      <c r="X38" s="110">
        <v>0</v>
      </c>
      <c r="Y38" s="17" t="str">
        <f t="shared" si="61"/>
        <v>-</v>
      </c>
      <c r="Z38" s="96" t="str">
        <f t="shared" si="8"/>
        <v>-</v>
      </c>
      <c r="AA38" s="96" t="str">
        <f t="shared" si="8"/>
        <v>-</v>
      </c>
    </row>
    <row r="39" spans="1:27" x14ac:dyDescent="0.3">
      <c r="A39" s="5" t="s">
        <v>54</v>
      </c>
      <c r="B39" s="101">
        <v>0</v>
      </c>
      <c r="C39" s="101">
        <v>0</v>
      </c>
      <c r="D39" s="17" t="str">
        <f t="shared" si="54"/>
        <v>-</v>
      </c>
      <c r="E39" s="101">
        <v>0</v>
      </c>
      <c r="F39" s="110">
        <v>0</v>
      </c>
      <c r="G39" s="17" t="str">
        <f t="shared" si="55"/>
        <v>-</v>
      </c>
      <c r="H39" s="101">
        <v>0</v>
      </c>
      <c r="I39" s="110">
        <v>0</v>
      </c>
      <c r="J39" s="17" t="str">
        <f t="shared" si="56"/>
        <v>-</v>
      </c>
      <c r="K39" s="101">
        <v>0</v>
      </c>
      <c r="L39" s="110">
        <v>0</v>
      </c>
      <c r="M39" s="17" t="str">
        <f t="shared" si="57"/>
        <v>-</v>
      </c>
      <c r="N39" s="101">
        <v>0</v>
      </c>
      <c r="O39" s="110">
        <v>0</v>
      </c>
      <c r="P39" s="17" t="str">
        <f t="shared" si="58"/>
        <v>-</v>
      </c>
      <c r="Q39" s="101">
        <v>0</v>
      </c>
      <c r="R39" s="110">
        <v>0</v>
      </c>
      <c r="S39" s="17" t="str">
        <f t="shared" si="59"/>
        <v>-</v>
      </c>
      <c r="T39" s="101">
        <v>0</v>
      </c>
      <c r="U39" s="110">
        <v>0</v>
      </c>
      <c r="V39" s="17" t="str">
        <f t="shared" si="60"/>
        <v>-</v>
      </c>
      <c r="W39" s="101">
        <v>0</v>
      </c>
      <c r="X39" s="110">
        <v>0</v>
      </c>
      <c r="Y39" s="17" t="str">
        <f t="shared" si="61"/>
        <v>-</v>
      </c>
      <c r="Z39" s="96" t="str">
        <f t="shared" si="8"/>
        <v>-</v>
      </c>
      <c r="AA39" s="96" t="str">
        <f t="shared" si="8"/>
        <v>-</v>
      </c>
    </row>
    <row r="40" spans="1:27" x14ac:dyDescent="0.3">
      <c r="A40" s="5" t="s">
        <v>55</v>
      </c>
      <c r="B40" s="101">
        <v>1761605.04</v>
      </c>
      <c r="C40" s="101">
        <v>0</v>
      </c>
      <c r="D40" s="17">
        <f t="shared" si="54"/>
        <v>0</v>
      </c>
      <c r="E40" s="101">
        <v>1761605.04</v>
      </c>
      <c r="F40" s="110">
        <v>1761605.04</v>
      </c>
      <c r="G40" s="17">
        <f t="shared" si="55"/>
        <v>100</v>
      </c>
      <c r="H40" s="101">
        <v>1761605.04</v>
      </c>
      <c r="I40" s="110">
        <v>1761605.04</v>
      </c>
      <c r="J40" s="17">
        <f t="shared" si="56"/>
        <v>100</v>
      </c>
      <c r="K40" s="101">
        <v>1761605</v>
      </c>
      <c r="L40" s="110">
        <v>1761605.04</v>
      </c>
      <c r="M40" s="17">
        <f t="shared" si="57"/>
        <v>100.00000227065659</v>
      </c>
      <c r="N40" s="101">
        <v>1761605.04</v>
      </c>
      <c r="O40" s="110">
        <v>1761605.04</v>
      </c>
      <c r="P40" s="17">
        <f t="shared" si="58"/>
        <v>100</v>
      </c>
      <c r="Q40" s="101">
        <v>1761605</v>
      </c>
      <c r="R40" s="101">
        <v>1761605</v>
      </c>
      <c r="S40" s="17">
        <f t="shared" si="59"/>
        <v>100</v>
      </c>
      <c r="T40" s="101">
        <v>408450</v>
      </c>
      <c r="U40" s="101">
        <v>408450</v>
      </c>
      <c r="V40" s="17">
        <f t="shared" si="60"/>
        <v>100</v>
      </c>
      <c r="W40" s="101">
        <v>408450</v>
      </c>
      <c r="X40" s="101">
        <v>408450</v>
      </c>
      <c r="Y40" s="17">
        <f t="shared" si="61"/>
        <v>100</v>
      </c>
      <c r="Z40" s="96">
        <f t="shared" si="8"/>
        <v>0</v>
      </c>
      <c r="AA40" s="96">
        <f t="shared" si="8"/>
        <v>0</v>
      </c>
    </row>
    <row r="41" spans="1:27" x14ac:dyDescent="0.3">
      <c r="A41" s="5" t="s">
        <v>56</v>
      </c>
      <c r="B41" s="101">
        <v>0</v>
      </c>
      <c r="C41" s="101">
        <v>0</v>
      </c>
      <c r="D41" s="17" t="str">
        <f t="shared" si="54"/>
        <v>-</v>
      </c>
      <c r="E41" s="101">
        <v>0</v>
      </c>
      <c r="F41" s="110">
        <v>0</v>
      </c>
      <c r="G41" s="17" t="str">
        <f t="shared" si="55"/>
        <v>-</v>
      </c>
      <c r="H41" s="101">
        <v>0</v>
      </c>
      <c r="I41" s="110">
        <v>0</v>
      </c>
      <c r="J41" s="17" t="str">
        <f t="shared" si="56"/>
        <v>-</v>
      </c>
      <c r="K41" s="101">
        <v>0</v>
      </c>
      <c r="L41" s="110">
        <v>0</v>
      </c>
      <c r="M41" s="17" t="str">
        <f t="shared" si="57"/>
        <v>-</v>
      </c>
      <c r="N41" s="101">
        <v>0</v>
      </c>
      <c r="O41" s="110">
        <v>0</v>
      </c>
      <c r="P41" s="17" t="str">
        <f t="shared" si="58"/>
        <v>-</v>
      </c>
      <c r="Q41" s="101">
        <v>0</v>
      </c>
      <c r="R41" s="110">
        <v>0</v>
      </c>
      <c r="S41" s="17" t="str">
        <f t="shared" si="59"/>
        <v>-</v>
      </c>
      <c r="T41" s="101">
        <v>0</v>
      </c>
      <c r="U41" s="101">
        <v>0</v>
      </c>
      <c r="V41" s="17" t="str">
        <f t="shared" si="60"/>
        <v>-</v>
      </c>
      <c r="W41" s="101">
        <v>0</v>
      </c>
      <c r="X41" s="101">
        <v>0</v>
      </c>
      <c r="Y41" s="17" t="str">
        <f t="shared" si="61"/>
        <v>-</v>
      </c>
      <c r="Z41" s="96" t="str">
        <f t="shared" si="8"/>
        <v>-</v>
      </c>
      <c r="AA41" s="96" t="str">
        <f t="shared" si="8"/>
        <v>-</v>
      </c>
    </row>
    <row r="42" spans="1:27" x14ac:dyDescent="0.3">
      <c r="A42" s="5" t="s">
        <v>57</v>
      </c>
      <c r="B42" s="101">
        <v>12504884.460000001</v>
      </c>
      <c r="C42" s="101">
        <v>0</v>
      </c>
      <c r="D42" s="17">
        <f t="shared" si="54"/>
        <v>0</v>
      </c>
      <c r="E42" s="101">
        <v>15293916.66</v>
      </c>
      <c r="F42" s="110">
        <v>15293916.66</v>
      </c>
      <c r="G42" s="17">
        <f t="shared" si="55"/>
        <v>100</v>
      </c>
      <c r="H42" s="101">
        <v>17313694.260000002</v>
      </c>
      <c r="I42" s="101">
        <v>17313694.260000002</v>
      </c>
      <c r="J42" s="17">
        <f t="shared" si="56"/>
        <v>100</v>
      </c>
      <c r="K42" s="101">
        <v>15292874.300000001</v>
      </c>
      <c r="L42" s="101">
        <v>15292874.300000001</v>
      </c>
      <c r="M42" s="17">
        <f t="shared" si="57"/>
        <v>100</v>
      </c>
      <c r="N42" s="101">
        <v>12904227.99</v>
      </c>
      <c r="O42" s="101">
        <v>12904227.99</v>
      </c>
      <c r="P42" s="17">
        <f t="shared" si="58"/>
        <v>100</v>
      </c>
      <c r="Q42" s="101">
        <v>17208995.399999999</v>
      </c>
      <c r="R42" s="101">
        <v>17208995.399999999</v>
      </c>
      <c r="S42" s="17">
        <f t="shared" si="59"/>
        <v>100</v>
      </c>
      <c r="T42" s="101">
        <v>20709707.32</v>
      </c>
      <c r="U42" s="101">
        <v>19238902.66</v>
      </c>
      <c r="V42" s="17">
        <f t="shared" si="60"/>
        <v>92.897993982852682</v>
      </c>
      <c r="W42" s="101">
        <v>18132331.059999999</v>
      </c>
      <c r="X42" s="101">
        <v>18132331.059999999</v>
      </c>
      <c r="Y42" s="17">
        <f t="shared" si="61"/>
        <v>100</v>
      </c>
      <c r="Z42" s="96">
        <f t="shared" si="8"/>
        <v>-12.445256807231402</v>
      </c>
      <c r="AA42" s="96">
        <f t="shared" si="8"/>
        <v>-5.7517396888789278</v>
      </c>
    </row>
    <row r="43" spans="1:27" x14ac:dyDescent="0.3">
      <c r="A43" s="5" t="s">
        <v>58</v>
      </c>
      <c r="B43" s="101">
        <v>0</v>
      </c>
      <c r="C43" s="101">
        <v>0</v>
      </c>
      <c r="D43" s="17" t="str">
        <f t="shared" si="54"/>
        <v>-</v>
      </c>
      <c r="E43" s="101">
        <v>0</v>
      </c>
      <c r="F43" s="110">
        <v>0</v>
      </c>
      <c r="G43" s="17" t="str">
        <f t="shared" si="55"/>
        <v>-</v>
      </c>
      <c r="H43" s="101">
        <v>0</v>
      </c>
      <c r="I43" s="110">
        <v>0</v>
      </c>
      <c r="J43" s="17" t="str">
        <f t="shared" si="56"/>
        <v>-</v>
      </c>
      <c r="K43" s="101">
        <v>0</v>
      </c>
      <c r="L43" s="110">
        <v>0</v>
      </c>
      <c r="M43" s="17" t="str">
        <f t="shared" si="57"/>
        <v>-</v>
      </c>
      <c r="N43" s="101">
        <v>0</v>
      </c>
      <c r="O43" s="110">
        <v>0</v>
      </c>
      <c r="P43" s="17" t="str">
        <f t="shared" si="58"/>
        <v>-</v>
      </c>
      <c r="Q43" s="101">
        <v>0</v>
      </c>
      <c r="R43" s="110">
        <v>0</v>
      </c>
      <c r="S43" s="17" t="str">
        <f t="shared" si="59"/>
        <v>-</v>
      </c>
      <c r="T43" s="101">
        <v>0</v>
      </c>
      <c r="U43" s="110">
        <v>0</v>
      </c>
      <c r="V43" s="17" t="str">
        <f t="shared" si="60"/>
        <v>-</v>
      </c>
      <c r="W43" s="101">
        <v>0</v>
      </c>
      <c r="X43" s="110">
        <v>0</v>
      </c>
      <c r="Y43" s="17" t="str">
        <f t="shared" si="61"/>
        <v>-</v>
      </c>
      <c r="Z43" s="96" t="str">
        <f t="shared" si="8"/>
        <v>-</v>
      </c>
      <c r="AA43" s="96" t="str">
        <f t="shared" si="8"/>
        <v>-</v>
      </c>
    </row>
    <row r="44" spans="1:27" x14ac:dyDescent="0.3">
      <c r="A44" s="5" t="s">
        <v>59</v>
      </c>
      <c r="B44" s="101">
        <v>0</v>
      </c>
      <c r="C44" s="101">
        <v>0</v>
      </c>
      <c r="D44" s="17" t="str">
        <f t="shared" si="54"/>
        <v>-</v>
      </c>
      <c r="E44" s="101">
        <v>0</v>
      </c>
      <c r="F44" s="110">
        <v>0</v>
      </c>
      <c r="G44" s="17" t="str">
        <f t="shared" si="55"/>
        <v>-</v>
      </c>
      <c r="H44" s="101">
        <v>0</v>
      </c>
      <c r="I44" s="110">
        <v>0</v>
      </c>
      <c r="J44" s="17" t="str">
        <f t="shared" si="56"/>
        <v>-</v>
      </c>
      <c r="K44" s="101">
        <v>0</v>
      </c>
      <c r="L44" s="110">
        <v>0</v>
      </c>
      <c r="M44" s="17" t="str">
        <f t="shared" si="57"/>
        <v>-</v>
      </c>
      <c r="N44" s="101">
        <v>0</v>
      </c>
      <c r="O44" s="110">
        <v>0</v>
      </c>
      <c r="P44" s="17" t="str">
        <f t="shared" si="58"/>
        <v>-</v>
      </c>
      <c r="Q44" s="101">
        <v>0</v>
      </c>
      <c r="R44" s="110">
        <v>0</v>
      </c>
      <c r="S44" s="17" t="str">
        <f t="shared" si="59"/>
        <v>-</v>
      </c>
      <c r="T44" s="101">
        <v>0</v>
      </c>
      <c r="U44" s="110">
        <v>0</v>
      </c>
      <c r="V44" s="17" t="str">
        <f t="shared" si="60"/>
        <v>-</v>
      </c>
      <c r="W44" s="101">
        <v>0</v>
      </c>
      <c r="X44" s="110">
        <v>0</v>
      </c>
      <c r="Y44" s="17" t="str">
        <f t="shared" si="61"/>
        <v>-</v>
      </c>
      <c r="Z44" s="96" t="str">
        <f t="shared" si="8"/>
        <v>-</v>
      </c>
      <c r="AA44" s="96" t="str">
        <f t="shared" si="8"/>
        <v>-</v>
      </c>
    </row>
    <row r="45" spans="1:27" x14ac:dyDescent="0.3">
      <c r="A45" s="5" t="s">
        <v>60</v>
      </c>
      <c r="B45" s="101">
        <v>400691924.07999998</v>
      </c>
      <c r="C45" s="101">
        <v>299845569.39999998</v>
      </c>
      <c r="D45" s="17">
        <f t="shared" si="54"/>
        <v>74.831947284301748</v>
      </c>
      <c r="E45" s="101">
        <v>473507436</v>
      </c>
      <c r="F45" s="110">
        <v>335751527</v>
      </c>
      <c r="G45" s="17">
        <f t="shared" si="55"/>
        <v>70.907339879663482</v>
      </c>
      <c r="H45" s="102">
        <v>351152641.89999998</v>
      </c>
      <c r="I45" s="102">
        <v>231036660.41</v>
      </c>
      <c r="J45" s="17">
        <f t="shared" si="56"/>
        <v>65.793798149977704</v>
      </c>
      <c r="K45" s="102">
        <v>324941805.68000001</v>
      </c>
      <c r="L45" s="102">
        <v>207924485.09999999</v>
      </c>
      <c r="M45" s="17">
        <f t="shared" si="57"/>
        <v>63.988222341806733</v>
      </c>
      <c r="N45" s="102">
        <v>414310883.48000002</v>
      </c>
      <c r="O45" s="102">
        <v>376242712.45999998</v>
      </c>
      <c r="P45" s="17">
        <f t="shared" si="58"/>
        <v>90.811689352631333</v>
      </c>
      <c r="Q45" s="102">
        <v>414310883.48000002</v>
      </c>
      <c r="R45" s="102">
        <v>376242712.45999998</v>
      </c>
      <c r="S45" s="17">
        <f t="shared" si="59"/>
        <v>90.811689352631333</v>
      </c>
      <c r="T45" s="102">
        <v>203517535.65000001</v>
      </c>
      <c r="U45" s="102">
        <v>203517535.65000001</v>
      </c>
      <c r="V45" s="17">
        <f t="shared" si="60"/>
        <v>100</v>
      </c>
      <c r="W45" s="102">
        <v>0</v>
      </c>
      <c r="X45" s="102">
        <v>0</v>
      </c>
      <c r="Y45" s="17" t="str">
        <f t="shared" si="61"/>
        <v>-</v>
      </c>
      <c r="Z45" s="96">
        <f t="shared" si="8"/>
        <v>-100</v>
      </c>
      <c r="AA45" s="96">
        <f t="shared" si="8"/>
        <v>-100</v>
      </c>
    </row>
    <row r="46" spans="1:27" x14ac:dyDescent="0.3">
      <c r="A46" s="5" t="s">
        <v>61</v>
      </c>
      <c r="B46" s="101">
        <v>462710136.16000003</v>
      </c>
      <c r="C46" s="101">
        <v>0</v>
      </c>
      <c r="D46" s="17">
        <f t="shared" si="54"/>
        <v>0</v>
      </c>
      <c r="E46" s="101">
        <v>448720545.26999998</v>
      </c>
      <c r="F46" s="110">
        <v>443603509</v>
      </c>
      <c r="G46" s="17">
        <f t="shared" si="55"/>
        <v>98.859638515789143</v>
      </c>
      <c r="H46" s="101">
        <v>336795457.72000003</v>
      </c>
      <c r="I46" s="110">
        <v>0</v>
      </c>
      <c r="J46" s="17">
        <f t="shared" si="56"/>
        <v>0</v>
      </c>
      <c r="K46" s="101">
        <v>216830729.63</v>
      </c>
      <c r="L46" s="110">
        <v>0</v>
      </c>
      <c r="M46" s="17">
        <f t="shared" si="57"/>
        <v>0</v>
      </c>
      <c r="N46" s="101">
        <v>98644479.079999998</v>
      </c>
      <c r="O46" s="110">
        <v>0</v>
      </c>
      <c r="P46" s="17">
        <f t="shared" si="58"/>
        <v>0</v>
      </c>
      <c r="Q46" s="101">
        <v>176237244</v>
      </c>
      <c r="R46" s="110">
        <v>0</v>
      </c>
      <c r="S46" s="17">
        <f t="shared" si="59"/>
        <v>0</v>
      </c>
      <c r="T46" s="101">
        <v>476337644.68000001</v>
      </c>
      <c r="U46" s="110">
        <v>0</v>
      </c>
      <c r="V46" s="17">
        <f t="shared" si="60"/>
        <v>0</v>
      </c>
      <c r="W46" s="101">
        <v>751693580.25999999</v>
      </c>
      <c r="X46" s="110">
        <v>0</v>
      </c>
      <c r="Y46" s="17">
        <f t="shared" si="61"/>
        <v>0</v>
      </c>
      <c r="Z46" s="96">
        <f t="shared" si="8"/>
        <v>57.806881033931717</v>
      </c>
      <c r="AA46" s="96" t="str">
        <f t="shared" si="8"/>
        <v>-</v>
      </c>
    </row>
    <row r="47" spans="1:27" x14ac:dyDescent="0.3">
      <c r="A47" s="5" t="s">
        <v>62</v>
      </c>
      <c r="B47" s="101">
        <v>2373699.4500000002</v>
      </c>
      <c r="C47" s="101">
        <v>0</v>
      </c>
      <c r="D47" s="17">
        <f t="shared" si="54"/>
        <v>0</v>
      </c>
      <c r="E47" s="101">
        <v>6301972.5599999996</v>
      </c>
      <c r="F47" s="110">
        <v>3299283</v>
      </c>
      <c r="G47" s="17">
        <f t="shared" si="55"/>
        <v>52.353179398800812</v>
      </c>
      <c r="H47" s="101">
        <v>2235771.6</v>
      </c>
      <c r="I47" s="110">
        <v>0</v>
      </c>
      <c r="J47" s="17">
        <f t="shared" si="56"/>
        <v>0</v>
      </c>
      <c r="K47" s="101">
        <v>99498120.5</v>
      </c>
      <c r="L47" s="110">
        <v>0</v>
      </c>
      <c r="M47" s="17">
        <f t="shared" si="57"/>
        <v>0</v>
      </c>
      <c r="N47" s="101">
        <v>101918760.15000001</v>
      </c>
      <c r="O47" s="110">
        <v>0</v>
      </c>
      <c r="P47" s="17">
        <f t="shared" si="58"/>
        <v>0</v>
      </c>
      <c r="Q47" s="101">
        <v>569074448.70000005</v>
      </c>
      <c r="R47" s="110">
        <v>0</v>
      </c>
      <c r="S47" s="17">
        <f t="shared" si="59"/>
        <v>0</v>
      </c>
      <c r="T47" s="101">
        <v>26821459.109999999</v>
      </c>
      <c r="U47" s="110">
        <v>0</v>
      </c>
      <c r="V47" s="17">
        <f t="shared" si="60"/>
        <v>0</v>
      </c>
      <c r="W47" s="101">
        <v>53306702.859999999</v>
      </c>
      <c r="X47" s="110">
        <v>0</v>
      </c>
      <c r="Y47" s="17">
        <f t="shared" si="61"/>
        <v>0</v>
      </c>
      <c r="Z47" s="96">
        <f t="shared" si="8"/>
        <v>98.74646879343473</v>
      </c>
      <c r="AA47" s="96" t="str">
        <f t="shared" si="8"/>
        <v>-</v>
      </c>
    </row>
    <row r="48" spans="1:27" x14ac:dyDescent="0.3">
      <c r="A48" s="5" t="s">
        <v>63</v>
      </c>
      <c r="B48" s="101">
        <f t="shared" ref="B48" si="62">SUM(B23:B30)</f>
        <v>417952906.32000005</v>
      </c>
      <c r="C48" s="103">
        <v>220986291.30000001</v>
      </c>
      <c r="D48" s="17">
        <f t="shared" si="54"/>
        <v>52.873490758981546</v>
      </c>
      <c r="E48" s="101">
        <f t="shared" ref="E48:F48" si="63">SUM(E23:E30)</f>
        <v>377685942.42000002</v>
      </c>
      <c r="F48" s="101">
        <f t="shared" si="63"/>
        <v>238920757</v>
      </c>
      <c r="G48" s="17">
        <f t="shared" si="55"/>
        <v>63.259107677963755</v>
      </c>
      <c r="H48" s="101">
        <f t="shared" ref="H48" si="64">SUM(H23:H30)</f>
        <v>341605093.32999998</v>
      </c>
      <c r="I48" s="103">
        <v>211581851.49000001</v>
      </c>
      <c r="J48" s="17">
        <f t="shared" si="56"/>
        <v>61.937557612938186</v>
      </c>
      <c r="K48" s="101">
        <f>SUM(K23:K30)</f>
        <v>326384860.93000001</v>
      </c>
      <c r="L48" s="101">
        <f>SUM(L23:L30)</f>
        <v>253071439.16000003</v>
      </c>
      <c r="M48" s="17">
        <f t="shared" si="57"/>
        <v>77.537738251369575</v>
      </c>
      <c r="N48" s="101">
        <f>SUM(N23:N30)</f>
        <v>318080321.11999995</v>
      </c>
      <c r="O48" s="101">
        <f>SUM(O23:O30)</f>
        <v>242637818.92000002</v>
      </c>
      <c r="P48" s="17">
        <f t="shared" si="58"/>
        <v>76.281933464365977</v>
      </c>
      <c r="Q48" s="101">
        <f t="shared" ref="Q48:R48" si="65">SUM(Q23:Q30)</f>
        <v>334656794.88</v>
      </c>
      <c r="R48" s="101">
        <f t="shared" si="65"/>
        <v>243176214.53000003</v>
      </c>
      <c r="S48" s="17">
        <f t="shared" si="59"/>
        <v>72.664358904530019</v>
      </c>
      <c r="T48" s="101">
        <f t="shared" ref="T48:U48" si="66">SUM(T23:T30)</f>
        <v>354178714.75</v>
      </c>
      <c r="U48" s="101">
        <f t="shared" si="66"/>
        <v>265449254.23000002</v>
      </c>
      <c r="V48" s="17">
        <f t="shared" si="60"/>
        <v>74.947828080908124</v>
      </c>
      <c r="W48" s="101">
        <f t="shared" ref="W48:X48" si="67">SUM(W23:W30)</f>
        <v>379502937.65999997</v>
      </c>
      <c r="X48" s="101">
        <f t="shared" si="67"/>
        <v>289956956.16999996</v>
      </c>
      <c r="Y48" s="17">
        <f t="shared" si="61"/>
        <v>76.404403601685672</v>
      </c>
      <c r="Z48" s="96">
        <f t="shared" si="8"/>
        <v>7.1501255878336138</v>
      </c>
      <c r="AA48" s="96">
        <f t="shared" si="8"/>
        <v>9.2325374999038701</v>
      </c>
    </row>
    <row r="49" spans="1:27" x14ac:dyDescent="0.3">
      <c r="A49" s="5" t="s">
        <v>64</v>
      </c>
      <c r="B49" s="101">
        <f t="shared" ref="B49" si="68">SUM(B31:B35)</f>
        <v>20372500.890000001</v>
      </c>
      <c r="C49" s="103">
        <v>2294099.9300000002</v>
      </c>
      <c r="D49" s="17">
        <f t="shared" si="54"/>
        <v>11.260767356874075</v>
      </c>
      <c r="E49" s="101">
        <f t="shared" ref="E49:F49" si="69">SUM(E31:E35)</f>
        <v>17640305.219999999</v>
      </c>
      <c r="F49" s="101">
        <f t="shared" si="69"/>
        <v>1824551</v>
      </c>
      <c r="G49" s="17">
        <f t="shared" si="55"/>
        <v>10.343080673748116</v>
      </c>
      <c r="H49" s="101">
        <f t="shared" ref="H49" si="70">SUM(H31:H35)</f>
        <v>16352404.84</v>
      </c>
      <c r="I49" s="103">
        <v>7778538.4000000004</v>
      </c>
      <c r="J49" s="17">
        <f t="shared" si="56"/>
        <v>47.568161845973478</v>
      </c>
      <c r="K49" s="101">
        <f t="shared" ref="K49:L49" si="71">SUM(K31:K35)</f>
        <v>7420005.04</v>
      </c>
      <c r="L49" s="101">
        <f t="shared" si="71"/>
        <v>4436478.12</v>
      </c>
      <c r="M49" s="17">
        <f t="shared" si="57"/>
        <v>59.790769629989363</v>
      </c>
      <c r="N49" s="101">
        <f t="shared" ref="N49:O49" si="72">SUM(N31:N35)</f>
        <v>21823715.16</v>
      </c>
      <c r="O49" s="101">
        <f t="shared" si="72"/>
        <v>8101973.2999999998</v>
      </c>
      <c r="P49" s="17">
        <f t="shared" si="58"/>
        <v>37.124629058804118</v>
      </c>
      <c r="Q49" s="101">
        <f t="shared" ref="Q49" si="73">SUM(Q31:Q35)</f>
        <v>39360839.900000006</v>
      </c>
      <c r="R49" s="101">
        <f>SUM(R31:R35)</f>
        <v>29336935.280000001</v>
      </c>
      <c r="S49" s="17">
        <f t="shared" si="59"/>
        <v>74.533306084253553</v>
      </c>
      <c r="T49" s="101">
        <f t="shared" ref="T49" si="74">SUM(T31:T35)</f>
        <v>55632567.93</v>
      </c>
      <c r="U49" s="101">
        <f>SUM(U31:U35)</f>
        <v>32086986.030000001</v>
      </c>
      <c r="V49" s="17">
        <f t="shared" si="60"/>
        <v>57.676622208727878</v>
      </c>
      <c r="W49" s="101">
        <f t="shared" ref="W49:X49" si="75">SUM(W31:W35)</f>
        <v>106717405.10999998</v>
      </c>
      <c r="X49" s="101">
        <f>SUM(X31:X35)</f>
        <v>91221825.439999998</v>
      </c>
      <c r="Y49" s="17">
        <f t="shared" si="61"/>
        <v>85.47980092466851</v>
      </c>
      <c r="Z49" s="96">
        <f t="shared" si="8"/>
        <v>91.825416443615865</v>
      </c>
      <c r="AA49" s="96">
        <f t="shared" si="8"/>
        <v>184.29540049262141</v>
      </c>
    </row>
    <row r="50" spans="1:27" x14ac:dyDescent="0.3">
      <c r="A50" s="5" t="s">
        <v>65</v>
      </c>
      <c r="B50" s="101">
        <f t="shared" ref="B50:C50" si="76">SUM(B36:B39)</f>
        <v>0</v>
      </c>
      <c r="C50" s="101">
        <f t="shared" si="76"/>
        <v>0</v>
      </c>
      <c r="D50" s="17" t="str">
        <f t="shared" si="54"/>
        <v>-</v>
      </c>
      <c r="E50" s="101">
        <f t="shared" ref="E50:F50" si="77">SUM(E36:E39)</f>
        <v>0</v>
      </c>
      <c r="F50" s="110">
        <f t="shared" si="77"/>
        <v>0</v>
      </c>
      <c r="G50" s="17" t="str">
        <f t="shared" si="55"/>
        <v>-</v>
      </c>
      <c r="H50" s="101">
        <f t="shared" ref="H50:I50" si="78">SUM(H36:H39)</f>
        <v>0</v>
      </c>
      <c r="I50" s="110">
        <f t="shared" si="78"/>
        <v>0</v>
      </c>
      <c r="J50" s="17" t="str">
        <f t="shared" si="56"/>
        <v>-</v>
      </c>
      <c r="K50" s="101">
        <f t="shared" ref="K50:L50" si="79">SUM(K36:K39)</f>
        <v>0</v>
      </c>
      <c r="L50" s="110">
        <f t="shared" si="79"/>
        <v>0</v>
      </c>
      <c r="M50" s="17" t="str">
        <f t="shared" si="57"/>
        <v>-</v>
      </c>
      <c r="N50" s="101">
        <f t="shared" ref="N50:O50" si="80">SUM(N36:N39)</f>
        <v>0</v>
      </c>
      <c r="O50" s="110">
        <f t="shared" si="80"/>
        <v>0</v>
      </c>
      <c r="P50" s="17" t="str">
        <f t="shared" si="58"/>
        <v>-</v>
      </c>
      <c r="Q50" s="101">
        <f t="shared" ref="Q50:R50" si="81">SUM(Q36:Q39)</f>
        <v>0</v>
      </c>
      <c r="R50" s="110">
        <f t="shared" si="81"/>
        <v>0</v>
      </c>
      <c r="S50" s="17" t="str">
        <f t="shared" si="59"/>
        <v>-</v>
      </c>
      <c r="T50" s="101">
        <f t="shared" ref="T50:U50" si="82">SUM(T36:T39)</f>
        <v>0</v>
      </c>
      <c r="U50" s="110">
        <f t="shared" si="82"/>
        <v>0</v>
      </c>
      <c r="V50" s="17" t="str">
        <f t="shared" si="60"/>
        <v>-</v>
      </c>
      <c r="W50" s="101">
        <f t="shared" ref="W50:X50" si="83">SUM(W36:W39)</f>
        <v>0</v>
      </c>
      <c r="X50" s="110">
        <f t="shared" si="83"/>
        <v>0</v>
      </c>
      <c r="Y50" s="17" t="str">
        <f t="shared" si="61"/>
        <v>-</v>
      </c>
      <c r="Z50" s="96" t="str">
        <f t="shared" si="8"/>
        <v>-</v>
      </c>
      <c r="AA50" s="96" t="str">
        <f t="shared" si="8"/>
        <v>-</v>
      </c>
    </row>
    <row r="51" spans="1:27" x14ac:dyDescent="0.3">
      <c r="A51" s="5" t="s">
        <v>66</v>
      </c>
      <c r="B51" s="101">
        <f t="shared" ref="B51" si="84">SUM(B40:B44)</f>
        <v>14266489.5</v>
      </c>
      <c r="C51" s="103">
        <v>10550173.33</v>
      </c>
      <c r="D51" s="17">
        <f t="shared" si="54"/>
        <v>73.950731397517231</v>
      </c>
      <c r="E51" s="101">
        <f t="shared" ref="E51:F51" si="85">SUM(E40:E44)</f>
        <v>17055521.699999999</v>
      </c>
      <c r="F51" s="101">
        <f t="shared" si="85"/>
        <v>17055521.699999999</v>
      </c>
      <c r="G51" s="17">
        <f t="shared" si="55"/>
        <v>100</v>
      </c>
      <c r="H51" s="101">
        <f t="shared" ref="H51:I51" si="86">SUM(H40:H44)</f>
        <v>19075299.300000001</v>
      </c>
      <c r="I51" s="101">
        <f t="shared" si="86"/>
        <v>19075299.300000001</v>
      </c>
      <c r="J51" s="17">
        <f t="shared" si="56"/>
        <v>100</v>
      </c>
      <c r="K51" s="101">
        <f t="shared" ref="K51:L51" si="87">SUM(K40:K44)</f>
        <v>17054479.300000001</v>
      </c>
      <c r="L51" s="101">
        <f t="shared" si="87"/>
        <v>17054479.34</v>
      </c>
      <c r="M51" s="17">
        <f t="shared" si="57"/>
        <v>100.00000023454247</v>
      </c>
      <c r="N51" s="101">
        <f t="shared" ref="N51:O51" si="88">SUM(N40:N44)</f>
        <v>14665833.030000001</v>
      </c>
      <c r="O51" s="101">
        <f t="shared" si="88"/>
        <v>14665833.030000001</v>
      </c>
      <c r="P51" s="17">
        <f t="shared" si="58"/>
        <v>100</v>
      </c>
      <c r="Q51" s="101">
        <f t="shared" ref="Q51:R51" si="89">SUM(Q40:Q44)</f>
        <v>18970600.399999999</v>
      </c>
      <c r="R51" s="101">
        <f t="shared" si="89"/>
        <v>18970600.399999999</v>
      </c>
      <c r="S51" s="17">
        <f t="shared" si="59"/>
        <v>100</v>
      </c>
      <c r="T51" s="101">
        <f t="shared" ref="T51:U51" si="90">SUM(T40:T44)</f>
        <v>21118157.32</v>
      </c>
      <c r="U51" s="101">
        <f t="shared" si="90"/>
        <v>19647352.66</v>
      </c>
      <c r="V51" s="17">
        <f t="shared" si="60"/>
        <v>93.03535513201679</v>
      </c>
      <c r="W51" s="101">
        <f t="shared" ref="W51:X51" si="91">SUM(W40:W44)</f>
        <v>18540781.059999999</v>
      </c>
      <c r="X51" s="101">
        <f t="shared" si="91"/>
        <v>18540781.059999999</v>
      </c>
      <c r="Y51" s="17">
        <f t="shared" si="61"/>
        <v>100</v>
      </c>
      <c r="Z51" s="96">
        <f t="shared" si="8"/>
        <v>-12.204550903497108</v>
      </c>
      <c r="AA51" s="96">
        <f t="shared" si="8"/>
        <v>-5.6321664254180632</v>
      </c>
    </row>
    <row r="52" spans="1:27" x14ac:dyDescent="0.3">
      <c r="A52" s="5" t="s">
        <v>67</v>
      </c>
      <c r="B52" s="101">
        <f t="shared" ref="B52:C52" si="92">B45</f>
        <v>400691924.07999998</v>
      </c>
      <c r="C52" s="101">
        <f t="shared" si="92"/>
        <v>299845569.39999998</v>
      </c>
      <c r="D52" s="17">
        <f t="shared" si="54"/>
        <v>74.831947284301748</v>
      </c>
      <c r="E52" s="101">
        <f t="shared" ref="E52:F52" si="93">E45</f>
        <v>473507436</v>
      </c>
      <c r="F52" s="101">
        <f t="shared" si="93"/>
        <v>335751527</v>
      </c>
      <c r="G52" s="17">
        <f t="shared" si="55"/>
        <v>70.907339879663482</v>
      </c>
      <c r="H52" s="101">
        <f t="shared" ref="H52:I52" si="94">H45</f>
        <v>351152641.89999998</v>
      </c>
      <c r="I52" s="101">
        <f t="shared" si="94"/>
        <v>231036660.41</v>
      </c>
      <c r="J52" s="17">
        <f t="shared" si="56"/>
        <v>65.793798149977704</v>
      </c>
      <c r="K52" s="101">
        <f t="shared" ref="K52:L52" si="95">K45</f>
        <v>324941805.68000001</v>
      </c>
      <c r="L52" s="101">
        <f t="shared" si="95"/>
        <v>207924485.09999999</v>
      </c>
      <c r="M52" s="17">
        <f t="shared" si="57"/>
        <v>63.988222341806733</v>
      </c>
      <c r="N52" s="101">
        <f t="shared" ref="N52:O52" si="96">N45</f>
        <v>414310883.48000002</v>
      </c>
      <c r="O52" s="101">
        <f t="shared" si="96"/>
        <v>376242712.45999998</v>
      </c>
      <c r="P52" s="17">
        <f t="shared" si="58"/>
        <v>90.811689352631333</v>
      </c>
      <c r="Q52" s="101">
        <v>319042651.10000002</v>
      </c>
      <c r="R52" s="101">
        <v>238758670.5</v>
      </c>
      <c r="S52" s="17">
        <f t="shared" si="59"/>
        <v>74.835972455972353</v>
      </c>
      <c r="T52" s="101">
        <f t="shared" ref="T52:U52" si="97">T45</f>
        <v>203517535.65000001</v>
      </c>
      <c r="U52" s="101">
        <f t="shared" si="97"/>
        <v>203517535.65000001</v>
      </c>
      <c r="V52" s="17">
        <f t="shared" si="60"/>
        <v>100</v>
      </c>
      <c r="W52" s="101">
        <f t="shared" ref="W52:X52" si="98">W45</f>
        <v>0</v>
      </c>
      <c r="X52" s="101">
        <f t="shared" si="98"/>
        <v>0</v>
      </c>
      <c r="Y52" s="17" t="str">
        <f t="shared" si="61"/>
        <v>-</v>
      </c>
      <c r="Z52" s="96">
        <f t="shared" si="8"/>
        <v>-100</v>
      </c>
      <c r="AA52" s="96">
        <f t="shared" si="8"/>
        <v>-100</v>
      </c>
    </row>
    <row r="53" spans="1:27" x14ac:dyDescent="0.3">
      <c r="A53" s="5" t="s">
        <v>68</v>
      </c>
      <c r="B53" s="101">
        <f>SUM(B46:B47)</f>
        <v>465083835.61000001</v>
      </c>
      <c r="C53" s="103">
        <v>457816385.67000002</v>
      </c>
      <c r="D53" s="17">
        <f t="shared" si="54"/>
        <v>98.437389265428237</v>
      </c>
      <c r="E53" s="101">
        <f>SUM(E46:E47)</f>
        <v>455022517.82999998</v>
      </c>
      <c r="F53" s="101">
        <f>SUM(F46:F47)</f>
        <v>446902792</v>
      </c>
      <c r="G53" s="17">
        <f t="shared" si="55"/>
        <v>98.215533185319501</v>
      </c>
      <c r="H53" s="101">
        <f>SUM(H46:H47)</f>
        <v>339031229.32000005</v>
      </c>
      <c r="I53" s="103">
        <v>331544471.56</v>
      </c>
      <c r="J53" s="17">
        <f t="shared" si="56"/>
        <v>97.791720315849261</v>
      </c>
      <c r="K53" s="101">
        <f>SUM(K46:K47)</f>
        <v>316328850.13</v>
      </c>
      <c r="L53" s="103">
        <v>245080063.19</v>
      </c>
      <c r="M53" s="17">
        <f t="shared" si="57"/>
        <v>77.476355093530273</v>
      </c>
      <c r="N53" s="101">
        <f>SUM(N46:N47)</f>
        <v>200563239.23000002</v>
      </c>
      <c r="O53" s="103">
        <v>145705191.65000001</v>
      </c>
      <c r="P53" s="17">
        <f t="shared" si="58"/>
        <v>72.648004793595092</v>
      </c>
      <c r="Q53" s="101">
        <f>SUM(Q46:Q47)</f>
        <v>745311692.70000005</v>
      </c>
      <c r="R53" s="103">
        <v>173282186.80000001</v>
      </c>
      <c r="S53" s="17">
        <f t="shared" si="59"/>
        <v>23.249626766522351</v>
      </c>
      <c r="T53" s="101">
        <f>SUM(T46:T47)</f>
        <v>503159103.79000002</v>
      </c>
      <c r="U53" s="103">
        <v>489561058.13999999</v>
      </c>
      <c r="V53" s="17">
        <f t="shared" si="60"/>
        <v>97.297466040547803</v>
      </c>
      <c r="W53" s="101">
        <f>SUM(W46:W47)</f>
        <v>805000283.12</v>
      </c>
      <c r="X53" s="103">
        <v>780068241.02999997</v>
      </c>
      <c r="Y53" s="17">
        <f t="shared" si="61"/>
        <v>96.902853003558079</v>
      </c>
      <c r="Z53" s="96">
        <f t="shared" si="8"/>
        <v>59.989211574710453</v>
      </c>
      <c r="AA53" s="96">
        <f t="shared" si="8"/>
        <v>59.340337238776755</v>
      </c>
    </row>
    <row r="54" spans="1:27" x14ac:dyDescent="0.3">
      <c r="A54" s="5" t="s">
        <v>69</v>
      </c>
      <c r="B54" s="16">
        <f>SUM(B48:B53)</f>
        <v>1318367656.4000001</v>
      </c>
      <c r="C54" s="16">
        <f>SUM(C48:C53)</f>
        <v>991492519.63000011</v>
      </c>
      <c r="D54" s="17">
        <f t="shared" si="54"/>
        <v>75.206071297093146</v>
      </c>
      <c r="E54" s="21">
        <f>SUM(E48:E53)</f>
        <v>1340911723.1699998</v>
      </c>
      <c r="F54" s="16">
        <f>SUM(F48:F53)</f>
        <v>1040455148.7</v>
      </c>
      <c r="G54" s="17">
        <f t="shared" si="55"/>
        <v>77.593113008237296</v>
      </c>
      <c r="H54" s="21">
        <f>SUM(H48:H53)</f>
        <v>1067216668.6899999</v>
      </c>
      <c r="I54" s="16">
        <f>SUM(I48:I53)</f>
        <v>801016821.16000009</v>
      </c>
      <c r="J54" s="17">
        <f t="shared" si="56"/>
        <v>75.05662576871498</v>
      </c>
      <c r="K54" s="21">
        <f>SUM(K48:K53)</f>
        <v>992130001.08000004</v>
      </c>
      <c r="L54" s="16">
        <f>SUM(L48:L53)</f>
        <v>727566944.91000009</v>
      </c>
      <c r="M54" s="17">
        <f t="shared" si="57"/>
        <v>73.333831667018899</v>
      </c>
      <c r="N54" s="21">
        <f>SUM(N48:N53)</f>
        <v>969443992.01999998</v>
      </c>
      <c r="O54" s="16">
        <f>SUM(O48:O53)</f>
        <v>787353529.36000001</v>
      </c>
      <c r="P54" s="17">
        <f t="shared" si="58"/>
        <v>81.217020873935809</v>
      </c>
      <c r="Q54" s="21">
        <f>SUM(Q48:Q53)</f>
        <v>1457342578.98</v>
      </c>
      <c r="R54" s="16">
        <f>SUM(R48:R53)</f>
        <v>703524607.50999999</v>
      </c>
      <c r="S54" s="17">
        <f t="shared" si="59"/>
        <v>48.274483821257711</v>
      </c>
      <c r="T54" s="21">
        <f>SUM(T48:T53)</f>
        <v>1137606079.4400001</v>
      </c>
      <c r="U54" s="16">
        <f>SUM(U48:U53)</f>
        <v>1010262186.71</v>
      </c>
      <c r="V54" s="17">
        <f t="shared" si="60"/>
        <v>88.805976424397585</v>
      </c>
      <c r="W54" s="21">
        <f>SUM(W48:W53)</f>
        <v>1309761406.95</v>
      </c>
      <c r="X54" s="16">
        <f>SUM(X48:X53)</f>
        <v>1179787803.6999998</v>
      </c>
      <c r="Y54" s="17">
        <f t="shared" si="61"/>
        <v>90.076543516985609</v>
      </c>
      <c r="Z54" s="96">
        <f t="shared" si="8"/>
        <v>15.133123022228006</v>
      </c>
      <c r="AA54" s="96">
        <f t="shared" si="8"/>
        <v>16.780358526737842</v>
      </c>
    </row>
    <row r="55" spans="1:27" x14ac:dyDescent="0.3">
      <c r="A55" s="12" t="s">
        <v>70</v>
      </c>
      <c r="B55" s="13">
        <f>B54-B53</f>
        <v>853283820.79000008</v>
      </c>
      <c r="C55" s="13">
        <f>C54-C53</f>
        <v>533676133.9600001</v>
      </c>
      <c r="D55" s="18">
        <f t="shared" si="54"/>
        <v>62.543800896857981</v>
      </c>
      <c r="E55" s="22">
        <f>E54-E53</f>
        <v>885889205.33999991</v>
      </c>
      <c r="F55" s="13">
        <f>F54-F53</f>
        <v>593552356.70000005</v>
      </c>
      <c r="G55" s="18">
        <f t="shared" si="55"/>
        <v>67.000743786261353</v>
      </c>
      <c r="H55" s="22">
        <f>H54-H53</f>
        <v>728185439.36999989</v>
      </c>
      <c r="I55" s="13">
        <f>I54-I53</f>
        <v>469472349.60000008</v>
      </c>
      <c r="J55" s="18">
        <f t="shared" si="56"/>
        <v>64.471537635546625</v>
      </c>
      <c r="K55" s="22">
        <f>K54-K53</f>
        <v>675801150.95000005</v>
      </c>
      <c r="L55" s="13">
        <f>L54-L53</f>
        <v>482486881.72000009</v>
      </c>
      <c r="M55" s="18">
        <f t="shared" si="57"/>
        <v>71.394800236985319</v>
      </c>
      <c r="N55" s="22">
        <f>N54-N53</f>
        <v>768880752.78999996</v>
      </c>
      <c r="O55" s="13">
        <f>O54-O53</f>
        <v>641648337.71000004</v>
      </c>
      <c r="P55" s="18">
        <f t="shared" si="58"/>
        <v>83.45225646261558</v>
      </c>
      <c r="Q55" s="22">
        <f>Q54-Q53</f>
        <v>712030886.27999997</v>
      </c>
      <c r="R55" s="13">
        <f>R54-R53</f>
        <v>530242420.70999998</v>
      </c>
      <c r="S55" s="18">
        <f t="shared" si="59"/>
        <v>74.469019662931686</v>
      </c>
      <c r="T55" s="22">
        <f>T54-T53</f>
        <v>634446975.6500001</v>
      </c>
      <c r="U55" s="13">
        <f>U54-U53</f>
        <v>520701128.57000005</v>
      </c>
      <c r="V55" s="18">
        <f t="shared" si="60"/>
        <v>82.071654299641708</v>
      </c>
      <c r="W55" s="22">
        <f>W54-W53</f>
        <v>504761123.83000004</v>
      </c>
      <c r="X55" s="13">
        <f>X54-X53</f>
        <v>399719562.66999984</v>
      </c>
      <c r="Y55" s="18">
        <f t="shared" si="61"/>
        <v>79.189847196834151</v>
      </c>
      <c r="Z55" s="98">
        <f t="shared" si="8"/>
        <v>-20.440770749539013</v>
      </c>
      <c r="AA55" s="98">
        <f t="shared" si="8"/>
        <v>-23.234358303054108</v>
      </c>
    </row>
    <row r="56" spans="1:27" s="93" customFormat="1" x14ac:dyDescent="0.3">
      <c r="A56" s="100" t="s">
        <v>71</v>
      </c>
      <c r="B56" s="102">
        <f>B14-B48</f>
        <v>36895234.719999969</v>
      </c>
      <c r="C56" s="102">
        <f>C14-C48</f>
        <v>88942344.350000024</v>
      </c>
      <c r="D56" s="19"/>
      <c r="E56" s="102">
        <f>E14-E48</f>
        <v>13595644.430000007</v>
      </c>
      <c r="F56" s="102">
        <f>F14-F48</f>
        <v>43975973.650000036</v>
      </c>
      <c r="G56" s="19"/>
      <c r="H56" s="102">
        <f>H14-H48</f>
        <v>108976090.14000005</v>
      </c>
      <c r="I56" s="102">
        <f>I14-I48</f>
        <v>83045565.709999979</v>
      </c>
      <c r="J56" s="19"/>
      <c r="K56" s="102">
        <f>K14-K48</f>
        <v>93271165.209999979</v>
      </c>
      <c r="L56" s="102">
        <f>L14-L48</f>
        <v>46707824.339999974</v>
      </c>
      <c r="M56" s="19"/>
      <c r="N56" s="102">
        <f>N14-N48</f>
        <v>130685994.81000006</v>
      </c>
      <c r="O56" s="102">
        <f>O14-O48</f>
        <v>74879803.959999919</v>
      </c>
      <c r="P56" s="19"/>
      <c r="Q56" s="102">
        <f>Q14-Q48</f>
        <v>162897563.71999997</v>
      </c>
      <c r="R56" s="102">
        <f>R14-R48</f>
        <v>-41301710.430000037</v>
      </c>
      <c r="S56" s="19"/>
      <c r="T56" s="102">
        <f>T14-T48</f>
        <v>127125889.89999998</v>
      </c>
      <c r="U56" s="102">
        <f>U14-U48</f>
        <v>30536526.629999995</v>
      </c>
      <c r="V56" s="19"/>
      <c r="W56" s="102">
        <f>W14-W48</f>
        <v>125550673.7700001</v>
      </c>
      <c r="X56" s="102">
        <f>X14-X48</f>
        <v>-63895384.119999975</v>
      </c>
      <c r="Y56" s="19"/>
      <c r="Z56" s="96">
        <f t="shared" ref="Z56:AA59" si="99">IF(T56&gt;0,W56/T56*100-100,"-")</f>
        <v>-1.239099392923805</v>
      </c>
      <c r="AA56" s="96">
        <f t="shared" si="99"/>
        <v>-309.24247506665426</v>
      </c>
    </row>
    <row r="57" spans="1:27" s="93" customFormat="1" x14ac:dyDescent="0.3">
      <c r="A57" s="100" t="s">
        <v>72</v>
      </c>
      <c r="B57" s="102">
        <f>B15-B49</f>
        <v>36284624.640000001</v>
      </c>
      <c r="C57" s="102">
        <f>C15-C49</f>
        <v>1329871.7399999998</v>
      </c>
      <c r="D57" s="19"/>
      <c r="E57" s="102">
        <f>E15-E49</f>
        <v>7174857.7800000049</v>
      </c>
      <c r="F57" s="102">
        <f>F15-F49</f>
        <v>3679666.8</v>
      </c>
      <c r="G57" s="19"/>
      <c r="H57" s="102">
        <f>H15-H49</f>
        <v>5468248.7199999988</v>
      </c>
      <c r="I57" s="102">
        <f>I15-I49</f>
        <v>5177181.8599999994</v>
      </c>
      <c r="J57" s="19"/>
      <c r="K57" s="102">
        <f>K15-K49</f>
        <v>9638572.9600000009</v>
      </c>
      <c r="L57" s="102">
        <f>L15-L49</f>
        <v>4339716.6800000006</v>
      </c>
      <c r="M57" s="19"/>
      <c r="N57" s="102">
        <f>N15-N49</f>
        <v>79738549.320000008</v>
      </c>
      <c r="O57" s="102">
        <f>O15-O49</f>
        <v>13870199.919999998</v>
      </c>
      <c r="P57" s="19"/>
      <c r="Q57" s="102">
        <f>Q15-Q49</f>
        <v>42470344.599999994</v>
      </c>
      <c r="R57" s="102">
        <f>R15-R49</f>
        <v>-14358400.580000002</v>
      </c>
      <c r="S57" s="19"/>
      <c r="T57" s="102">
        <f>T15-T49</f>
        <v>98157297.849999994</v>
      </c>
      <c r="U57" s="102">
        <f>U15-U49</f>
        <v>5224943.7599999979</v>
      </c>
      <c r="V57" s="19"/>
      <c r="W57" s="102">
        <f>W15-W49</f>
        <v>-68340770.369999975</v>
      </c>
      <c r="X57" s="102">
        <f>X15-X49</f>
        <v>-71137215.530000001</v>
      </c>
      <c r="Y57" s="19"/>
      <c r="Z57" s="96">
        <f t="shared" si="99"/>
        <v>-169.62372830844996</v>
      </c>
      <c r="AA57" s="96">
        <f t="shared" si="99"/>
        <v>-1461.4924637963957</v>
      </c>
    </row>
    <row r="58" spans="1:27" s="93" customFormat="1" x14ac:dyDescent="0.3">
      <c r="A58" s="100" t="s">
        <v>358</v>
      </c>
      <c r="B58" s="102">
        <f>SUM(B14:B16)-SUM(B48:B50)</f>
        <v>73179859.360000014</v>
      </c>
      <c r="C58" s="102">
        <f>SUM(C14:C16)-SUM(C48:C50)</f>
        <v>90272216.090000033</v>
      </c>
      <c r="D58" s="19"/>
      <c r="E58" s="102">
        <f>SUM(E14:E16)-SUM(E48:E50)</f>
        <v>20770502.210000038</v>
      </c>
      <c r="F58" s="102">
        <f>SUM(F14:F16)-SUM(F48:F50)</f>
        <v>47655640.450000048</v>
      </c>
      <c r="G58" s="19"/>
      <c r="H58" s="102">
        <f>SUM(H14:H16)-SUM(H48:H50)</f>
        <v>114444338.86000007</v>
      </c>
      <c r="I58" s="102">
        <f>SUM(I14:I16)-SUM(I48:I50)</f>
        <v>88222747.569999963</v>
      </c>
      <c r="J58" s="19"/>
      <c r="K58" s="102">
        <f>SUM(K14:K16)-SUM(K48:K50)</f>
        <v>102909738.16999996</v>
      </c>
      <c r="L58" s="102">
        <f>SUM(L14:L16)-SUM(L48:L50)</f>
        <v>51047541.019999981</v>
      </c>
      <c r="M58" s="19"/>
      <c r="N58" s="102">
        <f>SUM(N14:N16)-SUM(N48:N50)</f>
        <v>210424544.13</v>
      </c>
      <c r="O58" s="102">
        <f>SUM(O14:O16)-SUM(O48:O50)</f>
        <v>88750003.879999876</v>
      </c>
      <c r="P58" s="19"/>
      <c r="Q58" s="102">
        <f>SUM(Q14:Q16)-SUM(Q48:Q50)</f>
        <v>205367908.31999993</v>
      </c>
      <c r="R58" s="102">
        <f>SUM(R14:R16)-SUM(R48:R50)</f>
        <v>-55660111.01000008</v>
      </c>
      <c r="S58" s="19"/>
      <c r="T58" s="102">
        <f>SUM(T14:T16)-SUM(T48:T50)</f>
        <v>225283187.74999994</v>
      </c>
      <c r="U58" s="102">
        <f>SUM(U14:U16)-SUM(U48:U50)</f>
        <v>35761470.390000045</v>
      </c>
      <c r="V58" s="19"/>
      <c r="W58" s="102">
        <f>SUM(W14:W16)-SUM(W48:W50)</f>
        <v>57209903.400000095</v>
      </c>
      <c r="X58" s="102">
        <f>SUM(X14:X16)-SUM(X48:X50)</f>
        <v>-135032599.64999998</v>
      </c>
      <c r="Y58" s="19"/>
      <c r="Z58" s="96">
        <f t="shared" si="99"/>
        <v>-74.605338298263632</v>
      </c>
      <c r="AA58" s="96">
        <f t="shared" si="99"/>
        <v>-477.59241490181859</v>
      </c>
    </row>
    <row r="59" spans="1:27" s="93" customFormat="1" x14ac:dyDescent="0.3">
      <c r="A59" s="100" t="s">
        <v>359</v>
      </c>
      <c r="B59" s="102">
        <f>B21-B55</f>
        <v>58913369.860000134</v>
      </c>
      <c r="C59" s="102">
        <f>C21-C55</f>
        <v>180568397.44</v>
      </c>
      <c r="D59" s="92"/>
      <c r="E59" s="102">
        <f>E21-E55</f>
        <v>3714980.3900001049</v>
      </c>
      <c r="F59" s="102">
        <f>F21-F55</f>
        <v>168356027.62999988</v>
      </c>
      <c r="G59" s="92"/>
      <c r="H59" s="102">
        <f>H21-H55</f>
        <v>95369039.560000181</v>
      </c>
      <c r="I59" s="102">
        <f>I21-I55</f>
        <v>189263429.75999981</v>
      </c>
      <c r="J59" s="92"/>
      <c r="K59" s="102">
        <f>K21-K55</f>
        <v>85855258.870000005</v>
      </c>
      <c r="L59" s="102">
        <f>L21-L55</f>
        <v>151010382.25999993</v>
      </c>
      <c r="M59" s="92"/>
      <c r="N59" s="102">
        <f>N21-N55</f>
        <v>206710502.88999987</v>
      </c>
      <c r="O59" s="102">
        <f>O21-O55</f>
        <v>123104133.65999985</v>
      </c>
      <c r="P59" s="92"/>
      <c r="Q59" s="102">
        <f>Q21-Q55</f>
        <v>186397307.92000008</v>
      </c>
      <c r="R59" s="102">
        <f>R21-R55</f>
        <v>5653269.1899999976</v>
      </c>
      <c r="S59" s="92"/>
      <c r="T59" s="102">
        <f>T21-T55</f>
        <v>204165030.42999983</v>
      </c>
      <c r="U59" s="102">
        <f>U21-U55</f>
        <v>16114117.730000079</v>
      </c>
      <c r="V59" s="92"/>
      <c r="W59" s="102">
        <f>W21-W55</f>
        <v>38669122.339999914</v>
      </c>
      <c r="X59" s="102">
        <f>X21-X55</f>
        <v>-153573380.7099998</v>
      </c>
      <c r="Y59" s="92"/>
      <c r="Z59" s="96">
        <f t="shared" si="99"/>
        <v>-81.059869920643422</v>
      </c>
      <c r="AA59" s="96">
        <f t="shared" si="99"/>
        <v>-1053.0362337125548</v>
      </c>
    </row>
    <row r="60" spans="1:27" s="93" customFormat="1" x14ac:dyDescent="0.3">
      <c r="A60" s="100" t="s">
        <v>360</v>
      </c>
      <c r="C60" s="95">
        <f>SUM(C14:C16)/SUM(B14:B16)*100</f>
        <v>61.299976327240813</v>
      </c>
      <c r="D60" s="92"/>
      <c r="F60" s="95">
        <f>SUM(F14:F16)/SUM(E14:E16)*100</f>
        <v>69.311031281538874</v>
      </c>
      <c r="G60" s="92"/>
      <c r="I60" s="95">
        <f>SUM(I14:I16)/SUM(H14:H16)*100</f>
        <v>65.110487163593916</v>
      </c>
      <c r="J60" s="92"/>
      <c r="L60" s="95">
        <f>SUM(L14:L16)/SUM(K14:K16)*100</f>
        <v>70.653798928392305</v>
      </c>
      <c r="M60" s="92"/>
      <c r="O60" s="95">
        <f>SUM(O14:O16)/SUM(N14:N16)*100</f>
        <v>61.688563557261887</v>
      </c>
      <c r="P60" s="92"/>
      <c r="R60" s="95">
        <f>SUM(R14:R16)/SUM(Q14:Q16)*100</f>
        <v>37.428106617871187</v>
      </c>
      <c r="S60" s="92"/>
      <c r="U60" s="95">
        <f>SUM(U14:U16)/SUM(T14:T16)*100</f>
        <v>52.480020873797869</v>
      </c>
      <c r="V60" s="92"/>
      <c r="X60" s="95">
        <f>SUM(X14:X16)/SUM(W14:W16)*100</f>
        <v>45.294899151233224</v>
      </c>
      <c r="Y60" s="92"/>
    </row>
    <row r="61" spans="1:27" s="93" customFormat="1" x14ac:dyDescent="0.3">
      <c r="A61" s="100" t="s">
        <v>361</v>
      </c>
      <c r="C61" s="95">
        <f>SUM(C48:C50)/SUM(B48:B50)*100</f>
        <v>50.939413403208732</v>
      </c>
      <c r="D61" s="92"/>
      <c r="F61" s="95">
        <f>SUM(F48:F50)/SUM(E48:E50)*100</f>
        <v>60.89788103805148</v>
      </c>
      <c r="G61" s="92"/>
      <c r="I61" s="95">
        <f>SUM(I48:I50)/SUM(H48:H50)*100</f>
        <v>61.281127231988343</v>
      </c>
      <c r="J61" s="92"/>
      <c r="L61" s="95">
        <f>SUM(L48:L50)/SUM(K48:K50)*100</f>
        <v>77.143248505892956</v>
      </c>
      <c r="M61" s="92"/>
      <c r="O61" s="95">
        <f>SUM(O48:O50)/SUM(N48:N50)*100</f>
        <v>73.767818400794198</v>
      </c>
      <c r="P61" s="92"/>
      <c r="R61" s="95">
        <f>SUM(R48:R50)/SUM(Q48:Q50)*100</f>
        <v>72.861043028170144</v>
      </c>
      <c r="S61" s="92"/>
      <c r="U61" s="95">
        <f>SUM(U48:U50)/SUM(T48:T50)*100</f>
        <v>72.603232959872003</v>
      </c>
      <c r="V61" s="92"/>
      <c r="X61" s="95">
        <f>SUM(X48:X50)/SUM(W48:W50)*100</f>
        <v>78.396304736741854</v>
      </c>
      <c r="Y61" s="92"/>
    </row>
  </sheetData>
  <mergeCells count="9">
    <mergeCell ref="Z1:AA1"/>
    <mergeCell ref="B1:D1"/>
    <mergeCell ref="E1:G1"/>
    <mergeCell ref="W1:Y1"/>
    <mergeCell ref="H1:J1"/>
    <mergeCell ref="K1:M1"/>
    <mergeCell ref="N1:P1"/>
    <mergeCell ref="Q1:S1"/>
    <mergeCell ref="T1:V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showGridLines="0" tabSelected="1" workbookViewId="0">
      <selection activeCell="L2" sqref="L2"/>
    </sheetView>
  </sheetViews>
  <sheetFormatPr defaultRowHeight="14.4" x14ac:dyDescent="0.3"/>
  <cols>
    <col min="1" max="2" width="10.33203125" bestFit="1" customWidth="1"/>
    <col min="3" max="3" width="50.6640625" bestFit="1" customWidth="1"/>
    <col min="4" max="4" width="7.44140625" customWidth="1"/>
    <col min="5" max="7" width="7.5546875" customWidth="1"/>
    <col min="8" max="12" width="7.5546875" style="93" customWidth="1"/>
  </cols>
  <sheetData>
    <row r="1" spans="1:12" ht="23.25" customHeight="1" x14ac:dyDescent="0.3">
      <c r="A1" s="64" t="s">
        <v>311</v>
      </c>
      <c r="B1" s="64" t="s">
        <v>312</v>
      </c>
      <c r="C1" s="64" t="s">
        <v>322</v>
      </c>
      <c r="D1" s="36" t="s">
        <v>211</v>
      </c>
      <c r="E1" s="36">
        <v>2016</v>
      </c>
      <c r="F1" s="36">
        <v>2017</v>
      </c>
      <c r="G1" s="36">
        <v>2018</v>
      </c>
      <c r="H1" s="108">
        <v>2019</v>
      </c>
      <c r="I1" s="108">
        <v>2020</v>
      </c>
      <c r="J1" s="108">
        <v>2021</v>
      </c>
      <c r="K1" s="108">
        <v>2022</v>
      </c>
      <c r="L1" s="108">
        <v>2023</v>
      </c>
    </row>
    <row r="2" spans="1:12" ht="29.25" customHeight="1" x14ac:dyDescent="0.3">
      <c r="A2" s="65" t="s">
        <v>313</v>
      </c>
      <c r="B2" s="65" t="s">
        <v>78</v>
      </c>
      <c r="C2" s="67" t="s">
        <v>321</v>
      </c>
      <c r="D2" s="78" t="s">
        <v>328</v>
      </c>
      <c r="E2" s="72">
        <f>Piano_indicatori!D3</f>
        <v>35.47</v>
      </c>
      <c r="F2" s="72">
        <f>Piano_indicatori!E3</f>
        <v>41.53</v>
      </c>
      <c r="G2" s="72">
        <f>Piano_indicatori!F3</f>
        <v>34.97</v>
      </c>
      <c r="H2" s="72">
        <f>Piano_indicatori!G3</f>
        <v>33.49</v>
      </c>
      <c r="I2" s="72">
        <f>Piano_indicatori!H3</f>
        <v>34.299999999999997</v>
      </c>
      <c r="J2" s="72">
        <f>Piano_indicatori!I3</f>
        <v>33.94</v>
      </c>
      <c r="K2" s="72">
        <f>Piano_indicatori!J3</f>
        <v>33.93</v>
      </c>
      <c r="L2" s="72">
        <f>Piano_indicatori!K3</f>
        <v>29.41</v>
      </c>
    </row>
    <row r="3" spans="1:12" ht="29.25" customHeight="1" x14ac:dyDescent="0.3">
      <c r="A3" s="66" t="s">
        <v>314</v>
      </c>
      <c r="B3" s="66" t="s">
        <v>95</v>
      </c>
      <c r="C3" s="68" t="s">
        <v>96</v>
      </c>
      <c r="D3" s="79" t="s">
        <v>329</v>
      </c>
      <c r="E3" s="73">
        <f>Piano_indicatori!D12</f>
        <v>16.23</v>
      </c>
      <c r="F3" s="73">
        <f>Piano_indicatori!E12</f>
        <v>20.05</v>
      </c>
      <c r="G3" s="73">
        <f>Piano_indicatori!F12</f>
        <v>18.21</v>
      </c>
      <c r="H3" s="73">
        <f>Piano_indicatori!G12</f>
        <v>40</v>
      </c>
      <c r="I3" s="73">
        <f>Piano_indicatori!H12</f>
        <v>12.45</v>
      </c>
      <c r="J3" s="73">
        <f>Piano_indicatori!I12</f>
        <v>19.989999999999998</v>
      </c>
      <c r="K3" s="73">
        <f>Piano_indicatori!J12</f>
        <v>19.670000000000002</v>
      </c>
      <c r="L3" s="73">
        <f>Piano_indicatori!K12</f>
        <v>20.81</v>
      </c>
    </row>
    <row r="4" spans="1:12" ht="29.25" customHeight="1" x14ac:dyDescent="0.3">
      <c r="A4" s="65" t="s">
        <v>315</v>
      </c>
      <c r="B4" s="65" t="s">
        <v>100</v>
      </c>
      <c r="C4" s="69" t="s">
        <v>324</v>
      </c>
      <c r="D4" s="78" t="s">
        <v>330</v>
      </c>
      <c r="E4" s="74">
        <f>Piano_indicatori!D15</f>
        <v>57.77</v>
      </c>
      <c r="F4" s="74">
        <f>Piano_indicatori!E15</f>
        <v>96.93</v>
      </c>
      <c r="G4" s="74">
        <f>Piano_indicatori!F15</f>
        <v>63.8</v>
      </c>
      <c r="H4" s="74">
        <f>Piano_indicatori!G15</f>
        <v>59.81</v>
      </c>
      <c r="I4" s="74">
        <f>Piano_indicatori!H15</f>
        <v>16.68</v>
      </c>
      <c r="J4" s="74">
        <f>Piano_indicatori!I15</f>
        <v>32.799999999999997</v>
      </c>
      <c r="K4" s="74">
        <f>Piano_indicatori!J15</f>
        <v>0</v>
      </c>
      <c r="L4" s="74">
        <f>Piano_indicatori!K15</f>
        <v>0</v>
      </c>
    </row>
    <row r="5" spans="1:12" ht="29.25" customHeight="1" x14ac:dyDescent="0.3">
      <c r="A5" s="66" t="s">
        <v>316</v>
      </c>
      <c r="B5" s="66" t="s">
        <v>165</v>
      </c>
      <c r="C5" s="70" t="s">
        <v>325</v>
      </c>
      <c r="D5" s="80" t="s">
        <v>331</v>
      </c>
      <c r="E5" s="75">
        <f>Piano_indicatori!D51</f>
        <v>8.67</v>
      </c>
      <c r="F5" s="75">
        <f>Piano_indicatori!E51</f>
        <v>8.67</v>
      </c>
      <c r="G5" s="75">
        <f>Piano_indicatori!F51</f>
        <v>8.67</v>
      </c>
      <c r="H5" s="75">
        <f>Piano_indicatori!G51</f>
        <v>8.67</v>
      </c>
      <c r="I5" s="75">
        <f>Piano_indicatori!H51</f>
        <v>8.67</v>
      </c>
      <c r="J5" s="75">
        <f>Piano_indicatori!I51</f>
        <v>8.67</v>
      </c>
      <c r="K5" s="75">
        <f>Piano_indicatori!J51</f>
        <v>8.67</v>
      </c>
      <c r="L5" s="75">
        <f>Piano_indicatori!K51</f>
        <v>8.67</v>
      </c>
    </row>
    <row r="6" spans="1:12" ht="29.25" customHeight="1" x14ac:dyDescent="0.3">
      <c r="A6" s="65" t="s">
        <v>317</v>
      </c>
      <c r="B6" s="65" t="s">
        <v>185</v>
      </c>
      <c r="C6" s="82" t="s">
        <v>186</v>
      </c>
      <c r="D6" s="81" t="s">
        <v>332</v>
      </c>
      <c r="E6" s="118">
        <f>Piano_indicatori!D62</f>
        <v>3.01</v>
      </c>
      <c r="F6" s="118">
        <f>Piano_indicatori!E62</f>
        <v>3.01</v>
      </c>
      <c r="G6" s="118">
        <f>Piano_indicatori!F62</f>
        <v>3.01</v>
      </c>
      <c r="H6" s="118">
        <f>Piano_indicatori!G62</f>
        <v>3.01</v>
      </c>
      <c r="I6" s="118">
        <f>Piano_indicatori!H62</f>
        <v>3.01</v>
      </c>
      <c r="J6" s="118">
        <f>Piano_indicatori!I62</f>
        <v>3.01</v>
      </c>
      <c r="K6" s="118">
        <f>Piano_indicatori!J62</f>
        <v>3.01</v>
      </c>
      <c r="L6" s="118">
        <f>Piano_indicatori!K62</f>
        <v>3.01</v>
      </c>
    </row>
    <row r="7" spans="1:12" ht="29.25" customHeight="1" x14ac:dyDescent="0.3">
      <c r="A7" s="66" t="s">
        <v>318</v>
      </c>
      <c r="B7" s="66" t="s">
        <v>188</v>
      </c>
      <c r="C7" s="70" t="s">
        <v>189</v>
      </c>
      <c r="D7" s="79" t="s">
        <v>333</v>
      </c>
      <c r="E7" s="76">
        <f>Piano_indicatori!D64</f>
        <v>1.83</v>
      </c>
      <c r="F7" s="76">
        <f>Piano_indicatori!E64</f>
        <v>1.19</v>
      </c>
      <c r="G7" s="76">
        <f>Piano_indicatori!F64</f>
        <v>0</v>
      </c>
      <c r="H7" s="76">
        <f>Piano_indicatori!G64</f>
        <v>0</v>
      </c>
      <c r="I7" s="76">
        <f>Piano_indicatori!H64</f>
        <v>0.39</v>
      </c>
      <c r="J7" s="76">
        <f>Piano_indicatori!I64</f>
        <v>2.42</v>
      </c>
      <c r="K7" s="76">
        <f>Piano_indicatori!J64</f>
        <v>0.66</v>
      </c>
      <c r="L7" s="76">
        <f>Piano_indicatori!K64</f>
        <v>0.19</v>
      </c>
    </row>
    <row r="8" spans="1:12" ht="29.25" customHeight="1" x14ac:dyDescent="0.3">
      <c r="A8" s="65" t="s">
        <v>319</v>
      </c>
      <c r="B8" s="65" t="s">
        <v>323</v>
      </c>
      <c r="C8" s="69" t="s">
        <v>326</v>
      </c>
      <c r="D8" s="78" t="s">
        <v>334</v>
      </c>
      <c r="E8" s="74">
        <f>Piano_indicatori!D65+Piano_indicatori!D66</f>
        <v>26.93</v>
      </c>
      <c r="F8" s="74">
        <f>Piano_indicatori!E65+Piano_indicatori!E66</f>
        <v>54.37</v>
      </c>
      <c r="G8" s="74">
        <f>Piano_indicatori!F65+Piano_indicatori!F66</f>
        <v>5.01</v>
      </c>
      <c r="H8" s="74">
        <f>Piano_indicatori!G65+Piano_indicatori!G66</f>
        <v>0.28999999999999998</v>
      </c>
      <c r="I8" s="74">
        <f>Piano_indicatori!H65+Piano_indicatori!H66</f>
        <v>0</v>
      </c>
      <c r="J8" s="74">
        <f>Piano_indicatori!I65+Piano_indicatori!I66</f>
        <v>0</v>
      </c>
      <c r="K8" s="74">
        <f>Piano_indicatori!J65+Piano_indicatori!J66</f>
        <v>0.67</v>
      </c>
      <c r="L8" s="74">
        <f>Piano_indicatori!K65+Piano_indicatori!K66</f>
        <v>0.23</v>
      </c>
    </row>
    <row r="9" spans="1:12" ht="29.25" customHeight="1" x14ac:dyDescent="0.3">
      <c r="A9" s="66" t="s">
        <v>320</v>
      </c>
      <c r="B9" s="66"/>
      <c r="C9" s="71" t="s">
        <v>327</v>
      </c>
      <c r="D9" s="80" t="s">
        <v>335</v>
      </c>
      <c r="E9" s="77">
        <f>Piano_indicatori!D76</f>
        <v>65.519871549692354</v>
      </c>
      <c r="F9" s="77" t="s">
        <v>362</v>
      </c>
      <c r="G9" s="77">
        <f>Piano_indicatori!F76</f>
        <v>64.788978341077893</v>
      </c>
      <c r="H9" s="77">
        <f>Piano_indicatori!G76</f>
        <v>83.2262990745119</v>
      </c>
      <c r="I9" s="77">
        <f>Piano_indicatori!H76</f>
        <v>70.704223201646599</v>
      </c>
      <c r="J9" s="77">
        <f>Piano_indicatori!I76</f>
        <v>39.904401174989843</v>
      </c>
      <c r="K9" s="77">
        <f>Piano_indicatori!J76</f>
        <v>50.432904173774126</v>
      </c>
      <c r="L9" s="77">
        <f>Piano_indicatori!K76</f>
        <v>50.454284675662144</v>
      </c>
    </row>
  </sheetData>
  <conditionalFormatting sqref="E2:H2 L2">
    <cfRule type="cellIs" dxfId="39" priority="32" operator="greaterThan">
      <formula>48</formula>
    </cfRule>
  </conditionalFormatting>
  <conditionalFormatting sqref="E3:H3 L3">
    <cfRule type="cellIs" dxfId="38" priority="31" operator="lessThan">
      <formula>22</formula>
    </cfRule>
  </conditionalFormatting>
  <conditionalFormatting sqref="E4:H4 L4">
    <cfRule type="cellIs" dxfId="37" priority="30" operator="greaterThan">
      <formula>0</formula>
    </cfRule>
  </conditionalFormatting>
  <conditionalFormatting sqref="E5:H5 L5">
    <cfRule type="cellIs" dxfId="36" priority="29" operator="greaterThan">
      <formula>16</formula>
    </cfRule>
  </conditionalFormatting>
  <conditionalFormatting sqref="E6:H6 L6">
    <cfRule type="cellIs" dxfId="35" priority="28" operator="greaterThan">
      <formula>1.2</formula>
    </cfRule>
  </conditionalFormatting>
  <conditionalFormatting sqref="E7:H7 L7">
    <cfRule type="cellIs" dxfId="34" priority="27" operator="greaterThan">
      <formula>1</formula>
    </cfRule>
  </conditionalFormatting>
  <conditionalFormatting sqref="E8:H8 L8">
    <cfRule type="cellIs" dxfId="33" priority="26" operator="greaterThan">
      <formula>0.6</formula>
    </cfRule>
  </conditionalFormatting>
  <conditionalFormatting sqref="E9:H9 L9">
    <cfRule type="cellIs" dxfId="32" priority="25" operator="lessThan">
      <formula>47</formula>
    </cfRule>
  </conditionalFormatting>
  <conditionalFormatting sqref="I2">
    <cfRule type="cellIs" dxfId="31" priority="24" operator="greaterThan">
      <formula>48</formula>
    </cfRule>
  </conditionalFormatting>
  <conditionalFormatting sqref="I3">
    <cfRule type="cellIs" dxfId="30" priority="23" operator="lessThan">
      <formula>22</formula>
    </cfRule>
  </conditionalFormatting>
  <conditionalFormatting sqref="I4">
    <cfRule type="cellIs" dxfId="29" priority="22" operator="greaterThan">
      <formula>0</formula>
    </cfRule>
  </conditionalFormatting>
  <conditionalFormatting sqref="I5">
    <cfRule type="cellIs" dxfId="28" priority="21" operator="greaterThan">
      <formula>16</formula>
    </cfRule>
  </conditionalFormatting>
  <conditionalFormatting sqref="I6">
    <cfRule type="cellIs" dxfId="27" priority="20" operator="greaterThan">
      <formula>1.2</formula>
    </cfRule>
  </conditionalFormatting>
  <conditionalFormatting sqref="I7">
    <cfRule type="cellIs" dxfId="26" priority="19" operator="greaterThan">
      <formula>1</formula>
    </cfRule>
  </conditionalFormatting>
  <conditionalFormatting sqref="I8">
    <cfRule type="cellIs" dxfId="25" priority="18" operator="greaterThan">
      <formula>0.6</formula>
    </cfRule>
  </conditionalFormatting>
  <conditionalFormatting sqref="I9">
    <cfRule type="cellIs" dxfId="24" priority="17" operator="lessThan">
      <formula>47</formula>
    </cfRule>
  </conditionalFormatting>
  <conditionalFormatting sqref="J2">
    <cfRule type="cellIs" dxfId="23" priority="16" operator="greaterThan">
      <formula>48</formula>
    </cfRule>
  </conditionalFormatting>
  <conditionalFormatting sqref="J3">
    <cfRule type="cellIs" dxfId="22" priority="15" operator="lessThan">
      <formula>22</formula>
    </cfRule>
  </conditionalFormatting>
  <conditionalFormatting sqref="J4">
    <cfRule type="cellIs" dxfId="21" priority="14" operator="greaterThan">
      <formula>0</formula>
    </cfRule>
  </conditionalFormatting>
  <conditionalFormatting sqref="J5">
    <cfRule type="cellIs" dxfId="20" priority="13" operator="greaterThan">
      <formula>16</formula>
    </cfRule>
  </conditionalFormatting>
  <conditionalFormatting sqref="J6">
    <cfRule type="cellIs" dxfId="19" priority="12" operator="greaterThan">
      <formula>1.2</formula>
    </cfRule>
  </conditionalFormatting>
  <conditionalFormatting sqref="J7">
    <cfRule type="cellIs" dxfId="18" priority="11" operator="greaterThan">
      <formula>1</formula>
    </cfRule>
  </conditionalFormatting>
  <conditionalFormatting sqref="J8">
    <cfRule type="cellIs" dxfId="17" priority="10" operator="greaterThan">
      <formula>0.6</formula>
    </cfRule>
  </conditionalFormatting>
  <conditionalFormatting sqref="J9">
    <cfRule type="cellIs" dxfId="16" priority="9" operator="lessThan">
      <formula>47</formula>
    </cfRule>
  </conditionalFormatting>
  <conditionalFormatting sqref="K2">
    <cfRule type="cellIs" dxfId="15" priority="8" operator="greaterThan">
      <formula>48</formula>
    </cfRule>
  </conditionalFormatting>
  <conditionalFormatting sqref="K3">
    <cfRule type="cellIs" dxfId="13" priority="7" operator="lessThan">
      <formula>22</formula>
    </cfRule>
  </conditionalFormatting>
  <conditionalFormatting sqref="K4">
    <cfRule type="cellIs" dxfId="11" priority="6" operator="greaterThan">
      <formula>0</formula>
    </cfRule>
  </conditionalFormatting>
  <conditionalFormatting sqref="K5">
    <cfRule type="cellIs" dxfId="9" priority="5" operator="greaterThan">
      <formula>16</formula>
    </cfRule>
  </conditionalFormatting>
  <conditionalFormatting sqref="K6">
    <cfRule type="cellIs" dxfId="7" priority="4" operator="greaterThan">
      <formula>1.2</formula>
    </cfRule>
  </conditionalFormatting>
  <conditionalFormatting sqref="K7">
    <cfRule type="cellIs" dxfId="5" priority="3" operator="greaterThan">
      <formula>1</formula>
    </cfRule>
  </conditionalFormatting>
  <conditionalFormatting sqref="K8">
    <cfRule type="cellIs" dxfId="3" priority="2" operator="greaterThan">
      <formula>0.6</formula>
    </cfRule>
  </conditionalFormatting>
  <conditionalFormatting sqref="K9">
    <cfRule type="cellIs" dxfId="1" priority="1" operator="lessThan">
      <formula>47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B3" sqref="B3"/>
    </sheetView>
  </sheetViews>
  <sheetFormatPr defaultRowHeight="14.4" x14ac:dyDescent="0.3"/>
  <cols>
    <col min="2" max="2" width="12.33203125" bestFit="1" customWidth="1"/>
    <col min="3" max="3" width="9.109375" bestFit="1" customWidth="1"/>
    <col min="5" max="5" width="10.33203125" customWidth="1"/>
    <col min="6" max="6" width="10.33203125" style="93" customWidth="1"/>
  </cols>
  <sheetData>
    <row r="1" spans="1:20" ht="43.2" x14ac:dyDescent="0.3">
      <c r="A1" s="84" t="s">
        <v>336</v>
      </c>
      <c r="B1" s="84" t="s">
        <v>337</v>
      </c>
      <c r="C1" s="84" t="s">
        <v>351</v>
      </c>
      <c r="D1" s="84" t="s">
        <v>352</v>
      </c>
      <c r="E1" s="84" t="s">
        <v>353</v>
      </c>
      <c r="F1" s="84" t="s">
        <v>365</v>
      </c>
      <c r="G1" s="84" t="s">
        <v>354</v>
      </c>
    </row>
    <row r="2" spans="1:20" s="93" customFormat="1" x14ac:dyDescent="0.3">
      <c r="A2" s="25">
        <v>2024</v>
      </c>
      <c r="B2" s="1">
        <v>298209</v>
      </c>
      <c r="C2" s="1">
        <v>1071041</v>
      </c>
      <c r="D2" s="84"/>
    </row>
    <row r="3" spans="1:20" s="93" customFormat="1" x14ac:dyDescent="0.3">
      <c r="A3" s="25">
        <v>2023</v>
      </c>
      <c r="B3" s="1">
        <v>299730</v>
      </c>
      <c r="C3" s="1">
        <v>1074434</v>
      </c>
      <c r="D3" s="1">
        <v>-1152</v>
      </c>
      <c r="E3" s="93">
        <f>-1154+785</f>
        <v>-369</v>
      </c>
      <c r="G3" s="1">
        <f t="shared" ref="G3:G4" si="0">B2-B3-D3-E3-F3</f>
        <v>0</v>
      </c>
    </row>
    <row r="4" spans="1:20" s="93" customFormat="1" x14ac:dyDescent="0.3">
      <c r="A4" s="25">
        <v>2022</v>
      </c>
      <c r="B4" s="1">
        <v>301104</v>
      </c>
      <c r="C4" s="1">
        <v>1077515</v>
      </c>
      <c r="D4" s="1">
        <v>-1134</v>
      </c>
      <c r="E4" s="1">
        <f>-1530+664</f>
        <v>-866</v>
      </c>
      <c r="F4" s="1">
        <v>626</v>
      </c>
      <c r="G4" s="1">
        <f t="shared" si="0"/>
        <v>0</v>
      </c>
    </row>
    <row r="5" spans="1:20" s="93" customFormat="1" x14ac:dyDescent="0.3">
      <c r="A5" s="25">
        <v>2021</v>
      </c>
      <c r="B5" s="1">
        <v>300356</v>
      </c>
      <c r="C5" s="1">
        <v>1074089</v>
      </c>
      <c r="D5" s="1">
        <v>-1083</v>
      </c>
      <c r="E5" s="1">
        <v>-955</v>
      </c>
      <c r="F5" s="1">
        <v>2786</v>
      </c>
      <c r="G5" s="1">
        <f>B4-B5-D5-E5-F5</f>
        <v>0</v>
      </c>
    </row>
    <row r="6" spans="1:20" x14ac:dyDescent="0.3">
      <c r="A6" s="25">
        <v>2020</v>
      </c>
      <c r="B6" s="1">
        <v>296266</v>
      </c>
      <c r="C6" s="1">
        <v>1072634</v>
      </c>
      <c r="D6" s="1">
        <v>-1156</v>
      </c>
      <c r="E6" s="1">
        <v>-509</v>
      </c>
      <c r="F6" s="1">
        <v>5755</v>
      </c>
      <c r="G6" s="1">
        <f>B5-B6-D6-E6-F6</f>
        <v>0</v>
      </c>
    </row>
    <row r="7" spans="1:20" x14ac:dyDescent="0.3">
      <c r="A7" s="25">
        <v>2019</v>
      </c>
      <c r="B7" s="1">
        <v>297752</v>
      </c>
      <c r="C7" s="1">
        <v>1077270</v>
      </c>
      <c r="D7" s="1">
        <v>-628</v>
      </c>
      <c r="E7" s="1">
        <v>-913</v>
      </c>
      <c r="F7" s="1">
        <v>55</v>
      </c>
      <c r="G7" s="1">
        <f t="shared" ref="G7:G11" si="1">B6-B7-D7-E7-F7</f>
        <v>0</v>
      </c>
      <c r="K7" s="113"/>
      <c r="L7" s="114"/>
      <c r="M7" s="114"/>
      <c r="N7" s="114"/>
      <c r="O7" s="114"/>
      <c r="P7" s="114"/>
      <c r="Q7" s="114"/>
      <c r="R7" s="113"/>
      <c r="S7" s="114"/>
      <c r="T7" s="114"/>
    </row>
    <row r="8" spans="1:20" x14ac:dyDescent="0.3">
      <c r="A8" s="25">
        <v>2018</v>
      </c>
      <c r="B8" s="1">
        <v>297325</v>
      </c>
      <c r="C8" s="1">
        <v>1081823</v>
      </c>
      <c r="D8" s="1">
        <v>-561</v>
      </c>
      <c r="E8" s="1">
        <v>988</v>
      </c>
      <c r="F8" s="1"/>
      <c r="G8" s="1">
        <f t="shared" si="1"/>
        <v>0</v>
      </c>
      <c r="K8" s="113"/>
      <c r="L8" s="114"/>
      <c r="M8" s="114"/>
      <c r="N8" s="114"/>
      <c r="O8" s="114"/>
      <c r="P8" s="114"/>
      <c r="Q8" s="114"/>
      <c r="R8" s="114"/>
      <c r="S8" s="114"/>
      <c r="T8" s="114"/>
    </row>
    <row r="9" spans="1:20" x14ac:dyDescent="0.3">
      <c r="A9" s="25">
        <v>2017</v>
      </c>
      <c r="B9" s="1">
        <v>298452</v>
      </c>
      <c r="C9" s="1">
        <v>1086981</v>
      </c>
      <c r="D9" s="1">
        <v>-595</v>
      </c>
      <c r="E9" s="1">
        <v>-532</v>
      </c>
      <c r="F9" s="1"/>
      <c r="G9" s="1">
        <f t="shared" si="1"/>
        <v>0</v>
      </c>
      <c r="K9" s="113"/>
      <c r="L9" s="114"/>
      <c r="M9" s="114"/>
      <c r="N9" s="114"/>
      <c r="O9" s="114"/>
      <c r="P9" s="114"/>
      <c r="Q9" s="114"/>
      <c r="R9" s="114"/>
      <c r="S9" s="114"/>
      <c r="T9" s="114"/>
    </row>
    <row r="10" spans="1:20" x14ac:dyDescent="0.3">
      <c r="A10" s="25">
        <v>2016</v>
      </c>
      <c r="B10" s="1">
        <v>298726</v>
      </c>
      <c r="C10" s="1">
        <v>1091100</v>
      </c>
      <c r="D10" s="1">
        <v>-379</v>
      </c>
      <c r="E10" s="1">
        <v>105</v>
      </c>
      <c r="F10" s="1"/>
      <c r="G10" s="1">
        <f t="shared" si="1"/>
        <v>0</v>
      </c>
      <c r="K10" s="113"/>
      <c r="L10" s="114"/>
      <c r="M10" s="114"/>
      <c r="N10" s="114"/>
      <c r="O10" s="114"/>
      <c r="P10" s="114"/>
      <c r="Q10" s="114"/>
      <c r="R10" s="114"/>
      <c r="S10" s="114"/>
      <c r="T10" s="114"/>
    </row>
    <row r="11" spans="1:20" x14ac:dyDescent="0.3">
      <c r="A11" s="25">
        <v>2015</v>
      </c>
      <c r="B11" s="1">
        <v>298765</v>
      </c>
      <c r="C11" s="1">
        <v>1093911</v>
      </c>
      <c r="D11" s="1">
        <v>-484</v>
      </c>
      <c r="E11" s="1">
        <v>445</v>
      </c>
      <c r="F11" s="1"/>
      <c r="G11" s="1">
        <f t="shared" si="1"/>
        <v>0</v>
      </c>
    </row>
  </sheetData>
  <sortState ref="A2:B6">
    <sortCondition descending="1" ref="A2:A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>
      <selection activeCell="B1" sqref="B1:I1048576"/>
    </sheetView>
  </sheetViews>
  <sheetFormatPr defaultRowHeight="14.4" x14ac:dyDescent="0.3"/>
  <cols>
    <col min="1" max="1" width="55.6640625" bestFit="1" customWidth="1"/>
    <col min="2" max="3" width="14.109375" bestFit="1" customWidth="1"/>
    <col min="4" max="8" width="14.109375" style="93" bestFit="1" customWidth="1"/>
    <col min="9" max="9" width="14.109375" bestFit="1" customWidth="1"/>
    <col min="10" max="10" width="8.44140625" customWidth="1"/>
    <col min="11" max="11" width="6.5546875" style="93" bestFit="1" customWidth="1"/>
    <col min="12" max="12" width="14.109375" bestFit="1" customWidth="1"/>
    <col min="13" max="13" width="7" bestFit="1" customWidth="1"/>
  </cols>
  <sheetData>
    <row r="1" spans="1:13" ht="28.8" x14ac:dyDescent="0.3">
      <c r="A1" s="35"/>
      <c r="B1" s="36">
        <v>2016</v>
      </c>
      <c r="C1" s="36">
        <v>2017</v>
      </c>
      <c r="D1" s="108">
        <v>2018</v>
      </c>
      <c r="E1" s="108">
        <v>2019</v>
      </c>
      <c r="F1" s="108">
        <v>2020</v>
      </c>
      <c r="G1" s="108">
        <v>2021</v>
      </c>
      <c r="H1" s="108">
        <v>2022</v>
      </c>
      <c r="I1" s="108">
        <v>2023</v>
      </c>
      <c r="J1" s="109" t="s">
        <v>297</v>
      </c>
      <c r="K1" s="108" t="s">
        <v>233</v>
      </c>
      <c r="L1" s="109" t="s">
        <v>367</v>
      </c>
      <c r="M1" s="36" t="s">
        <v>269</v>
      </c>
    </row>
    <row r="2" spans="1:13" x14ac:dyDescent="0.3">
      <c r="A2" s="46" t="s">
        <v>20</v>
      </c>
      <c r="B2" s="47">
        <f>Entrate_Uscite!B3</f>
        <v>287196197.04000002</v>
      </c>
      <c r="C2" s="47">
        <f>Entrate_Uscite!E3</f>
        <v>270619290.24000001</v>
      </c>
      <c r="D2" s="105">
        <f>Entrate_Uscite!H3</f>
        <v>277624043.87</v>
      </c>
      <c r="E2" s="105">
        <f>Entrate_Uscite!K3</f>
        <v>261829653.13999999</v>
      </c>
      <c r="F2" s="105">
        <f>Entrate_Uscite!N3</f>
        <v>260852344.34999999</v>
      </c>
      <c r="G2" s="105">
        <f>Entrate_Uscite!Q3</f>
        <v>251335136.59999999</v>
      </c>
      <c r="H2" s="105">
        <f>Entrate_Uscite!T3</f>
        <v>274979054.61000001</v>
      </c>
      <c r="I2" s="47">
        <f>Entrate_Uscite!W3</f>
        <v>280762790.97000003</v>
      </c>
      <c r="J2" s="47">
        <f>I2/I$21*100</f>
        <v>51.664917981427493</v>
      </c>
      <c r="K2" s="48">
        <f>IF(H2&gt;0,I2/H2*100-100,"-")</f>
        <v>2.103337058963632</v>
      </c>
      <c r="L2" s="47">
        <f>Entrate_Uscite!X3</f>
        <v>123681055.09999999</v>
      </c>
      <c r="M2" s="49">
        <f>IF(I2&gt;0,L2/I2*100,"-")</f>
        <v>44.051797131912515</v>
      </c>
    </row>
    <row r="3" spans="1:13" x14ac:dyDescent="0.3">
      <c r="A3" s="46" t="s">
        <v>21</v>
      </c>
      <c r="B3" s="47">
        <f>Entrate_Uscite!B4</f>
        <v>108939854.08</v>
      </c>
      <c r="C3" s="47">
        <f>Entrate_Uscite!E4</f>
        <v>73627142.370000005</v>
      </c>
      <c r="D3" s="105">
        <f>Entrate_Uscite!H4</f>
        <v>70051112.040000007</v>
      </c>
      <c r="E3" s="105">
        <f>Entrate_Uscite!K4</f>
        <v>93283304.299999997</v>
      </c>
      <c r="F3" s="105">
        <f>Entrate_Uscite!N4</f>
        <v>141723655.84999999</v>
      </c>
      <c r="G3" s="105">
        <f>Entrate_Uscite!Q4</f>
        <v>178637265.69999999</v>
      </c>
      <c r="H3" s="105">
        <f>Entrate_Uscite!T4</f>
        <v>155821662.41</v>
      </c>
      <c r="I3" s="47">
        <f>Entrate_Uscite!W4</f>
        <v>159888603.59999999</v>
      </c>
      <c r="J3" s="47">
        <f t="shared" ref="J3:J21" si="0">I3/I$21*100</f>
        <v>29.422102418271074</v>
      </c>
      <c r="K3" s="48">
        <f t="shared" ref="K3:K21" si="1">IF(H3&gt;0,I3/H3*100-100,"-")</f>
        <v>2.6099973053162557</v>
      </c>
      <c r="L3" s="47">
        <f>Entrate_Uscite!X4</f>
        <v>81252200.159999996</v>
      </c>
      <c r="M3" s="49">
        <f t="shared" ref="M3:M21" si="2">IF(I3&gt;0,L3/I3*100,"-")</f>
        <v>50.818005993267676</v>
      </c>
    </row>
    <row r="4" spans="1:13" x14ac:dyDescent="0.3">
      <c r="A4" s="46" t="s">
        <v>22</v>
      </c>
      <c r="B4" s="47">
        <f>Entrate_Uscite!B5</f>
        <v>58712089.920000002</v>
      </c>
      <c r="C4" s="47">
        <f>Entrate_Uscite!E5</f>
        <v>47035154.240000002</v>
      </c>
      <c r="D4" s="105">
        <f>Entrate_Uscite!H5</f>
        <v>102906027.56</v>
      </c>
      <c r="E4" s="105">
        <f>Entrate_Uscite!K5</f>
        <v>64543068.700000003</v>
      </c>
      <c r="F4" s="105">
        <f>Entrate_Uscite!N5</f>
        <v>46190315.729999997</v>
      </c>
      <c r="G4" s="105">
        <f>Entrate_Uscite!Q5</f>
        <v>67581956.299999997</v>
      </c>
      <c r="H4" s="105">
        <f>Entrate_Uscite!T5</f>
        <v>50503887.630000003</v>
      </c>
      <c r="I4" s="47">
        <f>Entrate_Uscite!W5</f>
        <v>64402216.859999999</v>
      </c>
      <c r="J4" s="47">
        <f t="shared" si="0"/>
        <v>11.851054907947322</v>
      </c>
      <c r="K4" s="48">
        <f t="shared" si="1"/>
        <v>27.519325505833336</v>
      </c>
      <c r="L4" s="47">
        <f>Entrate_Uscite!X5</f>
        <v>21128316.789999999</v>
      </c>
      <c r="M4" s="49">
        <f t="shared" si="2"/>
        <v>32.806816007482389</v>
      </c>
    </row>
    <row r="5" spans="1:13" x14ac:dyDescent="0.3">
      <c r="A5" s="4" t="s">
        <v>31</v>
      </c>
      <c r="B5" s="37">
        <f t="shared" ref="B5:I5" si="3">SUM(B2:B4)</f>
        <v>454848141.04000002</v>
      </c>
      <c r="C5" s="37">
        <f t="shared" si="3"/>
        <v>391281586.85000002</v>
      </c>
      <c r="D5" s="37">
        <f t="shared" si="3"/>
        <v>450581183.47000003</v>
      </c>
      <c r="E5" s="37">
        <f t="shared" si="3"/>
        <v>419656026.13999999</v>
      </c>
      <c r="F5" s="37">
        <f t="shared" si="3"/>
        <v>448766315.93000001</v>
      </c>
      <c r="G5" s="37">
        <f t="shared" ref="G5:H5" si="4">SUM(G2:G4)</f>
        <v>497554358.59999996</v>
      </c>
      <c r="H5" s="37">
        <f t="shared" si="4"/>
        <v>481304604.64999998</v>
      </c>
      <c r="I5" s="37">
        <f t="shared" si="3"/>
        <v>505053611.43000007</v>
      </c>
      <c r="J5" s="37">
        <f t="shared" si="0"/>
        <v>92.938075307645903</v>
      </c>
      <c r="K5" s="97">
        <f t="shared" si="1"/>
        <v>4.9342986853969819</v>
      </c>
      <c r="L5" s="37">
        <f>SUM(L2:L4)</f>
        <v>226061572.04999998</v>
      </c>
      <c r="M5" s="38">
        <f>IF(I5&gt;0,L5/I5*100,"-")</f>
        <v>44.759915964155397</v>
      </c>
    </row>
    <row r="6" spans="1:13" x14ac:dyDescent="0.3">
      <c r="A6" s="46" t="s">
        <v>23</v>
      </c>
      <c r="B6" s="47">
        <f>Entrate_Uscite!B6</f>
        <v>953227</v>
      </c>
      <c r="C6" s="47">
        <f>Entrate_Uscite!E6</f>
        <v>674700</v>
      </c>
      <c r="D6" s="105">
        <f>Entrate_Uscite!H6</f>
        <v>1027364</v>
      </c>
      <c r="E6" s="105">
        <f>Entrate_Uscite!K6</f>
        <v>481500</v>
      </c>
      <c r="F6" s="105">
        <f>Entrate_Uscite!N6</f>
        <v>417200</v>
      </c>
      <c r="G6" s="105">
        <f>Entrate_Uscite!Q6</f>
        <v>623900</v>
      </c>
      <c r="H6" s="105">
        <f>Entrate_Uscite!T6</f>
        <v>128800</v>
      </c>
      <c r="I6" s="47">
        <f>Entrate_Uscite!W6</f>
        <v>0</v>
      </c>
      <c r="J6" s="47">
        <f t="shared" si="0"/>
        <v>0</v>
      </c>
      <c r="K6" s="48">
        <f t="shared" si="1"/>
        <v>-100</v>
      </c>
      <c r="L6" s="47">
        <f>Entrate_Uscite!X6</f>
        <v>0</v>
      </c>
      <c r="M6" s="49" t="str">
        <f t="shared" si="2"/>
        <v>-</v>
      </c>
    </row>
    <row r="7" spans="1:13" x14ac:dyDescent="0.3">
      <c r="A7" s="46" t="s">
        <v>24</v>
      </c>
      <c r="B7" s="47">
        <f>Entrate_Uscite!B7</f>
        <v>15420984.390000001</v>
      </c>
      <c r="C7" s="47">
        <f>Entrate_Uscite!E7</f>
        <v>18139961.210000001</v>
      </c>
      <c r="D7" s="105">
        <f>Entrate_Uscite!H7</f>
        <v>16704536.76</v>
      </c>
      <c r="E7" s="105">
        <f>Entrate_Uscite!K7</f>
        <v>14828175.199999999</v>
      </c>
      <c r="F7" s="105">
        <f>Entrate_Uscite!N7</f>
        <v>98042475.469999999</v>
      </c>
      <c r="G7" s="105">
        <f>Entrate_Uscite!Q7</f>
        <v>76395684.599999994</v>
      </c>
      <c r="H7" s="105">
        <f>Entrate_Uscite!T7</f>
        <v>147421150.21000001</v>
      </c>
      <c r="I7" s="47">
        <f>Entrate_Uscite!W7</f>
        <v>35341103.880000003</v>
      </c>
      <c r="J7" s="47">
        <f t="shared" si="0"/>
        <v>6.5033376645996137</v>
      </c>
      <c r="K7" s="48">
        <f t="shared" si="1"/>
        <v>-76.027114271149742</v>
      </c>
      <c r="L7" s="47">
        <f>Entrate_Uscite!X7</f>
        <v>17886656.039999999</v>
      </c>
      <c r="M7" s="49">
        <f t="shared" si="2"/>
        <v>50.611480899786763</v>
      </c>
    </row>
    <row r="8" spans="1:13" x14ac:dyDescent="0.3">
      <c r="A8" s="46" t="s">
        <v>25</v>
      </c>
      <c r="B8" s="47">
        <f>Entrate_Uscite!B8</f>
        <v>0</v>
      </c>
      <c r="C8" s="47">
        <f>Entrate_Uscite!E8</f>
        <v>36000</v>
      </c>
      <c r="D8" s="105">
        <f>Entrate_Uscite!H8</f>
        <v>15965.24</v>
      </c>
      <c r="E8" s="105">
        <f>Entrate_Uscite!K8</f>
        <v>31354</v>
      </c>
      <c r="F8" s="105">
        <f>Entrate_Uscite!N8</f>
        <v>0</v>
      </c>
      <c r="G8" s="105">
        <f>Entrate_Uscite!Q8</f>
        <v>0</v>
      </c>
      <c r="H8" s="105">
        <f>Entrate_Uscite!T8</f>
        <v>0</v>
      </c>
      <c r="I8" s="47">
        <f>Entrate_Uscite!W8</f>
        <v>0</v>
      </c>
      <c r="J8" s="47">
        <f t="shared" si="0"/>
        <v>0</v>
      </c>
      <c r="K8" s="48" t="str">
        <f t="shared" si="1"/>
        <v>-</v>
      </c>
      <c r="L8" s="47">
        <f>Entrate_Uscite!X8</f>
        <v>0</v>
      </c>
      <c r="M8" s="49" t="str">
        <f t="shared" si="2"/>
        <v>-</v>
      </c>
    </row>
    <row r="9" spans="1:13" x14ac:dyDescent="0.3">
      <c r="A9" s="46" t="s">
        <v>26</v>
      </c>
      <c r="B9" s="47">
        <f>Entrate_Uscite!B9</f>
        <v>37932537.049999997</v>
      </c>
      <c r="C9" s="47">
        <f>Entrate_Uscite!E9</f>
        <v>2873835.42</v>
      </c>
      <c r="D9" s="105">
        <f>Entrate_Uscite!H9</f>
        <v>687944.26</v>
      </c>
      <c r="E9" s="105">
        <f>Entrate_Uscite!K9</f>
        <v>0</v>
      </c>
      <c r="F9" s="105">
        <f>Entrate_Uscite!N9</f>
        <v>0</v>
      </c>
      <c r="G9" s="105">
        <f>Entrate_Uscite!Q9</f>
        <v>0</v>
      </c>
      <c r="H9" s="105">
        <f>Entrate_Uscite!T9</f>
        <v>0</v>
      </c>
      <c r="I9" s="47">
        <f>Entrate_Uscite!W9</f>
        <v>0</v>
      </c>
      <c r="J9" s="47">
        <f t="shared" si="0"/>
        <v>0</v>
      </c>
      <c r="K9" s="48" t="str">
        <f t="shared" si="1"/>
        <v>-</v>
      </c>
      <c r="L9" s="47">
        <f>Entrate_Uscite!X9</f>
        <v>0</v>
      </c>
      <c r="M9" s="49" t="str">
        <f t="shared" si="2"/>
        <v>-</v>
      </c>
    </row>
    <row r="10" spans="1:13" x14ac:dyDescent="0.3">
      <c r="A10" s="46" t="s">
        <v>27</v>
      </c>
      <c r="B10" s="47">
        <f>Entrate_Uscite!B10</f>
        <v>2350377.09</v>
      </c>
      <c r="C10" s="47">
        <f>Entrate_Uscite!E10</f>
        <v>3090666.37</v>
      </c>
      <c r="D10" s="105">
        <f>Entrate_Uscite!H10</f>
        <v>3384843.3</v>
      </c>
      <c r="E10" s="105">
        <f>Entrate_Uscite!K10</f>
        <v>1717548.8</v>
      </c>
      <c r="F10" s="105">
        <f>Entrate_Uscite!N10</f>
        <v>3102589.01</v>
      </c>
      <c r="G10" s="105">
        <f>Entrate_Uscite!Q10</f>
        <v>4811599.9000000004</v>
      </c>
      <c r="H10" s="105">
        <f>Entrate_Uscite!T10</f>
        <v>6239915.5700000003</v>
      </c>
      <c r="I10" s="47">
        <f>Entrate_Uscite!W10</f>
        <v>3035530.86</v>
      </c>
      <c r="J10" s="47">
        <f t="shared" si="0"/>
        <v>0.55858702775450642</v>
      </c>
      <c r="K10" s="48">
        <f t="shared" si="1"/>
        <v>-51.353013899833911</v>
      </c>
      <c r="L10" s="47">
        <f>Entrate_Uscite!X10</f>
        <v>2197953.87</v>
      </c>
      <c r="M10" s="49">
        <f t="shared" si="2"/>
        <v>72.407561358147419</v>
      </c>
    </row>
    <row r="11" spans="1:13" x14ac:dyDescent="0.3">
      <c r="A11" s="4" t="s">
        <v>32</v>
      </c>
      <c r="B11" s="39">
        <f t="shared" ref="B11:I11" si="5">SUM(B6:B10)</f>
        <v>56657125.530000001</v>
      </c>
      <c r="C11" s="39">
        <f t="shared" si="5"/>
        <v>24815163.000000004</v>
      </c>
      <c r="D11" s="39">
        <f t="shared" si="5"/>
        <v>21820653.559999999</v>
      </c>
      <c r="E11" s="39">
        <f t="shared" si="5"/>
        <v>17058578</v>
      </c>
      <c r="F11" s="39">
        <f t="shared" si="5"/>
        <v>101562264.48</v>
      </c>
      <c r="G11" s="39">
        <f t="shared" ref="G11" si="6">SUM(G6:G10)</f>
        <v>81831184.5</v>
      </c>
      <c r="H11" s="39">
        <f t="shared" ref="H11" si="7">SUM(H6:H10)</f>
        <v>153789865.78</v>
      </c>
      <c r="I11" s="39">
        <f t="shared" si="5"/>
        <v>38376634.740000002</v>
      </c>
      <c r="J11" s="39">
        <f t="shared" si="0"/>
        <v>7.0619246923541201</v>
      </c>
      <c r="K11" s="97">
        <f t="shared" si="1"/>
        <v>-75.046057459404594</v>
      </c>
      <c r="L11" s="39">
        <f>SUM(L6:L10)</f>
        <v>20084609.91</v>
      </c>
      <c r="M11" s="38">
        <f>IF(I11&gt;0,L11/I11*100,"-")</f>
        <v>52.335516248551606</v>
      </c>
    </row>
    <row r="12" spans="1:13" x14ac:dyDescent="0.3">
      <c r="A12" s="46" t="s">
        <v>28</v>
      </c>
      <c r="B12" s="47">
        <f>Entrate_Uscite!B11</f>
        <v>0</v>
      </c>
      <c r="C12" s="47">
        <f>Entrate_Uscite!E11</f>
        <v>0</v>
      </c>
      <c r="D12" s="105">
        <f>Entrate_Uscite!H11</f>
        <v>0</v>
      </c>
      <c r="E12" s="105">
        <f>Entrate_Uscite!K11</f>
        <v>0</v>
      </c>
      <c r="F12" s="105">
        <f>Entrate_Uscite!N11</f>
        <v>0</v>
      </c>
      <c r="G12" s="105">
        <f>Entrate_Uscite!Q11</f>
        <v>0</v>
      </c>
      <c r="H12" s="105">
        <f>Entrate_Uscite!T11</f>
        <v>0</v>
      </c>
      <c r="I12" s="47">
        <f>Entrate_Uscite!W11</f>
        <v>0</v>
      </c>
      <c r="J12" s="47">
        <f t="shared" si="0"/>
        <v>0</v>
      </c>
      <c r="K12" s="48" t="str">
        <f t="shared" si="1"/>
        <v>-</v>
      </c>
      <c r="L12" s="47">
        <f>Entrate_Uscite!X11</f>
        <v>0</v>
      </c>
      <c r="M12" s="49" t="str">
        <f t="shared" si="2"/>
        <v>-</v>
      </c>
    </row>
    <row r="13" spans="1:13" x14ac:dyDescent="0.3">
      <c r="A13" s="46" t="s">
        <v>29</v>
      </c>
      <c r="B13" s="47">
        <f>Entrate_Uscite!B12</f>
        <v>0</v>
      </c>
      <c r="C13" s="47">
        <f>Entrate_Uscite!E12</f>
        <v>0</v>
      </c>
      <c r="D13" s="105">
        <f>Entrate_Uscite!H12</f>
        <v>0</v>
      </c>
      <c r="E13" s="105">
        <f>Entrate_Uscite!K12</f>
        <v>0</v>
      </c>
      <c r="F13" s="105">
        <f>Entrate_Uscite!N12</f>
        <v>0</v>
      </c>
      <c r="G13" s="105">
        <f>Entrate_Uscite!Q12</f>
        <v>0</v>
      </c>
      <c r="H13" s="105">
        <f>Entrate_Uscite!T12</f>
        <v>0</v>
      </c>
      <c r="I13" s="47">
        <f>Entrate_Uscite!W12</f>
        <v>0</v>
      </c>
      <c r="J13" s="47">
        <f t="shared" si="0"/>
        <v>0</v>
      </c>
      <c r="K13" s="48" t="str">
        <f t="shared" si="1"/>
        <v>-</v>
      </c>
      <c r="L13" s="47">
        <f>Entrate_Uscite!X12</f>
        <v>0</v>
      </c>
      <c r="M13" s="49" t="str">
        <f t="shared" si="2"/>
        <v>-</v>
      </c>
    </row>
    <row r="14" spans="1:13" x14ac:dyDescent="0.3">
      <c r="A14" s="46" t="s">
        <v>30</v>
      </c>
      <c r="B14" s="47">
        <f>Entrate_Uscite!B13</f>
        <v>0</v>
      </c>
      <c r="C14" s="47">
        <f>Entrate_Uscite!E13</f>
        <v>0</v>
      </c>
      <c r="D14" s="105">
        <f>Entrate_Uscite!H13</f>
        <v>0</v>
      </c>
      <c r="E14" s="105">
        <f>Entrate_Uscite!K13</f>
        <v>0</v>
      </c>
      <c r="F14" s="105">
        <f>Entrate_Uscite!N13</f>
        <v>0</v>
      </c>
      <c r="G14" s="105">
        <f>Entrate_Uscite!Q13</f>
        <v>0</v>
      </c>
      <c r="H14" s="105">
        <f>Entrate_Uscite!T13</f>
        <v>0</v>
      </c>
      <c r="I14" s="47">
        <f>Entrate_Uscite!W13</f>
        <v>0</v>
      </c>
      <c r="J14" s="47">
        <f t="shared" si="0"/>
        <v>0</v>
      </c>
      <c r="K14" s="48" t="str">
        <f t="shared" si="1"/>
        <v>-</v>
      </c>
      <c r="L14" s="47">
        <f>Entrate_Uscite!X13</f>
        <v>0</v>
      </c>
      <c r="M14" s="49" t="str">
        <f t="shared" si="2"/>
        <v>-</v>
      </c>
    </row>
    <row r="15" spans="1:13" x14ac:dyDescent="0.3">
      <c r="A15" s="4" t="s">
        <v>33</v>
      </c>
      <c r="B15" s="37">
        <f t="shared" ref="B15:I15" si="8">SUM(B12:B14)</f>
        <v>0</v>
      </c>
      <c r="C15" s="37">
        <f t="shared" si="8"/>
        <v>0</v>
      </c>
      <c r="D15" s="37">
        <f t="shared" si="8"/>
        <v>0</v>
      </c>
      <c r="E15" s="37">
        <f t="shared" si="8"/>
        <v>0</v>
      </c>
      <c r="F15" s="37">
        <f t="shared" si="8"/>
        <v>0</v>
      </c>
      <c r="G15" s="37">
        <f t="shared" ref="G15" si="9">SUM(G12:G14)</f>
        <v>0</v>
      </c>
      <c r="H15" s="37">
        <f t="shared" ref="H15" si="10">SUM(H12:H14)</f>
        <v>0</v>
      </c>
      <c r="I15" s="37">
        <f t="shared" si="8"/>
        <v>0</v>
      </c>
      <c r="J15" s="37">
        <f t="shared" si="0"/>
        <v>0</v>
      </c>
      <c r="K15" s="97" t="str">
        <f t="shared" si="1"/>
        <v>-</v>
      </c>
      <c r="L15" s="37">
        <f>SUM(L12:L14)</f>
        <v>0</v>
      </c>
      <c r="M15" s="38" t="str">
        <f t="shared" si="2"/>
        <v>-</v>
      </c>
    </row>
    <row r="16" spans="1:13" x14ac:dyDescent="0.3">
      <c r="A16" s="40" t="s">
        <v>348</v>
      </c>
      <c r="B16" s="41">
        <f t="shared" ref="B16:I16" si="11">B5+B11+B15</f>
        <v>511505266.57000005</v>
      </c>
      <c r="C16" s="41">
        <f t="shared" si="11"/>
        <v>416096749.85000002</v>
      </c>
      <c r="D16" s="41">
        <f t="shared" si="11"/>
        <v>472401837.03000003</v>
      </c>
      <c r="E16" s="41">
        <f t="shared" si="11"/>
        <v>436714604.13999999</v>
      </c>
      <c r="F16" s="41">
        <f t="shared" si="11"/>
        <v>550328580.40999997</v>
      </c>
      <c r="G16" s="41">
        <f t="shared" ref="G16:H16" si="12">G5+G11+G15</f>
        <v>579385543.0999999</v>
      </c>
      <c r="H16" s="41">
        <f t="shared" si="12"/>
        <v>635094470.42999995</v>
      </c>
      <c r="I16" s="41">
        <f t="shared" si="11"/>
        <v>543430246.17000008</v>
      </c>
      <c r="J16" s="41">
        <f t="shared" si="0"/>
        <v>100.00000000000003</v>
      </c>
      <c r="K16" s="107">
        <f t="shared" si="1"/>
        <v>-14.433163651690634</v>
      </c>
      <c r="L16" s="41">
        <f>L5+L11+L15</f>
        <v>246146181.95999998</v>
      </c>
      <c r="M16" s="42">
        <f t="shared" si="2"/>
        <v>45.294899151233224</v>
      </c>
    </row>
    <row r="17" spans="1:13" x14ac:dyDescent="0.3">
      <c r="A17" s="4" t="s">
        <v>34</v>
      </c>
      <c r="B17" s="37">
        <f>Entrate_Uscite!B17</f>
        <v>0</v>
      </c>
      <c r="C17" s="37">
        <f>Entrate_Uscite!E17</f>
        <v>0</v>
      </c>
      <c r="D17" s="37">
        <f>Entrate_Uscite!H17</f>
        <v>0</v>
      </c>
      <c r="E17" s="37">
        <f>Entrate_Uscite!K17</f>
        <v>0</v>
      </c>
      <c r="F17" s="37">
        <f>Entrate_Uscite!N17</f>
        <v>10951791.789999999</v>
      </c>
      <c r="G17" s="37">
        <f>Entrate_Uscite!Q17</f>
        <v>0</v>
      </c>
      <c r="H17" s="37">
        <f>Entrate_Uscite!T17</f>
        <v>0</v>
      </c>
      <c r="I17" s="37">
        <f>Entrate_Uscite!W17</f>
        <v>0</v>
      </c>
      <c r="J17" s="37">
        <f t="shared" si="0"/>
        <v>0</v>
      </c>
      <c r="K17" s="97" t="str">
        <f t="shared" si="1"/>
        <v>-</v>
      </c>
      <c r="L17" s="37">
        <f>Entrate_Uscite!X17</f>
        <v>0</v>
      </c>
      <c r="M17" s="38" t="str">
        <f t="shared" si="2"/>
        <v>-</v>
      </c>
    </row>
    <row r="18" spans="1:13" x14ac:dyDescent="0.3">
      <c r="A18" s="4" t="s">
        <v>35</v>
      </c>
      <c r="B18" s="37">
        <f>Entrate_Uscite!B18</f>
        <v>400691924.07999998</v>
      </c>
      <c r="C18" s="37">
        <f>Entrate_Uscite!E18</f>
        <v>473507435.88</v>
      </c>
      <c r="D18" s="37">
        <f>Entrate_Uscite!H18</f>
        <v>351152641.89999998</v>
      </c>
      <c r="E18" s="37">
        <f>Entrate_Uscite!K18</f>
        <v>324941805.68000001</v>
      </c>
      <c r="F18" s="37">
        <f>Entrate_Uscite!N18</f>
        <v>414310883.48000002</v>
      </c>
      <c r="G18" s="37">
        <f>Entrate_Uscite!Q18</f>
        <v>319042651.10000002</v>
      </c>
      <c r="H18" s="37">
        <f>Entrate_Uscite!T18</f>
        <v>203517535.65000001</v>
      </c>
      <c r="I18" s="37">
        <f>Entrate_Uscite!W18</f>
        <v>0</v>
      </c>
      <c r="J18" s="37">
        <f t="shared" si="0"/>
        <v>0</v>
      </c>
      <c r="K18" s="97">
        <f t="shared" si="1"/>
        <v>-100</v>
      </c>
      <c r="L18" s="37">
        <f>Entrate_Uscite!X18</f>
        <v>0</v>
      </c>
      <c r="M18" s="38" t="str">
        <f t="shared" si="2"/>
        <v>-</v>
      </c>
    </row>
    <row r="19" spans="1:13" x14ac:dyDescent="0.3">
      <c r="A19" s="4" t="s">
        <v>36</v>
      </c>
      <c r="B19" s="37">
        <f>Entrate_Uscite!B19</f>
        <v>465083835.61000001</v>
      </c>
      <c r="C19" s="37">
        <f>Entrate_Uscite!E19</f>
        <v>455022517.82999998</v>
      </c>
      <c r="D19" s="37">
        <f>Entrate_Uscite!H19</f>
        <v>339031229.31999999</v>
      </c>
      <c r="E19" s="37">
        <f>Entrate_Uscite!K19</f>
        <v>316328850.10000002</v>
      </c>
      <c r="F19" s="37">
        <f>Entrate_Uscite!N19</f>
        <v>200563239.22999999</v>
      </c>
      <c r="G19" s="37">
        <f>Entrate_Uscite!Q19</f>
        <v>745311692.70000005</v>
      </c>
      <c r="H19" s="37">
        <f>Entrate_Uscite!T19</f>
        <v>503159103.79000002</v>
      </c>
      <c r="I19" s="37">
        <f>Entrate_Uscite!W19</f>
        <v>805000283.12</v>
      </c>
      <c r="J19" s="37"/>
      <c r="K19" s="97">
        <f t="shared" si="1"/>
        <v>59.989211574710453</v>
      </c>
      <c r="L19" s="37">
        <f>Entrate_Uscite!X19</f>
        <v>799696803.29999995</v>
      </c>
      <c r="M19" s="38">
        <f t="shared" si="2"/>
        <v>99.341182862763105</v>
      </c>
    </row>
    <row r="20" spans="1:13" x14ac:dyDescent="0.3">
      <c r="A20" s="40" t="s">
        <v>37</v>
      </c>
      <c r="B20" s="41">
        <f t="shared" ref="B20:I20" si="13">B5+B11+B15+B17+B18+B19</f>
        <v>1377281026.2600002</v>
      </c>
      <c r="C20" s="41">
        <f t="shared" si="13"/>
        <v>1344626703.5599999</v>
      </c>
      <c r="D20" s="41">
        <f t="shared" si="13"/>
        <v>1162585708.25</v>
      </c>
      <c r="E20" s="41">
        <f t="shared" si="13"/>
        <v>1077985259.9200001</v>
      </c>
      <c r="F20" s="41">
        <f t="shared" si="13"/>
        <v>1176154494.9099998</v>
      </c>
      <c r="G20" s="41">
        <f t="shared" ref="G20:H20" si="14">G5+G11+G15+G17+G18+G19</f>
        <v>1643739886.9000001</v>
      </c>
      <c r="H20" s="41">
        <f t="shared" si="14"/>
        <v>1341771109.8699999</v>
      </c>
      <c r="I20" s="41">
        <f t="shared" si="13"/>
        <v>1348430529.29</v>
      </c>
      <c r="J20" s="41"/>
      <c r="K20" s="107">
        <f t="shared" si="1"/>
        <v>0.49631560636638028</v>
      </c>
      <c r="L20" s="41">
        <f>L5+L11+L15+L17+L18+L19</f>
        <v>1045842985.26</v>
      </c>
      <c r="M20" s="42">
        <f t="shared" si="2"/>
        <v>77.560019781714388</v>
      </c>
    </row>
    <row r="21" spans="1:13" x14ac:dyDescent="0.3">
      <c r="A21" s="32" t="s">
        <v>38</v>
      </c>
      <c r="B21" s="43">
        <f t="shared" ref="B21:I21" si="15">B20-B19</f>
        <v>912197190.65000021</v>
      </c>
      <c r="C21" s="43">
        <f t="shared" si="15"/>
        <v>889604185.73000002</v>
      </c>
      <c r="D21" s="43">
        <f t="shared" si="15"/>
        <v>823554478.93000007</v>
      </c>
      <c r="E21" s="43">
        <f t="shared" si="15"/>
        <v>761656409.82000005</v>
      </c>
      <c r="F21" s="43">
        <f t="shared" si="15"/>
        <v>975591255.67999983</v>
      </c>
      <c r="G21" s="43">
        <f t="shared" ref="G21:H21" si="16">G20-G19</f>
        <v>898428194.20000005</v>
      </c>
      <c r="H21" s="43">
        <f t="shared" si="16"/>
        <v>838612006.07999992</v>
      </c>
      <c r="I21" s="43">
        <f t="shared" si="15"/>
        <v>543430246.16999996</v>
      </c>
      <c r="J21" s="43">
        <f t="shared" si="0"/>
        <v>100</v>
      </c>
      <c r="K21" s="44">
        <f t="shared" si="1"/>
        <v>-35.198847353711855</v>
      </c>
      <c r="L21" s="43">
        <f>L20-L19</f>
        <v>246146181.96000004</v>
      </c>
      <c r="M21" s="45">
        <f t="shared" si="2"/>
        <v>45.294899151233246</v>
      </c>
    </row>
    <row r="22" spans="1:13" x14ac:dyDescent="0.3">
      <c r="L22" s="6"/>
    </row>
    <row r="23" spans="1:13" x14ac:dyDescent="0.3">
      <c r="L2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workbookViewId="0">
      <selection activeCell="K1" sqref="K1:K31"/>
    </sheetView>
  </sheetViews>
  <sheetFormatPr defaultRowHeight="14.4" x14ac:dyDescent="0.3"/>
  <cols>
    <col min="1" max="1" width="50.6640625" bestFit="1" customWidth="1"/>
    <col min="2" max="3" width="14.33203125" bestFit="1" customWidth="1"/>
    <col min="4" max="4" width="14.33203125" style="93" bestFit="1" customWidth="1"/>
    <col min="5" max="8" width="12.5546875" style="93" bestFit="1" customWidth="1"/>
    <col min="9" max="9" width="12.5546875" bestFit="1" customWidth="1"/>
    <col min="10" max="10" width="8.5546875" customWidth="1"/>
    <col min="11" max="11" width="7.5546875" style="93" bestFit="1" customWidth="1"/>
    <col min="12" max="12" width="12.5546875" bestFit="1" customWidth="1"/>
    <col min="13" max="13" width="7" bestFit="1" customWidth="1"/>
  </cols>
  <sheetData>
    <row r="1" spans="1:13" ht="28.8" x14ac:dyDescent="0.3">
      <c r="A1" s="35"/>
      <c r="B1" s="36">
        <v>2016</v>
      </c>
      <c r="C1" s="36">
        <v>2017</v>
      </c>
      <c r="D1" s="108">
        <v>2018</v>
      </c>
      <c r="E1" s="108">
        <v>2019</v>
      </c>
      <c r="F1" s="108">
        <v>2020</v>
      </c>
      <c r="G1" s="108">
        <v>2021</v>
      </c>
      <c r="H1" s="108">
        <v>2022</v>
      </c>
      <c r="I1" s="108">
        <v>2023</v>
      </c>
      <c r="J1" s="109" t="s">
        <v>297</v>
      </c>
      <c r="K1" s="108" t="s">
        <v>233</v>
      </c>
      <c r="L1" s="109" t="s">
        <v>368</v>
      </c>
      <c r="M1" s="36" t="s">
        <v>339</v>
      </c>
    </row>
    <row r="2" spans="1:13" x14ac:dyDescent="0.3">
      <c r="A2" s="50" t="s">
        <v>270</v>
      </c>
      <c r="B2" s="47">
        <f>Entrate_Uscite!B23</f>
        <v>102161509.97</v>
      </c>
      <c r="C2" s="47">
        <f>Entrate_Uscite!E23</f>
        <v>103335941.13</v>
      </c>
      <c r="D2" s="105">
        <f>Entrate_Uscite!H23</f>
        <v>101436068.73</v>
      </c>
      <c r="E2" s="105">
        <f>Entrate_Uscite!K23</f>
        <v>88249249.099999994</v>
      </c>
      <c r="F2" s="105">
        <f>Entrate_Uscite!N23</f>
        <v>79711072.439999998</v>
      </c>
      <c r="G2" s="105">
        <f>Entrate_Uscite!Q23</f>
        <v>80379171.700000003</v>
      </c>
      <c r="H2" s="105">
        <f>Entrate_Uscite!T23</f>
        <v>81908129.780000001</v>
      </c>
      <c r="I2" s="47">
        <f>Entrate_Uscite!W23</f>
        <v>78391463.420000002</v>
      </c>
      <c r="J2" s="47">
        <f>I2/I$31*100</f>
        <v>15.530408290001684</v>
      </c>
      <c r="K2" s="48">
        <f>IF(H2&gt;0,I2/H2*100-100,"-")</f>
        <v>-4.2934277335418898</v>
      </c>
      <c r="L2" s="47">
        <f>Entrate_Uscite!X23</f>
        <v>72492001.299999997</v>
      </c>
      <c r="M2" s="49">
        <f>IF(I2&gt;0,L2/I2*100,"-")</f>
        <v>92.474356438031649</v>
      </c>
    </row>
    <row r="3" spans="1:13" x14ac:dyDescent="0.3">
      <c r="A3" s="50" t="s">
        <v>271</v>
      </c>
      <c r="B3" s="47">
        <f>Entrate_Uscite!B24</f>
        <v>65090055.57</v>
      </c>
      <c r="C3" s="47">
        <f>Entrate_Uscite!E24</f>
        <v>6463332.2000000002</v>
      </c>
      <c r="D3" s="105">
        <f>Entrate_Uscite!H24</f>
        <v>6308632.1399999997</v>
      </c>
      <c r="E3" s="105">
        <f>Entrate_Uscite!K24</f>
        <v>5333407.2</v>
      </c>
      <c r="F3" s="105">
        <f>Entrate_Uscite!N24</f>
        <v>5210531.07</v>
      </c>
      <c r="G3" s="105">
        <f>Entrate_Uscite!Q24</f>
        <v>4965799.8</v>
      </c>
      <c r="H3" s="105">
        <f>Entrate_Uscite!T24</f>
        <v>5160691.22</v>
      </c>
      <c r="I3" s="47">
        <f>Entrate_Uscite!W24</f>
        <v>4890846</v>
      </c>
      <c r="J3" s="47">
        <f t="shared" ref="J3:J31" si="0">I3/I$31*100</f>
        <v>0.96894268775881442</v>
      </c>
      <c r="K3" s="48">
        <f t="shared" ref="K3:K31" si="1">IF(H3&gt;0,I3/H3*100-100,"-")</f>
        <v>-5.2288580830844467</v>
      </c>
      <c r="L3" s="47">
        <f>Entrate_Uscite!X24</f>
        <v>3894466.95</v>
      </c>
      <c r="M3" s="49">
        <f>IF(I3&gt;0,L3/I3*100,"-")</f>
        <v>79.627674843984053</v>
      </c>
    </row>
    <row r="4" spans="1:13" x14ac:dyDescent="0.3">
      <c r="A4" s="50" t="s">
        <v>272</v>
      </c>
      <c r="B4" s="47">
        <f>Entrate_Uscite!B25</f>
        <v>151613739.05000001</v>
      </c>
      <c r="C4" s="47">
        <f>Entrate_Uscite!E25</f>
        <v>165433561.55000001</v>
      </c>
      <c r="D4" s="105">
        <f>Entrate_Uscite!H25</f>
        <v>153277583.03</v>
      </c>
      <c r="E4" s="105">
        <f>Entrate_Uscite!K25</f>
        <v>171163463.30000001</v>
      </c>
      <c r="F4" s="105">
        <f>Entrate_Uscite!N25</f>
        <v>159468005.38</v>
      </c>
      <c r="G4" s="105">
        <f>Entrate_Uscite!Q25</f>
        <v>164807453.34</v>
      </c>
      <c r="H4" s="105">
        <f>Entrate_Uscite!T25</f>
        <v>191482729.94</v>
      </c>
      <c r="I4" s="47">
        <f>Entrate_Uscite!W25</f>
        <v>212830616.02000001</v>
      </c>
      <c r="J4" s="47">
        <f t="shared" si="0"/>
        <v>42.164621238080898</v>
      </c>
      <c r="K4" s="48">
        <f t="shared" si="1"/>
        <v>11.148726617115415</v>
      </c>
      <c r="L4" s="47">
        <f>Entrate_Uscite!X25</f>
        <v>159041494.38</v>
      </c>
      <c r="M4" s="49">
        <f t="shared" ref="M4:M9" si="2">IF(I4&gt;0,L4/I4*100,"-")</f>
        <v>74.726793237799313</v>
      </c>
    </row>
    <row r="5" spans="1:13" x14ac:dyDescent="0.3">
      <c r="A5" s="50" t="s">
        <v>273</v>
      </c>
      <c r="B5" s="47">
        <f>Entrate_Uscite!B26</f>
        <v>42948697.030000001</v>
      </c>
      <c r="C5" s="47">
        <f>Entrate_Uscite!E26</f>
        <v>51042858.5</v>
      </c>
      <c r="D5" s="105">
        <f>Entrate_Uscite!H26</f>
        <v>41760765.670000002</v>
      </c>
      <c r="E5" s="105">
        <f>Entrate_Uscite!K26</f>
        <v>36010572.5</v>
      </c>
      <c r="F5" s="105">
        <f>Entrate_Uscite!N26</f>
        <v>32424546.530000001</v>
      </c>
      <c r="G5" s="105">
        <f>Entrate_Uscite!Q26</f>
        <v>32311484.800000001</v>
      </c>
      <c r="H5" s="105">
        <f>Entrate_Uscite!T26</f>
        <v>30876694.27</v>
      </c>
      <c r="I5" s="47">
        <f>Entrate_Uscite!W26</f>
        <v>65771047.329999998</v>
      </c>
      <c r="J5" s="47">
        <f t="shared" si="0"/>
        <v>13.030133309583331</v>
      </c>
      <c r="K5" s="48">
        <f t="shared" si="1"/>
        <v>113.01194601620156</v>
      </c>
      <c r="L5" s="47">
        <f>Entrate_Uscite!X26</f>
        <v>37967730.090000004</v>
      </c>
      <c r="M5" s="49">
        <f t="shared" si="2"/>
        <v>57.727117981716958</v>
      </c>
    </row>
    <row r="6" spans="1:13" x14ac:dyDescent="0.3">
      <c r="A6" s="50" t="s">
        <v>274</v>
      </c>
      <c r="B6" s="47">
        <f>Entrate_Uscite!B27</f>
        <v>30613672.199999999</v>
      </c>
      <c r="C6" s="47">
        <f>Entrate_Uscite!E27</f>
        <v>23917949.52</v>
      </c>
      <c r="D6" s="105">
        <f>Entrate_Uscite!H27</f>
        <v>33749723.140000001</v>
      </c>
      <c r="E6" s="105">
        <f>Entrate_Uscite!K27</f>
        <v>25139064.699999999</v>
      </c>
      <c r="F6" s="105">
        <f>Entrate_Uscite!N27</f>
        <v>21059248.440000001</v>
      </c>
      <c r="G6" s="105">
        <f>Entrate_Uscite!Q27</f>
        <v>19530094.440000001</v>
      </c>
      <c r="H6" s="105">
        <f>Entrate_Uscite!T27</f>
        <v>16909334.800000001</v>
      </c>
      <c r="I6" s="47">
        <f>Entrate_Uscite!W27</f>
        <v>15532492.779999999</v>
      </c>
      <c r="J6" s="47">
        <f t="shared" si="0"/>
        <v>3.0771967266701052</v>
      </c>
      <c r="K6" s="48">
        <f t="shared" si="1"/>
        <v>-8.1424966522042155</v>
      </c>
      <c r="L6" s="47">
        <f>Entrate_Uscite!X27</f>
        <v>15532492.779999999</v>
      </c>
      <c r="M6" s="49">
        <f t="shared" si="2"/>
        <v>100</v>
      </c>
    </row>
    <row r="7" spans="1:13" x14ac:dyDescent="0.3">
      <c r="A7" s="50" t="s">
        <v>275</v>
      </c>
      <c r="B7" s="47">
        <f>Entrate_Uscite!B28</f>
        <v>0</v>
      </c>
      <c r="C7" s="47">
        <f>Entrate_Uscite!E28</f>
        <v>0</v>
      </c>
      <c r="D7" s="105">
        <f>Entrate_Uscite!H28</f>
        <v>0</v>
      </c>
      <c r="E7" s="105">
        <f>Entrate_Uscite!K28</f>
        <v>0</v>
      </c>
      <c r="F7" s="105">
        <f>Entrate_Uscite!N28</f>
        <v>0</v>
      </c>
      <c r="G7" s="105">
        <f>Entrate_Uscite!Q28</f>
        <v>0</v>
      </c>
      <c r="H7" s="105">
        <f>Entrate_Uscite!T28</f>
        <v>0</v>
      </c>
      <c r="I7" s="47">
        <f>Entrate_Uscite!W28</f>
        <v>0</v>
      </c>
      <c r="J7" s="47">
        <f t="shared" si="0"/>
        <v>0</v>
      </c>
      <c r="K7" s="48" t="str">
        <f t="shared" si="1"/>
        <v>-</v>
      </c>
      <c r="L7" s="47">
        <f>Entrate_Uscite!X28</f>
        <v>0</v>
      </c>
      <c r="M7" s="49" t="str">
        <f t="shared" si="2"/>
        <v>-</v>
      </c>
    </row>
    <row r="8" spans="1:13" x14ac:dyDescent="0.3">
      <c r="A8" s="50" t="s">
        <v>276</v>
      </c>
      <c r="B8" s="47">
        <f>Entrate_Uscite!B29</f>
        <v>1429837.97</v>
      </c>
      <c r="C8" s="47">
        <f>Entrate_Uscite!E29</f>
        <v>54123.72</v>
      </c>
      <c r="D8" s="105">
        <f>Entrate_Uscite!H29</f>
        <v>71036.149999999994</v>
      </c>
      <c r="E8" s="105">
        <f>Entrate_Uscite!K29</f>
        <v>21790.5</v>
      </c>
      <c r="F8" s="105">
        <f>Entrate_Uscite!N29</f>
        <v>18467586.829999998</v>
      </c>
      <c r="G8" s="105">
        <f>Entrate_Uscite!Q29</f>
        <v>21398751.800000001</v>
      </c>
      <c r="H8" s="105">
        <f>Entrate_Uscite!T29</f>
        <v>9593357.5399999991</v>
      </c>
      <c r="I8" s="47">
        <f>Entrate_Uscite!W29</f>
        <v>701794.31</v>
      </c>
      <c r="J8" s="47">
        <f t="shared" si="0"/>
        <v>0.13903493689746982</v>
      </c>
      <c r="K8" s="48">
        <f t="shared" si="1"/>
        <v>-92.684580898044999</v>
      </c>
      <c r="L8" s="47">
        <f>Entrate_Uscite!X29</f>
        <v>470337.52</v>
      </c>
      <c r="M8" s="49">
        <f t="shared" si="2"/>
        <v>67.019283755663395</v>
      </c>
    </row>
    <row r="9" spans="1:13" x14ac:dyDescent="0.3">
      <c r="A9" s="50" t="s">
        <v>277</v>
      </c>
      <c r="B9" s="47">
        <f>Entrate_Uscite!B30</f>
        <v>24095394.530000001</v>
      </c>
      <c r="C9" s="47">
        <f>Entrate_Uscite!E30</f>
        <v>27438175.800000001</v>
      </c>
      <c r="D9" s="105">
        <f>Entrate_Uscite!H30</f>
        <v>5001284.47</v>
      </c>
      <c r="E9" s="105">
        <f>Entrate_Uscite!K30</f>
        <v>467313.63</v>
      </c>
      <c r="F9" s="105">
        <f>Entrate_Uscite!N30</f>
        <v>1739330.43</v>
      </c>
      <c r="G9" s="105">
        <f>Entrate_Uscite!Q30</f>
        <v>11264039</v>
      </c>
      <c r="H9" s="105">
        <f>Entrate_Uscite!T30</f>
        <v>18247777.199999999</v>
      </c>
      <c r="I9" s="47">
        <f>Entrate_Uscite!W30</f>
        <v>1384677.8</v>
      </c>
      <c r="J9" s="47">
        <f t="shared" si="0"/>
        <v>0.27432338479108975</v>
      </c>
      <c r="K9" s="48">
        <f t="shared" si="1"/>
        <v>-92.411800161610913</v>
      </c>
      <c r="L9" s="47">
        <f>Entrate_Uscite!X30</f>
        <v>558433.15</v>
      </c>
      <c r="M9" s="49">
        <f t="shared" si="2"/>
        <v>40.329465092890203</v>
      </c>
    </row>
    <row r="10" spans="1:13" x14ac:dyDescent="0.3">
      <c r="A10" s="4" t="s">
        <v>282</v>
      </c>
      <c r="B10" s="37">
        <f t="shared" ref="B10:I10" si="3">SUM(B2:B9)</f>
        <v>417952906.32000005</v>
      </c>
      <c r="C10" s="37">
        <f t="shared" si="3"/>
        <v>377685942.42000002</v>
      </c>
      <c r="D10" s="37">
        <f t="shared" si="3"/>
        <v>341605093.32999998</v>
      </c>
      <c r="E10" s="37">
        <f t="shared" si="3"/>
        <v>326384860.93000001</v>
      </c>
      <c r="F10" s="37">
        <f t="shared" si="3"/>
        <v>318080321.11999995</v>
      </c>
      <c r="G10" s="37">
        <f t="shared" ref="G10:H10" si="4">SUM(G2:G9)</f>
        <v>334656794.88</v>
      </c>
      <c r="H10" s="37">
        <f t="shared" si="4"/>
        <v>354178714.75</v>
      </c>
      <c r="I10" s="37">
        <f t="shared" si="3"/>
        <v>379502937.65999997</v>
      </c>
      <c r="J10" s="37">
        <f t="shared" si="0"/>
        <v>75.184660573783376</v>
      </c>
      <c r="K10" s="97">
        <f t="shared" si="1"/>
        <v>7.1501255878336138</v>
      </c>
      <c r="L10" s="37">
        <f>SUM(L2:L9)</f>
        <v>289956956.16999996</v>
      </c>
      <c r="M10" s="38">
        <f t="shared" ref="M10:M17" si="5">IF(I10&gt;0,L10/I10*100,"-")</f>
        <v>76.404403601685672</v>
      </c>
    </row>
    <row r="11" spans="1:13" x14ac:dyDescent="0.3">
      <c r="A11" s="50" t="s">
        <v>278</v>
      </c>
      <c r="B11" s="47">
        <f>Entrate_Uscite!B32</f>
        <v>19074602.43</v>
      </c>
      <c r="C11" s="47">
        <f>Entrate_Uscite!E32</f>
        <v>17247702.469999999</v>
      </c>
      <c r="D11" s="105">
        <f>Entrate_Uscite!H32</f>
        <v>15847271.859999999</v>
      </c>
      <c r="E11" s="105">
        <f>Entrate_Uscite!K32</f>
        <v>7405983.2999999998</v>
      </c>
      <c r="F11" s="105">
        <f>Entrate_Uscite!N32</f>
        <v>12698739.98</v>
      </c>
      <c r="G11" s="105">
        <f>Entrate_Uscite!Q32</f>
        <v>23135129.600000001</v>
      </c>
      <c r="H11" s="105">
        <f>Entrate_Uscite!T32</f>
        <v>41651347.609999999</v>
      </c>
      <c r="I11" s="47">
        <f>Entrate_Uscite!W32</f>
        <v>76499477.319999993</v>
      </c>
      <c r="J11" s="47">
        <f t="shared" si="0"/>
        <v>15.15558027518864</v>
      </c>
      <c r="K11" s="48">
        <f t="shared" si="1"/>
        <v>83.666271824620082</v>
      </c>
      <c r="L11" s="47">
        <f>Entrate_Uscite!X32</f>
        <v>61888975.020000003</v>
      </c>
      <c r="M11" s="49">
        <f t="shared" si="5"/>
        <v>80.901173691836163</v>
      </c>
    </row>
    <row r="12" spans="1:13" x14ac:dyDescent="0.3">
      <c r="A12" s="50" t="s">
        <v>279</v>
      </c>
      <c r="B12" s="47">
        <f>Entrate_Uscite!B33</f>
        <v>1153456.73</v>
      </c>
      <c r="C12" s="47">
        <f>Entrate_Uscite!E33</f>
        <v>0</v>
      </c>
      <c r="D12" s="105">
        <f>Entrate_Uscite!H33</f>
        <v>0</v>
      </c>
      <c r="E12" s="105">
        <f>Entrate_Uscite!K33</f>
        <v>0</v>
      </c>
      <c r="F12" s="105">
        <f>Entrate_Uscite!N33</f>
        <v>823287</v>
      </c>
      <c r="G12" s="105">
        <f>Entrate_Uscite!Q33</f>
        <v>0</v>
      </c>
      <c r="H12" s="105">
        <f>Entrate_Uscite!T33</f>
        <v>4999989.25</v>
      </c>
      <c r="I12" s="47">
        <f>Entrate_Uscite!W33</f>
        <v>23841322.719999999</v>
      </c>
      <c r="J12" s="47">
        <f t="shared" si="0"/>
        <v>4.7232882237637597</v>
      </c>
      <c r="K12" s="48">
        <f t="shared" si="1"/>
        <v>376.82747957908111</v>
      </c>
      <c r="L12" s="47">
        <f>Entrate_Uscite!X33</f>
        <v>23218243.670000002</v>
      </c>
      <c r="M12" s="49">
        <f t="shared" si="5"/>
        <v>97.386558383032551</v>
      </c>
    </row>
    <row r="13" spans="1:13" x14ac:dyDescent="0.3">
      <c r="A13" s="50" t="s">
        <v>280</v>
      </c>
      <c r="B13" s="47">
        <f>Entrate_Uscite!B34</f>
        <v>0</v>
      </c>
      <c r="C13" s="47">
        <f>Entrate_Uscite!E34</f>
        <v>0</v>
      </c>
      <c r="D13" s="105">
        <f>Entrate_Uscite!H34</f>
        <v>0</v>
      </c>
      <c r="E13" s="105">
        <f>Entrate_Uscite!K34</f>
        <v>0</v>
      </c>
      <c r="F13" s="105">
        <f>Entrate_Uscite!N34</f>
        <v>2666351</v>
      </c>
      <c r="G13" s="105">
        <f>Entrate_Uscite!Q34</f>
        <v>0</v>
      </c>
      <c r="H13" s="105">
        <f>Entrate_Uscite!T34</f>
        <v>0</v>
      </c>
      <c r="I13" s="47">
        <f>Entrate_Uscite!W34</f>
        <v>0</v>
      </c>
      <c r="J13" s="47">
        <f t="shared" si="0"/>
        <v>0</v>
      </c>
      <c r="K13" s="48" t="str">
        <f t="shared" si="1"/>
        <v>-</v>
      </c>
      <c r="L13" s="47">
        <f>Entrate_Uscite!X34</f>
        <v>0</v>
      </c>
      <c r="M13" s="49" t="str">
        <f t="shared" si="5"/>
        <v>-</v>
      </c>
    </row>
    <row r="14" spans="1:13" x14ac:dyDescent="0.3">
      <c r="A14" s="50" t="s">
        <v>281</v>
      </c>
      <c r="B14" s="47">
        <f>Entrate_Uscite!B35</f>
        <v>144441.73000000001</v>
      </c>
      <c r="C14" s="47">
        <f>Entrate_Uscite!E35</f>
        <v>392602.75</v>
      </c>
      <c r="D14" s="105">
        <f>Entrate_Uscite!H35</f>
        <v>505132.98</v>
      </c>
      <c r="E14" s="105">
        <f>Entrate_Uscite!K35</f>
        <v>14021.74</v>
      </c>
      <c r="F14" s="105">
        <f>Entrate_Uscite!N35</f>
        <v>5635337.1799999997</v>
      </c>
      <c r="G14" s="105">
        <f>Entrate_Uscite!Q35</f>
        <v>16225710.300000001</v>
      </c>
      <c r="H14" s="105">
        <f>Entrate_Uscite!T35</f>
        <v>8981231.0700000003</v>
      </c>
      <c r="I14" s="47">
        <f>Entrate_Uscite!W35</f>
        <v>6376605.0700000003</v>
      </c>
      <c r="J14" s="47">
        <f t="shared" si="0"/>
        <v>1.2632916381546839</v>
      </c>
      <c r="K14" s="48">
        <f t="shared" si="1"/>
        <v>-29.000768154159076</v>
      </c>
      <c r="L14" s="47">
        <f>Entrate_Uscite!X35</f>
        <v>6114606.75</v>
      </c>
      <c r="M14" s="49">
        <f t="shared" si="5"/>
        <v>95.891256912982996</v>
      </c>
    </row>
    <row r="15" spans="1:13" x14ac:dyDescent="0.3">
      <c r="A15" s="4" t="s">
        <v>283</v>
      </c>
      <c r="B15" s="39">
        <f t="shared" ref="B15:I15" si="6">SUM(B11:B14)</f>
        <v>20372500.890000001</v>
      </c>
      <c r="C15" s="39">
        <f t="shared" si="6"/>
        <v>17640305.219999999</v>
      </c>
      <c r="D15" s="39">
        <f t="shared" si="6"/>
        <v>16352404.84</v>
      </c>
      <c r="E15" s="39">
        <f t="shared" si="6"/>
        <v>7420005.04</v>
      </c>
      <c r="F15" s="39">
        <f t="shared" si="6"/>
        <v>21823715.16</v>
      </c>
      <c r="G15" s="39">
        <f t="shared" ref="G15" si="7">SUM(G11:G14)</f>
        <v>39360839.900000006</v>
      </c>
      <c r="H15" s="39">
        <f t="shared" ref="H15" si="8">SUM(H11:H14)</f>
        <v>55632567.93</v>
      </c>
      <c r="I15" s="39">
        <f t="shared" si="6"/>
        <v>106717405.10999998</v>
      </c>
      <c r="J15" s="39">
        <f t="shared" si="0"/>
        <v>21.142160137107084</v>
      </c>
      <c r="K15" s="97">
        <f t="shared" si="1"/>
        <v>91.825416443615865</v>
      </c>
      <c r="L15" s="39">
        <f>SUM(L11:L14)</f>
        <v>91221825.439999998</v>
      </c>
      <c r="M15" s="38">
        <f t="shared" si="5"/>
        <v>85.47980092466851</v>
      </c>
    </row>
    <row r="16" spans="1:13" x14ac:dyDescent="0.3">
      <c r="A16" s="50" t="s">
        <v>284</v>
      </c>
      <c r="B16" s="47">
        <f>Entrate_Uscite!B36</f>
        <v>0</v>
      </c>
      <c r="C16" s="47">
        <f>Entrate_Uscite!E36</f>
        <v>0</v>
      </c>
      <c r="D16" s="105">
        <f>Entrate_Uscite!H36</f>
        <v>0</v>
      </c>
      <c r="E16" s="105">
        <f>Entrate_Uscite!K36</f>
        <v>0</v>
      </c>
      <c r="F16" s="105">
        <f>Entrate_Uscite!N36</f>
        <v>0</v>
      </c>
      <c r="G16" s="105">
        <f>Entrate_Uscite!Q36</f>
        <v>0</v>
      </c>
      <c r="H16" s="105">
        <f>Entrate_Uscite!T36</f>
        <v>0</v>
      </c>
      <c r="I16" s="47">
        <f>Entrate_Uscite!W36</f>
        <v>0</v>
      </c>
      <c r="J16" s="47">
        <f t="shared" si="0"/>
        <v>0</v>
      </c>
      <c r="K16" s="48" t="str">
        <f t="shared" si="1"/>
        <v>-</v>
      </c>
      <c r="L16" s="47">
        <f>Entrate_Uscite!X36</f>
        <v>0</v>
      </c>
      <c r="M16" s="49" t="str">
        <f t="shared" si="5"/>
        <v>-</v>
      </c>
    </row>
    <row r="17" spans="1:13" x14ac:dyDescent="0.3">
      <c r="A17" s="50" t="s">
        <v>285</v>
      </c>
      <c r="B17" s="47">
        <f>Entrate_Uscite!B37</f>
        <v>0</v>
      </c>
      <c r="C17" s="47">
        <f>Entrate_Uscite!E37</f>
        <v>0</v>
      </c>
      <c r="D17" s="105">
        <f>Entrate_Uscite!H37</f>
        <v>0</v>
      </c>
      <c r="E17" s="105">
        <f>Entrate_Uscite!K37</f>
        <v>0</v>
      </c>
      <c r="F17" s="105">
        <f>Entrate_Uscite!N37</f>
        <v>0</v>
      </c>
      <c r="G17" s="105">
        <f>Entrate_Uscite!Q37</f>
        <v>0</v>
      </c>
      <c r="H17" s="105">
        <f>Entrate_Uscite!T37</f>
        <v>0</v>
      </c>
      <c r="I17" s="47">
        <f>Entrate_Uscite!W37</f>
        <v>0</v>
      </c>
      <c r="J17" s="47">
        <f t="shared" si="0"/>
        <v>0</v>
      </c>
      <c r="K17" s="48" t="str">
        <f t="shared" si="1"/>
        <v>-</v>
      </c>
      <c r="L17" s="47">
        <f>Entrate_Uscite!X37</f>
        <v>0</v>
      </c>
      <c r="M17" s="49" t="str">
        <f t="shared" si="5"/>
        <v>-</v>
      </c>
    </row>
    <row r="18" spans="1:13" x14ac:dyDescent="0.3">
      <c r="A18" s="50" t="s">
        <v>286</v>
      </c>
      <c r="B18" s="47">
        <f>Entrate_Uscite!B38</f>
        <v>0</v>
      </c>
      <c r="C18" s="47">
        <f>Entrate_Uscite!E38</f>
        <v>0</v>
      </c>
      <c r="D18" s="105">
        <f>Entrate_Uscite!H38</f>
        <v>0</v>
      </c>
      <c r="E18" s="105">
        <f>Entrate_Uscite!K38</f>
        <v>0</v>
      </c>
      <c r="F18" s="105">
        <f>Entrate_Uscite!N38</f>
        <v>0</v>
      </c>
      <c r="G18" s="105">
        <f>Entrate_Uscite!Q38</f>
        <v>0</v>
      </c>
      <c r="H18" s="105">
        <f>Entrate_Uscite!T38</f>
        <v>0</v>
      </c>
      <c r="I18" s="47">
        <f>Entrate_Uscite!W38</f>
        <v>0</v>
      </c>
      <c r="J18" s="47">
        <f t="shared" si="0"/>
        <v>0</v>
      </c>
      <c r="K18" s="48" t="str">
        <f t="shared" si="1"/>
        <v>-</v>
      </c>
      <c r="L18" s="47">
        <f>Entrate_Uscite!X38</f>
        <v>0</v>
      </c>
      <c r="M18" s="49" t="str">
        <f t="shared" ref="M18:M26" si="9">IF(I18&gt;0,L18/I18*100,"-")</f>
        <v>-</v>
      </c>
    </row>
    <row r="19" spans="1:13" x14ac:dyDescent="0.3">
      <c r="A19" s="50" t="s">
        <v>287</v>
      </c>
      <c r="B19" s="47">
        <f>Entrate_Uscite!B39</f>
        <v>0</v>
      </c>
      <c r="C19" s="47">
        <f>Entrate_Uscite!E39</f>
        <v>0</v>
      </c>
      <c r="D19" s="105">
        <f>Entrate_Uscite!H39</f>
        <v>0</v>
      </c>
      <c r="E19" s="105">
        <f>Entrate_Uscite!K39</f>
        <v>0</v>
      </c>
      <c r="F19" s="105">
        <f>Entrate_Uscite!N39</f>
        <v>0</v>
      </c>
      <c r="G19" s="105">
        <f>Entrate_Uscite!Q39</f>
        <v>0</v>
      </c>
      <c r="H19" s="105">
        <f>Entrate_Uscite!T39</f>
        <v>0</v>
      </c>
      <c r="I19" s="47">
        <f>Entrate_Uscite!W39</f>
        <v>0</v>
      </c>
      <c r="J19" s="47">
        <f t="shared" si="0"/>
        <v>0</v>
      </c>
      <c r="K19" s="48" t="str">
        <f t="shared" si="1"/>
        <v>-</v>
      </c>
      <c r="L19" s="47">
        <f>Entrate_Uscite!X39</f>
        <v>0</v>
      </c>
      <c r="M19" s="49" t="str">
        <f t="shared" si="9"/>
        <v>-</v>
      </c>
    </row>
    <row r="20" spans="1:13" x14ac:dyDescent="0.3">
      <c r="A20" s="4" t="s">
        <v>288</v>
      </c>
      <c r="B20" s="37">
        <f t="shared" ref="B20:I20" si="10">SUM(B16:B19)</f>
        <v>0</v>
      </c>
      <c r="C20" s="37">
        <f t="shared" si="10"/>
        <v>0</v>
      </c>
      <c r="D20" s="37">
        <f t="shared" si="10"/>
        <v>0</v>
      </c>
      <c r="E20" s="37">
        <f t="shared" si="10"/>
        <v>0</v>
      </c>
      <c r="F20" s="37">
        <f t="shared" si="10"/>
        <v>0</v>
      </c>
      <c r="G20" s="37">
        <f t="shared" ref="G20:H20" si="11">SUM(G16:G19)</f>
        <v>0</v>
      </c>
      <c r="H20" s="37">
        <f t="shared" si="11"/>
        <v>0</v>
      </c>
      <c r="I20" s="37">
        <f t="shared" si="10"/>
        <v>0</v>
      </c>
      <c r="J20" s="37">
        <f t="shared" si="0"/>
        <v>0</v>
      </c>
      <c r="K20" s="97" t="str">
        <f t="shared" si="1"/>
        <v>-</v>
      </c>
      <c r="L20" s="37">
        <f>SUM(L16:L19)</f>
        <v>0</v>
      </c>
      <c r="M20" s="34" t="str">
        <f t="shared" si="9"/>
        <v>-</v>
      </c>
    </row>
    <row r="21" spans="1:13" x14ac:dyDescent="0.3">
      <c r="A21" s="40" t="s">
        <v>349</v>
      </c>
      <c r="B21" s="41">
        <f t="shared" ref="B21:I21" si="12">B10+B15+B20</f>
        <v>438325407.21000004</v>
      </c>
      <c r="C21" s="41">
        <f t="shared" si="12"/>
        <v>395326247.63999999</v>
      </c>
      <c r="D21" s="41">
        <f t="shared" si="12"/>
        <v>357957498.16999996</v>
      </c>
      <c r="E21" s="41">
        <f t="shared" si="12"/>
        <v>333804865.97000003</v>
      </c>
      <c r="F21" s="41">
        <f t="shared" si="12"/>
        <v>339904036.27999997</v>
      </c>
      <c r="G21" s="41">
        <f t="shared" ref="G21:H21" si="13">G10+G15+G20</f>
        <v>374017634.77999997</v>
      </c>
      <c r="H21" s="41">
        <f t="shared" si="13"/>
        <v>409811282.68000001</v>
      </c>
      <c r="I21" s="41">
        <f t="shared" si="12"/>
        <v>486220342.76999998</v>
      </c>
      <c r="J21" s="41">
        <f>I21/I$31*100</f>
        <v>96.326820710890473</v>
      </c>
      <c r="K21" s="107">
        <f t="shared" si="1"/>
        <v>18.644938126231096</v>
      </c>
      <c r="L21" s="41">
        <f>L10+L15+L20</f>
        <v>381178781.60999995</v>
      </c>
      <c r="M21" s="42">
        <f>IF(I21&gt;0,L21/I21*100,"-")</f>
        <v>78.396304736741854</v>
      </c>
    </row>
    <row r="22" spans="1:13" x14ac:dyDescent="0.3">
      <c r="A22" s="50" t="s">
        <v>289</v>
      </c>
      <c r="B22" s="51">
        <f>Entrate_Uscite!B40</f>
        <v>1761605.04</v>
      </c>
      <c r="C22" s="51">
        <f>Entrate_Uscite!E40</f>
        <v>1761605.04</v>
      </c>
      <c r="D22" s="51">
        <f>Entrate_Uscite!H40</f>
        <v>1761605.04</v>
      </c>
      <c r="E22" s="51">
        <f>Entrate_Uscite!K40</f>
        <v>1761605</v>
      </c>
      <c r="F22" s="51">
        <f>Entrate_Uscite!N40</f>
        <v>1761605.04</v>
      </c>
      <c r="G22" s="51">
        <f>Entrate_Uscite!Q40</f>
        <v>1761605</v>
      </c>
      <c r="H22" s="51">
        <f>Entrate_Uscite!T40</f>
        <v>408450</v>
      </c>
      <c r="I22" s="51">
        <f>Entrate_Uscite!W40</f>
        <v>408450</v>
      </c>
      <c r="J22" s="51">
        <f t="shared" si="0"/>
        <v>8.0919464815512029E-2</v>
      </c>
      <c r="K22" s="52">
        <f t="shared" si="1"/>
        <v>0</v>
      </c>
      <c r="L22" s="51">
        <f>Entrate_Uscite!X40</f>
        <v>408450</v>
      </c>
      <c r="M22" s="49">
        <f t="shared" si="9"/>
        <v>100</v>
      </c>
    </row>
    <row r="23" spans="1:13" x14ac:dyDescent="0.3">
      <c r="A23" s="50" t="s">
        <v>290</v>
      </c>
      <c r="B23" s="51">
        <f>Entrate_Uscite!B41</f>
        <v>0</v>
      </c>
      <c r="C23" s="51">
        <f>Entrate_Uscite!E41</f>
        <v>0</v>
      </c>
      <c r="D23" s="51">
        <f>Entrate_Uscite!H41</f>
        <v>0</v>
      </c>
      <c r="E23" s="51">
        <f>Entrate_Uscite!K41</f>
        <v>0</v>
      </c>
      <c r="F23" s="51">
        <f>Entrate_Uscite!N41</f>
        <v>0</v>
      </c>
      <c r="G23" s="51">
        <f>Entrate_Uscite!Q41</f>
        <v>0</v>
      </c>
      <c r="H23" s="51">
        <f>Entrate_Uscite!T41</f>
        <v>0</v>
      </c>
      <c r="I23" s="51">
        <f>Entrate_Uscite!W41</f>
        <v>0</v>
      </c>
      <c r="J23" s="51">
        <f t="shared" si="0"/>
        <v>0</v>
      </c>
      <c r="K23" s="52" t="str">
        <f t="shared" si="1"/>
        <v>-</v>
      </c>
      <c r="L23" s="51">
        <f>Entrate_Uscite!X41</f>
        <v>0</v>
      </c>
      <c r="M23" s="49" t="str">
        <f t="shared" si="9"/>
        <v>-</v>
      </c>
    </row>
    <row r="24" spans="1:13" x14ac:dyDescent="0.3">
      <c r="A24" s="50" t="s">
        <v>291</v>
      </c>
      <c r="B24" s="51">
        <f>Entrate_Uscite!B42</f>
        <v>12504884.460000001</v>
      </c>
      <c r="C24" s="51">
        <f>Entrate_Uscite!E42</f>
        <v>15293916.66</v>
      </c>
      <c r="D24" s="51">
        <f>Entrate_Uscite!H42</f>
        <v>17313694.260000002</v>
      </c>
      <c r="E24" s="51">
        <f>Entrate_Uscite!K42</f>
        <v>15292874.300000001</v>
      </c>
      <c r="F24" s="51">
        <f>Entrate_Uscite!N42</f>
        <v>12904227.99</v>
      </c>
      <c r="G24" s="51">
        <f>Entrate_Uscite!Q42</f>
        <v>17208995.399999999</v>
      </c>
      <c r="H24" s="51">
        <f>Entrate_Uscite!T42</f>
        <v>20709707.32</v>
      </c>
      <c r="I24" s="51">
        <f>Entrate_Uscite!W42</f>
        <v>18132331.059999999</v>
      </c>
      <c r="J24" s="51">
        <f t="shared" si="0"/>
        <v>3.5922598242940036</v>
      </c>
      <c r="K24" s="52">
        <f t="shared" si="1"/>
        <v>-12.445256807231402</v>
      </c>
      <c r="L24" s="51">
        <f>Entrate_Uscite!X42</f>
        <v>18132331.059999999</v>
      </c>
      <c r="M24" s="49">
        <f t="shared" si="9"/>
        <v>100</v>
      </c>
    </row>
    <row r="25" spans="1:13" x14ac:dyDescent="0.3">
      <c r="A25" s="50" t="s">
        <v>292</v>
      </c>
      <c r="B25" s="51">
        <f>Entrate_Uscite!B43</f>
        <v>0</v>
      </c>
      <c r="C25" s="51">
        <f>Entrate_Uscite!E43</f>
        <v>0</v>
      </c>
      <c r="D25" s="51">
        <f>Entrate_Uscite!H43</f>
        <v>0</v>
      </c>
      <c r="E25" s="51">
        <f>Entrate_Uscite!K43</f>
        <v>0</v>
      </c>
      <c r="F25" s="51">
        <f>Entrate_Uscite!N43</f>
        <v>0</v>
      </c>
      <c r="G25" s="51">
        <f>Entrate_Uscite!Q43</f>
        <v>0</v>
      </c>
      <c r="H25" s="51">
        <f>Entrate_Uscite!T43</f>
        <v>0</v>
      </c>
      <c r="I25" s="51">
        <f>Entrate_Uscite!W43</f>
        <v>0</v>
      </c>
      <c r="J25" s="51">
        <f t="shared" si="0"/>
        <v>0</v>
      </c>
      <c r="K25" s="52" t="str">
        <f t="shared" si="1"/>
        <v>-</v>
      </c>
      <c r="L25" s="51">
        <f>Entrate_Uscite!X43</f>
        <v>0</v>
      </c>
      <c r="M25" s="49" t="str">
        <f t="shared" si="9"/>
        <v>-</v>
      </c>
    </row>
    <row r="26" spans="1:13" x14ac:dyDescent="0.3">
      <c r="A26" s="50" t="s">
        <v>293</v>
      </c>
      <c r="B26" s="51">
        <f>Entrate_Uscite!B44</f>
        <v>0</v>
      </c>
      <c r="C26" s="51">
        <f>Entrate_Uscite!E44</f>
        <v>0</v>
      </c>
      <c r="D26" s="51">
        <f>Entrate_Uscite!H44</f>
        <v>0</v>
      </c>
      <c r="E26" s="51">
        <f>Entrate_Uscite!K44</f>
        <v>0</v>
      </c>
      <c r="F26" s="51">
        <f>Entrate_Uscite!N44</f>
        <v>0</v>
      </c>
      <c r="G26" s="51">
        <f>Entrate_Uscite!Q44</f>
        <v>0</v>
      </c>
      <c r="H26" s="51">
        <f>Entrate_Uscite!T44</f>
        <v>0</v>
      </c>
      <c r="I26" s="51">
        <f>Entrate_Uscite!W44</f>
        <v>0</v>
      </c>
      <c r="J26" s="51">
        <f t="shared" si="0"/>
        <v>0</v>
      </c>
      <c r="K26" s="52" t="str">
        <f t="shared" si="1"/>
        <v>-</v>
      </c>
      <c r="L26" s="51">
        <f>Entrate_Uscite!X44</f>
        <v>0</v>
      </c>
      <c r="M26" s="49" t="str">
        <f t="shared" si="9"/>
        <v>-</v>
      </c>
    </row>
    <row r="27" spans="1:13" x14ac:dyDescent="0.3">
      <c r="A27" s="4" t="s">
        <v>294</v>
      </c>
      <c r="B27" s="37">
        <f t="shared" ref="B27:I27" si="14">SUM(B22:B26)</f>
        <v>14266489.5</v>
      </c>
      <c r="C27" s="37">
        <f t="shared" si="14"/>
        <v>17055521.699999999</v>
      </c>
      <c r="D27" s="37">
        <f t="shared" si="14"/>
        <v>19075299.300000001</v>
      </c>
      <c r="E27" s="37">
        <f t="shared" si="14"/>
        <v>17054479.300000001</v>
      </c>
      <c r="F27" s="37">
        <f t="shared" si="14"/>
        <v>14665833.030000001</v>
      </c>
      <c r="G27" s="37">
        <f t="shared" ref="G27" si="15">SUM(G22:G26)</f>
        <v>18970600.399999999</v>
      </c>
      <c r="H27" s="37">
        <f t="shared" ref="H27" si="16">SUM(H22:H26)</f>
        <v>21118157.32</v>
      </c>
      <c r="I27" s="37">
        <f t="shared" si="14"/>
        <v>18540781.059999999</v>
      </c>
      <c r="J27" s="37">
        <f t="shared" si="0"/>
        <v>3.6731792891095156</v>
      </c>
      <c r="K27" s="97">
        <f t="shared" si="1"/>
        <v>-12.204550903497108</v>
      </c>
      <c r="L27" s="37">
        <f>SUM(L22:L26)</f>
        <v>18540781.059999999</v>
      </c>
      <c r="M27" s="38">
        <f>IF(I27&gt;0,L27/I27*100,"-")</f>
        <v>100</v>
      </c>
    </row>
    <row r="28" spans="1:13" x14ac:dyDescent="0.3">
      <c r="A28" s="4" t="s">
        <v>295</v>
      </c>
      <c r="B28" s="37">
        <f>Entrate_Uscite!B52</f>
        <v>400691924.07999998</v>
      </c>
      <c r="C28" s="37">
        <f>Entrate_Uscite!E52</f>
        <v>473507436</v>
      </c>
      <c r="D28" s="37">
        <f>Entrate_Uscite!H52</f>
        <v>351152641.89999998</v>
      </c>
      <c r="E28" s="37">
        <f>Entrate_Uscite!K52</f>
        <v>324941805.68000001</v>
      </c>
      <c r="F28" s="37">
        <f>Entrate_Uscite!N52</f>
        <v>414310883.48000002</v>
      </c>
      <c r="G28" s="37">
        <f>Entrate_Uscite!Q52</f>
        <v>319042651.10000002</v>
      </c>
      <c r="H28" s="37">
        <f>Entrate_Uscite!T52</f>
        <v>203517535.65000001</v>
      </c>
      <c r="I28" s="37">
        <f>Entrate_Uscite!W52</f>
        <v>0</v>
      </c>
      <c r="J28" s="37">
        <f t="shared" si="0"/>
        <v>0</v>
      </c>
      <c r="K28" s="97">
        <f t="shared" si="1"/>
        <v>-100</v>
      </c>
      <c r="L28" s="37">
        <f>Entrate_Uscite!X52</f>
        <v>0</v>
      </c>
      <c r="M28" s="38" t="str">
        <f>IF(I28&gt;0,L28/I28*100,"-")</f>
        <v>-</v>
      </c>
    </row>
    <row r="29" spans="1:13" x14ac:dyDescent="0.3">
      <c r="A29" s="4" t="s">
        <v>296</v>
      </c>
      <c r="B29" s="37">
        <f>Entrate_Uscite!B53</f>
        <v>465083835.61000001</v>
      </c>
      <c r="C29" s="37">
        <f>Entrate_Uscite!E53</f>
        <v>455022517.82999998</v>
      </c>
      <c r="D29" s="37">
        <f>Entrate_Uscite!H53</f>
        <v>339031229.32000005</v>
      </c>
      <c r="E29" s="37">
        <f>Entrate_Uscite!K53</f>
        <v>316328850.13</v>
      </c>
      <c r="F29" s="37">
        <f>Entrate_Uscite!N53</f>
        <v>200563239.23000002</v>
      </c>
      <c r="G29" s="37">
        <f>Entrate_Uscite!Q53</f>
        <v>745311692.70000005</v>
      </c>
      <c r="H29" s="37">
        <f>Entrate_Uscite!T53</f>
        <v>503159103.79000002</v>
      </c>
      <c r="I29" s="37">
        <f>Entrate_Uscite!W53</f>
        <v>805000283.12</v>
      </c>
      <c r="J29" s="37"/>
      <c r="K29" s="97">
        <f t="shared" si="1"/>
        <v>59.989211574710453</v>
      </c>
      <c r="L29" s="37">
        <f>Entrate_Uscite!X53</f>
        <v>780068241.02999997</v>
      </c>
      <c r="M29" s="38">
        <f>IF(I29&gt;0,L29/I29*100,"-")</f>
        <v>96.902853003558079</v>
      </c>
    </row>
    <row r="30" spans="1:13" x14ac:dyDescent="0.3">
      <c r="A30" s="40" t="s">
        <v>69</v>
      </c>
      <c r="B30" s="41">
        <f t="shared" ref="B30:I30" si="17">B10+B15+B20+B27+B28+B29</f>
        <v>1318367656.4000001</v>
      </c>
      <c r="C30" s="41">
        <f t="shared" si="17"/>
        <v>1340911723.1699998</v>
      </c>
      <c r="D30" s="41">
        <f t="shared" si="17"/>
        <v>1067216668.6899999</v>
      </c>
      <c r="E30" s="41">
        <f t="shared" si="17"/>
        <v>992130001.08000004</v>
      </c>
      <c r="F30" s="41">
        <f t="shared" si="17"/>
        <v>969443992.01999998</v>
      </c>
      <c r="G30" s="41">
        <f t="shared" ref="G30:H30" si="18">G10+G15+G20+G27+G28+G29</f>
        <v>1457342578.98</v>
      </c>
      <c r="H30" s="41">
        <f t="shared" si="18"/>
        <v>1137606079.4400001</v>
      </c>
      <c r="I30" s="41">
        <f t="shared" si="17"/>
        <v>1309761406.95</v>
      </c>
      <c r="J30" s="41"/>
      <c r="K30" s="107">
        <f t="shared" si="1"/>
        <v>15.133123022228006</v>
      </c>
      <c r="L30" s="41">
        <f>L10+L15+L20+L27+L28+L29</f>
        <v>1179787803.6999998</v>
      </c>
      <c r="M30" s="42">
        <f>IF(I30&gt;0,L30/I30*100,"-")</f>
        <v>90.076543516985609</v>
      </c>
    </row>
    <row r="31" spans="1:13" x14ac:dyDescent="0.3">
      <c r="A31" s="32" t="s">
        <v>70</v>
      </c>
      <c r="B31" s="43">
        <f t="shared" ref="B31:I31" si="19">B30-B29</f>
        <v>853283820.79000008</v>
      </c>
      <c r="C31" s="43">
        <f t="shared" si="19"/>
        <v>885889205.33999991</v>
      </c>
      <c r="D31" s="43">
        <f t="shared" si="19"/>
        <v>728185439.36999989</v>
      </c>
      <c r="E31" s="43">
        <f t="shared" si="19"/>
        <v>675801150.95000005</v>
      </c>
      <c r="F31" s="43">
        <f t="shared" si="19"/>
        <v>768880752.78999996</v>
      </c>
      <c r="G31" s="43">
        <f t="shared" ref="G31:H31" si="20">G30-G29</f>
        <v>712030886.27999997</v>
      </c>
      <c r="H31" s="43">
        <f t="shared" si="20"/>
        <v>634446975.6500001</v>
      </c>
      <c r="I31" s="43">
        <f t="shared" si="19"/>
        <v>504761123.83000004</v>
      </c>
      <c r="J31" s="43">
        <f t="shared" si="0"/>
        <v>100</v>
      </c>
      <c r="K31" s="44">
        <f t="shared" si="1"/>
        <v>-20.440770749539013</v>
      </c>
      <c r="L31" s="43">
        <f>L30-L29</f>
        <v>399719562.66999984</v>
      </c>
      <c r="M31" s="45">
        <f>IF(I31&gt;0,L31/I31*100,"-")</f>
        <v>79.189847196834151</v>
      </c>
    </row>
    <row r="32" spans="1:13" x14ac:dyDescent="0.3">
      <c r="L32" s="6"/>
    </row>
    <row r="33" spans="12:12" x14ac:dyDescent="0.3">
      <c r="L33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workbookViewId="0">
      <selection activeCell="K2" sqref="K2"/>
    </sheetView>
  </sheetViews>
  <sheetFormatPr defaultRowHeight="14.4" x14ac:dyDescent="0.3"/>
  <cols>
    <col min="1" max="1" width="50.6640625" bestFit="1" customWidth="1"/>
    <col min="2" max="3" width="10.5546875" bestFit="1" customWidth="1"/>
    <col min="4" max="4" width="11.5546875" bestFit="1" customWidth="1"/>
    <col min="5" max="8" width="11.5546875" style="93" bestFit="1" customWidth="1"/>
    <col min="9" max="9" width="11.5546875" bestFit="1" customWidth="1"/>
    <col min="10" max="11" width="12.21875" bestFit="1" customWidth="1"/>
  </cols>
  <sheetData>
    <row r="1" spans="1:11" x14ac:dyDescent="0.3">
      <c r="A1" s="35"/>
      <c r="B1" s="108">
        <v>2016</v>
      </c>
      <c r="C1" s="108">
        <v>2017</v>
      </c>
      <c r="D1" s="108">
        <v>2018</v>
      </c>
      <c r="E1" s="108">
        <v>2019</v>
      </c>
      <c r="F1" s="108">
        <v>2020</v>
      </c>
      <c r="G1" s="108">
        <v>2021</v>
      </c>
      <c r="H1" s="108">
        <v>2022</v>
      </c>
      <c r="I1" s="108">
        <v>2023</v>
      </c>
      <c r="J1" s="108" t="s">
        <v>266</v>
      </c>
      <c r="K1" s="108" t="s">
        <v>340</v>
      </c>
    </row>
    <row r="2" spans="1:11" x14ac:dyDescent="0.3">
      <c r="A2" s="53" t="s">
        <v>298</v>
      </c>
      <c r="B2" s="55">
        <f>Entrate_Uscite!B56</f>
        <v>36895234.719999969</v>
      </c>
      <c r="C2" s="55">
        <f>Entrate_Uscite!E56</f>
        <v>13595644.430000007</v>
      </c>
      <c r="D2" s="55">
        <f>Entrate_Uscite!H56</f>
        <v>108976090.14000005</v>
      </c>
      <c r="E2" s="55">
        <f>Entrate_Uscite!K56</f>
        <v>93271165.209999979</v>
      </c>
      <c r="F2" s="55">
        <f>Entrate_Uscite!N56</f>
        <v>130685994.81000006</v>
      </c>
      <c r="G2" s="55">
        <f>Entrate_Uscite!Q56</f>
        <v>162897563.71999997</v>
      </c>
      <c r="H2" s="55">
        <f>Entrate_Uscite!T56</f>
        <v>127125889.89999998</v>
      </c>
      <c r="I2" s="55">
        <f>Entrate_Uscite!W56</f>
        <v>125550673.7700001</v>
      </c>
      <c r="J2" s="55">
        <f>I2-H2</f>
        <v>-1575216.129999876</v>
      </c>
      <c r="K2" s="55">
        <f>Entrate_Uscite!X56</f>
        <v>-63895384.119999975</v>
      </c>
    </row>
    <row r="3" spans="1:11" x14ac:dyDescent="0.3">
      <c r="A3" s="53" t="s">
        <v>72</v>
      </c>
      <c r="B3" s="56">
        <f>Entrate_Uscite!B57</f>
        <v>36284624.640000001</v>
      </c>
      <c r="C3" s="56">
        <f>Entrate_Uscite!E57</f>
        <v>7174857.7800000049</v>
      </c>
      <c r="D3" s="56">
        <f>Entrate_Uscite!H57</f>
        <v>5468248.7199999988</v>
      </c>
      <c r="E3" s="56">
        <f>Entrate_Uscite!K57</f>
        <v>9638572.9600000009</v>
      </c>
      <c r="F3" s="56">
        <f>Entrate_Uscite!N57</f>
        <v>79738549.320000008</v>
      </c>
      <c r="G3" s="56">
        <f>Entrate_Uscite!Q57</f>
        <v>42470344.599999994</v>
      </c>
      <c r="H3" s="56">
        <f>Entrate_Uscite!T57</f>
        <v>98157297.849999994</v>
      </c>
      <c r="I3" s="56">
        <f>Entrate_Uscite!W57</f>
        <v>-68340770.369999975</v>
      </c>
      <c r="J3" s="55">
        <f t="shared" ref="J3:J6" si="0">I3-H3</f>
        <v>-166498068.21999997</v>
      </c>
      <c r="K3" s="55">
        <f>Entrate_Uscite!X57</f>
        <v>-71137215.530000001</v>
      </c>
    </row>
    <row r="4" spans="1:11" x14ac:dyDescent="0.3">
      <c r="A4" s="53" t="s">
        <v>301</v>
      </c>
      <c r="B4" s="56">
        <f>Entrate_Uscite!B16-Entrate_Uscite!B50</f>
        <v>0</v>
      </c>
      <c r="C4" s="56">
        <f>Entrate_Uscite!E16-Entrate_Uscite!E50</f>
        <v>0</v>
      </c>
      <c r="D4" s="56">
        <f>Entrate_Uscite!H16-Entrate_Uscite!H50</f>
        <v>0</v>
      </c>
      <c r="E4" s="56">
        <f>Entrate_Uscite!K16-Entrate_Uscite!K50</f>
        <v>0</v>
      </c>
      <c r="F4" s="56">
        <f>Entrate_Uscite!N16-Entrate_Uscite!N50</f>
        <v>0</v>
      </c>
      <c r="G4" s="56">
        <f>Entrate_Uscite!Q16-Entrate_Uscite!Q50</f>
        <v>0</v>
      </c>
      <c r="H4" s="56">
        <f>Entrate_Uscite!T16-Entrate_Uscite!T50</f>
        <v>0</v>
      </c>
      <c r="I4" s="56">
        <f>Entrate_Uscite!W16-Entrate_Uscite!W50</f>
        <v>0</v>
      </c>
      <c r="J4" s="55">
        <f t="shared" si="0"/>
        <v>0</v>
      </c>
      <c r="K4" s="56">
        <f>Entrate_Uscite!X16-Entrate_Uscite!X50</f>
        <v>0</v>
      </c>
    </row>
    <row r="5" spans="1:11" x14ac:dyDescent="0.3">
      <c r="A5" s="106" t="s">
        <v>299</v>
      </c>
      <c r="B5" s="57">
        <f>Entrate_Uscite!B58</f>
        <v>73179859.360000014</v>
      </c>
      <c r="C5" s="57">
        <f>Entrate_Uscite!E58</f>
        <v>20770502.210000038</v>
      </c>
      <c r="D5" s="57">
        <f>Entrate_Uscite!H58</f>
        <v>114444338.86000007</v>
      </c>
      <c r="E5" s="57">
        <f>Entrate_Uscite!K58</f>
        <v>102909738.16999996</v>
      </c>
      <c r="F5" s="57">
        <f>Entrate_Uscite!N58</f>
        <v>210424544.13</v>
      </c>
      <c r="G5" s="57">
        <f>Entrate_Uscite!Q58</f>
        <v>205367908.31999993</v>
      </c>
      <c r="H5" s="57">
        <f>Entrate_Uscite!T58</f>
        <v>225283187.74999994</v>
      </c>
      <c r="I5" s="57">
        <f>Entrate_Uscite!W58</f>
        <v>57209903.400000095</v>
      </c>
      <c r="J5" s="57">
        <f t="shared" si="0"/>
        <v>-168073284.34999985</v>
      </c>
      <c r="K5" s="57">
        <f>Entrate_Uscite!X58</f>
        <v>-135032599.64999998</v>
      </c>
    </row>
    <row r="6" spans="1:11" x14ac:dyDescent="0.3">
      <c r="A6" s="32" t="s">
        <v>300</v>
      </c>
      <c r="B6" s="58">
        <f>Entrate_Uscite!B59</f>
        <v>58913369.860000134</v>
      </c>
      <c r="C6" s="58">
        <f>Entrate_Uscite!E59</f>
        <v>3714980.3900001049</v>
      </c>
      <c r="D6" s="58">
        <f>Entrate_Uscite!H59</f>
        <v>95369039.560000181</v>
      </c>
      <c r="E6" s="58">
        <f>Entrate_Uscite!K59</f>
        <v>85855258.870000005</v>
      </c>
      <c r="F6" s="58">
        <f>Entrate_Uscite!N59</f>
        <v>206710502.88999987</v>
      </c>
      <c r="G6" s="58">
        <f>Entrate_Uscite!Q59</f>
        <v>186397307.92000008</v>
      </c>
      <c r="H6" s="58">
        <f>Entrate_Uscite!T59</f>
        <v>204165030.42999983</v>
      </c>
      <c r="I6" s="58">
        <f>Entrate_Uscite!W59</f>
        <v>38669122.339999914</v>
      </c>
      <c r="J6" s="58">
        <f t="shared" si="0"/>
        <v>-165495908.08999991</v>
      </c>
      <c r="K6" s="58">
        <f>Entrate_Uscite!X59</f>
        <v>-153573380.7099998</v>
      </c>
    </row>
    <row r="7" spans="1:11" x14ac:dyDescent="0.3">
      <c r="J7" s="6"/>
    </row>
    <row r="8" spans="1:11" x14ac:dyDescent="0.3">
      <c r="J8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workbookViewId="0">
      <selection activeCell="I19" sqref="I19:I20"/>
    </sheetView>
  </sheetViews>
  <sheetFormatPr defaultRowHeight="14.4" x14ac:dyDescent="0.3"/>
  <cols>
    <col min="1" max="1" width="36.44140625" bestFit="1" customWidth="1"/>
    <col min="2" max="5" width="11.77734375" bestFit="1" customWidth="1"/>
    <col min="6" max="6" width="11.77734375" style="93" bestFit="1" customWidth="1"/>
    <col min="7" max="9" width="12.6640625" style="93" bestFit="1" customWidth="1"/>
    <col min="12" max="12" width="10" bestFit="1" customWidth="1"/>
  </cols>
  <sheetData>
    <row r="1" spans="1:9" x14ac:dyDescent="0.3">
      <c r="A1" s="35"/>
      <c r="B1" s="85">
        <v>2016</v>
      </c>
      <c r="C1" s="85">
        <v>2017</v>
      </c>
      <c r="D1" s="85">
        <v>2018</v>
      </c>
      <c r="E1" s="85">
        <v>2019</v>
      </c>
      <c r="F1" s="85">
        <v>2020</v>
      </c>
      <c r="G1" s="85">
        <v>2021</v>
      </c>
      <c r="H1" s="85">
        <v>2022</v>
      </c>
      <c r="I1" s="85">
        <v>2023</v>
      </c>
    </row>
    <row r="2" spans="1:9" x14ac:dyDescent="0.3">
      <c r="A2" t="s">
        <v>5</v>
      </c>
      <c r="B2" s="1">
        <v>884671.05</v>
      </c>
      <c r="C2" s="1">
        <v>884671.05</v>
      </c>
      <c r="D2" s="1">
        <v>884671.05</v>
      </c>
      <c r="E2" s="1">
        <v>29661485.199999999</v>
      </c>
      <c r="F2" s="1">
        <v>884671.05</v>
      </c>
      <c r="G2" s="1">
        <v>884671.05</v>
      </c>
      <c r="H2" s="1">
        <v>43995931.140000001</v>
      </c>
      <c r="I2" s="1">
        <v>6296705.6399999997</v>
      </c>
    </row>
    <row r="3" spans="1:9" x14ac:dyDescent="0.3">
      <c r="A3" t="s">
        <v>6</v>
      </c>
      <c r="B3" s="1">
        <v>660312721.91999996</v>
      </c>
      <c r="C3" s="1">
        <v>559228156.75</v>
      </c>
      <c r="D3" s="1">
        <v>578372594.63999999</v>
      </c>
      <c r="E3" s="1">
        <v>180924870.30000001</v>
      </c>
      <c r="F3" s="1">
        <v>394668748.29000002</v>
      </c>
      <c r="G3" s="1">
        <v>1220437125.2</v>
      </c>
      <c r="H3" s="1">
        <v>1260463910.3299999</v>
      </c>
      <c r="I3" s="1">
        <v>1250686129.9000001</v>
      </c>
    </row>
    <row r="4" spans="1:9" x14ac:dyDescent="0.3">
      <c r="A4" t="s">
        <v>7</v>
      </c>
      <c r="B4" s="1">
        <v>635444682.19000006</v>
      </c>
      <c r="C4" s="1">
        <v>560425223.51999998</v>
      </c>
      <c r="D4" s="1">
        <v>510311664.35000002</v>
      </c>
      <c r="E4" s="1">
        <v>265026525.30000001</v>
      </c>
      <c r="F4" s="1">
        <v>244956550.15000001</v>
      </c>
      <c r="G4" s="1">
        <v>882385906.79999995</v>
      </c>
      <c r="H4" s="1">
        <v>757055135.80999994</v>
      </c>
      <c r="I4" s="1">
        <v>748000539.47000003</v>
      </c>
    </row>
    <row r="5" spans="1:9" x14ac:dyDescent="0.3">
      <c r="A5" t="s">
        <v>8</v>
      </c>
      <c r="B5" s="1">
        <v>8475209.8399999999</v>
      </c>
      <c r="C5" s="1">
        <v>317580</v>
      </c>
      <c r="D5" s="1">
        <v>2946664.56</v>
      </c>
      <c r="E5" s="1">
        <v>10581014.51</v>
      </c>
      <c r="F5" s="1">
        <v>27283509.379999999</v>
      </c>
      <c r="G5" s="1">
        <v>52417258.299999997</v>
      </c>
      <c r="H5" s="1">
        <v>53389256.390000001</v>
      </c>
      <c r="I5" s="1">
        <v>53240887.719999999</v>
      </c>
    </row>
    <row r="6" spans="1:9" x14ac:dyDescent="0.3">
      <c r="A6" t="s">
        <v>9</v>
      </c>
      <c r="B6" s="1">
        <v>515910.5</v>
      </c>
      <c r="C6" s="1">
        <v>3187745.71</v>
      </c>
      <c r="D6" s="1">
        <v>1013404.65</v>
      </c>
      <c r="E6" s="1">
        <v>9275624.5999999996</v>
      </c>
      <c r="F6" s="1">
        <v>88339667.390000001</v>
      </c>
      <c r="G6" s="1">
        <v>133018285.59999999</v>
      </c>
      <c r="H6" s="1">
        <v>218220719.78999999</v>
      </c>
      <c r="I6" s="1">
        <v>108154070.53</v>
      </c>
    </row>
    <row r="7" spans="1:9" x14ac:dyDescent="0.3">
      <c r="A7" s="4" t="s">
        <v>0</v>
      </c>
      <c r="B7" s="3">
        <f t="shared" ref="B7:E7" si="0">B2+B3-B4-B5-B6</f>
        <v>16761590.439999852</v>
      </c>
      <c r="C7" s="3">
        <f t="shared" si="0"/>
        <v>-3817721.4300000286</v>
      </c>
      <c r="D7" s="3">
        <f t="shared" si="0"/>
        <v>64985532.129999913</v>
      </c>
      <c r="E7" s="3">
        <f t="shared" si="0"/>
        <v>-74296808.910000011</v>
      </c>
      <c r="F7" s="3">
        <f t="shared" ref="F7:I7" si="1">F2+F3-F4-F5-F6</f>
        <v>34973692.420000032</v>
      </c>
      <c r="G7" s="3">
        <f t="shared" ref="G7:H7" si="2">G2+G3-G4-G5-G6</f>
        <v>153500345.55000004</v>
      </c>
      <c r="H7" s="3">
        <f t="shared" si="2"/>
        <v>275794729.48000014</v>
      </c>
      <c r="I7" s="3">
        <f t="shared" si="1"/>
        <v>347587337.82000017</v>
      </c>
    </row>
    <row r="8" spans="1:9" x14ac:dyDescent="0.3">
      <c r="A8" t="s">
        <v>10</v>
      </c>
      <c r="B8" s="1">
        <v>233581728.33000001</v>
      </c>
      <c r="C8" s="1">
        <v>268959228.32999998</v>
      </c>
      <c r="D8" s="1">
        <v>395830424.82999998</v>
      </c>
      <c r="E8" s="1">
        <v>54445738.200000003</v>
      </c>
      <c r="F8" s="1">
        <v>104076532.09999999</v>
      </c>
      <c r="G8" s="1">
        <v>163567588</v>
      </c>
      <c r="H8" s="1">
        <v>220147764.78</v>
      </c>
      <c r="I8" s="1">
        <v>274968036.04000002</v>
      </c>
    </row>
    <row r="9" spans="1:9" x14ac:dyDescent="0.3">
      <c r="A9" t="s">
        <v>11</v>
      </c>
      <c r="B9" s="1">
        <v>0</v>
      </c>
      <c r="C9" s="1">
        <v>0</v>
      </c>
      <c r="D9" s="1">
        <v>187292476.63</v>
      </c>
      <c r="E9" s="1">
        <v>0</v>
      </c>
      <c r="F9" s="1">
        <v>10951791.789999999</v>
      </c>
      <c r="G9" s="1">
        <v>10951791.699999999</v>
      </c>
      <c r="H9" s="1">
        <v>10282296.25</v>
      </c>
      <c r="I9" s="1">
        <v>9604592.6999999993</v>
      </c>
    </row>
    <row r="10" spans="1:9" x14ac:dyDescent="0.3">
      <c r="A10" t="s">
        <v>12</v>
      </c>
      <c r="B10" s="1">
        <v>0</v>
      </c>
      <c r="C10" s="1">
        <v>5500000</v>
      </c>
      <c r="D10" s="1">
        <v>6500000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t="s">
        <v>13</v>
      </c>
      <c r="B11" s="1">
        <v>35000000</v>
      </c>
      <c r="C11" s="1">
        <v>245046462.59</v>
      </c>
      <c r="D11" s="1">
        <v>145853944.38</v>
      </c>
      <c r="E11" s="1">
        <v>943749.3</v>
      </c>
      <c r="F11" s="1">
        <v>2500000</v>
      </c>
      <c r="G11" s="1">
        <v>14760977.199999999</v>
      </c>
      <c r="H11" s="1">
        <v>34710813.670000002</v>
      </c>
      <c r="I11" s="1">
        <v>5574114.3300000001</v>
      </c>
    </row>
    <row r="12" spans="1:9" x14ac:dyDescent="0.3">
      <c r="A12" t="s">
        <v>14</v>
      </c>
      <c r="B12" s="1">
        <v>236103363.50999999</v>
      </c>
      <c r="C12" s="1">
        <v>37660819.659999996</v>
      </c>
      <c r="D12" s="1">
        <v>172915000.03</v>
      </c>
      <c r="E12" s="1">
        <v>2631152</v>
      </c>
      <c r="F12" s="1">
        <v>3275235.83</v>
      </c>
      <c r="G12" s="1">
        <v>13890058.5</v>
      </c>
      <c r="H12" s="1">
        <v>4557477.55</v>
      </c>
      <c r="I12" s="1">
        <v>25274287.899999999</v>
      </c>
    </row>
    <row r="13" spans="1:9" x14ac:dyDescent="0.3">
      <c r="A13" s="4" t="s">
        <v>1</v>
      </c>
      <c r="B13" s="3">
        <f t="shared" ref="B13:E13" si="3">SUM(B8:B12)</f>
        <v>504685091.84000003</v>
      </c>
      <c r="C13" s="3">
        <f t="shared" si="3"/>
        <v>557166510.57999992</v>
      </c>
      <c r="D13" s="3">
        <f t="shared" si="3"/>
        <v>908391845.87</v>
      </c>
      <c r="E13" s="3">
        <f t="shared" si="3"/>
        <v>58020639.5</v>
      </c>
      <c r="F13" s="3">
        <f t="shared" ref="F13:I13" si="4">SUM(F8:F12)</f>
        <v>120803559.71999998</v>
      </c>
      <c r="G13" s="3">
        <f t="shared" ref="G13:H13" si="5">SUM(G8:G12)</f>
        <v>203170415.39999998</v>
      </c>
      <c r="H13" s="3">
        <f t="shared" si="5"/>
        <v>269698352.25</v>
      </c>
      <c r="I13" s="3">
        <f t="shared" si="4"/>
        <v>315421030.96999997</v>
      </c>
    </row>
    <row r="14" spans="1:9" x14ac:dyDescent="0.3">
      <c r="A14" t="s">
        <v>16</v>
      </c>
      <c r="B14" s="1">
        <v>13233010.960000001</v>
      </c>
      <c r="C14" s="1">
        <v>18786943.32</v>
      </c>
      <c r="D14" s="1">
        <v>37970749.909999996</v>
      </c>
      <c r="E14" s="1">
        <v>1983826.4</v>
      </c>
      <c r="F14" s="1">
        <v>8465249.7899999991</v>
      </c>
      <c r="G14" s="1">
        <v>2844371.5</v>
      </c>
      <c r="H14" s="1">
        <v>4933427.3899999997</v>
      </c>
      <c r="I14" s="1">
        <v>5665793.9100000001</v>
      </c>
    </row>
    <row r="15" spans="1:9" x14ac:dyDescent="0.3">
      <c r="A15" t="s">
        <v>15</v>
      </c>
      <c r="B15" s="1">
        <v>10749671.16</v>
      </c>
      <c r="C15" s="1">
        <v>47615973.07</v>
      </c>
      <c r="D15" s="1">
        <v>39988291.119999997</v>
      </c>
      <c r="E15" s="1">
        <v>3804065.9</v>
      </c>
      <c r="F15" s="1">
        <v>19884588.59</v>
      </c>
      <c r="G15" s="1">
        <v>29906375.600000001</v>
      </c>
      <c r="H15" s="1">
        <v>35206880.799999997</v>
      </c>
      <c r="I15" s="1">
        <v>26328987.670000002</v>
      </c>
    </row>
    <row r="16" spans="1:9" x14ac:dyDescent="0.3">
      <c r="A16" t="s">
        <v>17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x14ac:dyDescent="0.3">
      <c r="A17" t="s">
        <v>18</v>
      </c>
      <c r="B17" s="1">
        <v>26177.61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</row>
    <row r="18" spans="1:9" x14ac:dyDescent="0.3">
      <c r="A18" t="s">
        <v>19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x14ac:dyDescent="0.3">
      <c r="A19" s="4" t="s">
        <v>2</v>
      </c>
      <c r="B19" s="3">
        <f t="shared" ref="B19:E19" si="6">SUM(B14:B18)</f>
        <v>24008859.73</v>
      </c>
      <c r="C19" s="3">
        <f t="shared" si="6"/>
        <v>66402916.390000001</v>
      </c>
      <c r="D19" s="3">
        <f t="shared" si="6"/>
        <v>77959041.030000001</v>
      </c>
      <c r="E19" s="3">
        <f t="shared" si="6"/>
        <v>5787892.2999999998</v>
      </c>
      <c r="F19" s="3">
        <f t="shared" ref="F19:I19" si="7">SUM(F14:F18)</f>
        <v>28349838.379999999</v>
      </c>
      <c r="G19" s="3">
        <f t="shared" ref="G19:H19" si="8">SUM(G14:G18)</f>
        <v>32750747.100000001</v>
      </c>
      <c r="H19" s="3">
        <f t="shared" si="8"/>
        <v>40140308.189999998</v>
      </c>
      <c r="I19" s="3">
        <f t="shared" si="7"/>
        <v>31994781.580000002</v>
      </c>
    </row>
    <row r="20" spans="1:9" x14ac:dyDescent="0.3">
      <c r="A20" s="4" t="s">
        <v>3</v>
      </c>
      <c r="B20" s="3">
        <v>1730257.58</v>
      </c>
      <c r="C20" s="3">
        <v>14536521.460000001</v>
      </c>
      <c r="D20" s="3">
        <v>20323044.359999999</v>
      </c>
      <c r="E20" s="3">
        <v>0</v>
      </c>
      <c r="F20" s="3">
        <v>264958.7</v>
      </c>
      <c r="G20" s="3">
        <v>264958.7</v>
      </c>
      <c r="H20" s="3">
        <v>264958.7</v>
      </c>
      <c r="I20" s="3">
        <v>12017.52</v>
      </c>
    </row>
    <row r="21" spans="1:9" x14ac:dyDescent="0.3">
      <c r="A21" s="60" t="s">
        <v>4</v>
      </c>
      <c r="B21" s="31">
        <f t="shared" ref="B21:E21" si="9">B7-B13-B19-B20</f>
        <v>-513662618.71000016</v>
      </c>
      <c r="C21" s="31">
        <f t="shared" si="9"/>
        <v>-641923669.86000001</v>
      </c>
      <c r="D21" s="31">
        <f t="shared" si="9"/>
        <v>-941688399.13000011</v>
      </c>
      <c r="E21" s="31">
        <f t="shared" si="9"/>
        <v>-138105340.71000001</v>
      </c>
      <c r="F21" s="31">
        <f t="shared" ref="F21:I21" si="10">F7-F13-F19-F20</f>
        <v>-114444664.37999995</v>
      </c>
      <c r="G21" s="31">
        <f t="shared" ref="G21:H21" si="11">G7-G13-G19-G20</f>
        <v>-82685775.649999931</v>
      </c>
      <c r="H21" s="31">
        <f t="shared" si="11"/>
        <v>-34308889.659999862</v>
      </c>
      <c r="I21" s="31">
        <f t="shared" si="10"/>
        <v>159507.75000020073</v>
      </c>
    </row>
    <row r="22" spans="1:9" x14ac:dyDescent="0.3">
      <c r="A22" t="s">
        <v>356</v>
      </c>
      <c r="B22" s="1">
        <v>-361565456.68000001</v>
      </c>
      <c r="C22" s="1"/>
      <c r="D22" s="1">
        <v>-79224222.920000002</v>
      </c>
      <c r="E22" s="1">
        <v>0</v>
      </c>
      <c r="F22" s="1">
        <v>-9892871.4100000001</v>
      </c>
      <c r="G22" s="1">
        <v>-7582503.2999999998</v>
      </c>
      <c r="H22" s="1">
        <v>-19263385.699999999</v>
      </c>
      <c r="I22" s="1">
        <v>-84587096.810000002</v>
      </c>
    </row>
    <row r="23" spans="1:9" x14ac:dyDescent="0.3">
      <c r="A23" t="s">
        <v>357</v>
      </c>
      <c r="B23" s="6">
        <f t="shared" ref="B23:E23" si="12">B8/B3*100</f>
        <v>35.374409817640853</v>
      </c>
      <c r="C23" s="6">
        <f t="shared" si="12"/>
        <v>48.094722177988757</v>
      </c>
      <c r="D23" s="6">
        <f t="shared" si="12"/>
        <v>68.438655029355118</v>
      </c>
      <c r="E23" s="6">
        <f t="shared" si="12"/>
        <v>30.093009385454287</v>
      </c>
      <c r="F23" s="95">
        <f t="shared" ref="F23:I23" si="13">F8/F3*100</f>
        <v>26.370603842066874</v>
      </c>
      <c r="G23" s="95">
        <f t="shared" ref="G23:H23" si="14">G8/G3*100</f>
        <v>13.402377281270859</v>
      </c>
      <c r="H23" s="95">
        <f t="shared" si="14"/>
        <v>17.465614285010627</v>
      </c>
      <c r="I23" s="95">
        <f t="shared" si="13"/>
        <v>21.98537502466629</v>
      </c>
    </row>
  </sheetData>
  <conditionalFormatting sqref="B21:E21 I21">
    <cfRule type="cellIs" dxfId="109" priority="24" operator="greaterThan">
      <formula>0</formula>
    </cfRule>
  </conditionalFormatting>
  <conditionalFormatting sqref="B21:E21 I21">
    <cfRule type="cellIs" dxfId="108" priority="21" operator="greaterThan">
      <formula>0</formula>
    </cfRule>
    <cfRule type="cellIs" dxfId="107" priority="22" operator="lessThan">
      <formula>0</formula>
    </cfRule>
  </conditionalFormatting>
  <conditionalFormatting sqref="F21">
    <cfRule type="cellIs" dxfId="106" priority="9" operator="greaterThan">
      <formula>0</formula>
    </cfRule>
  </conditionalFormatting>
  <conditionalFormatting sqref="F21">
    <cfRule type="cellIs" dxfId="105" priority="7" operator="greaterThan">
      <formula>0</formula>
    </cfRule>
    <cfRule type="cellIs" dxfId="104" priority="8" operator="lessThan">
      <formula>0</formula>
    </cfRule>
  </conditionalFormatting>
  <conditionalFormatting sqref="G21">
    <cfRule type="cellIs" dxfId="103" priority="6" operator="greaterThan">
      <formula>0</formula>
    </cfRule>
  </conditionalFormatting>
  <conditionalFormatting sqref="G21">
    <cfRule type="cellIs" dxfId="102" priority="4" operator="greaterThan">
      <formula>0</formula>
    </cfRule>
    <cfRule type="cellIs" dxfId="101" priority="5" operator="lessThan">
      <formula>0</formula>
    </cfRule>
  </conditionalFormatting>
  <conditionalFormatting sqref="H21">
    <cfRule type="cellIs" dxfId="100" priority="3" operator="greaterThan">
      <formula>0</formula>
    </cfRule>
  </conditionalFormatting>
  <conditionalFormatting sqref="H21">
    <cfRule type="cellIs" dxfId="99" priority="1" operator="greaterThan">
      <formula>0</formula>
    </cfRule>
    <cfRule type="cellIs" dxfId="98" priority="2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pane xSplit="2" ySplit="1" topLeftCell="D17" activePane="bottomRight" state="frozen"/>
      <selection pane="topRight" activeCell="C1" sqref="C1"/>
      <selection pane="bottomLeft" activeCell="A2" sqref="A2"/>
      <selection pane="bottomRight" activeCell="K23" sqref="K23"/>
    </sheetView>
  </sheetViews>
  <sheetFormatPr defaultRowHeight="14.4" x14ac:dyDescent="0.3"/>
  <cols>
    <col min="1" max="1" width="65.33203125" bestFit="1" customWidth="1"/>
    <col min="2" max="2" width="10.88671875" customWidth="1"/>
    <col min="3" max="3" width="11.88671875" bestFit="1" customWidth="1"/>
    <col min="4" max="4" width="11.109375" bestFit="1" customWidth="1"/>
    <col min="5" max="6" width="12.6640625" bestFit="1" customWidth="1"/>
    <col min="7" max="10" width="12.6640625" style="93" bestFit="1" customWidth="1"/>
    <col min="11" max="11" width="13.5546875" style="93" bestFit="1" customWidth="1"/>
    <col min="12" max="12" width="11.88671875" bestFit="1" customWidth="1"/>
  </cols>
  <sheetData>
    <row r="1" spans="1:11" x14ac:dyDescent="0.3">
      <c r="C1" s="87">
        <v>2016</v>
      </c>
      <c r="D1" s="86">
        <v>2017</v>
      </c>
      <c r="E1" s="86">
        <v>2018</v>
      </c>
      <c r="F1" s="89">
        <v>2019</v>
      </c>
      <c r="G1" s="119">
        <v>2020</v>
      </c>
      <c r="H1" s="122">
        <v>2021</v>
      </c>
      <c r="I1" s="129">
        <v>2022</v>
      </c>
      <c r="J1" s="115">
        <v>2023</v>
      </c>
      <c r="K1" s="104" t="s">
        <v>266</v>
      </c>
    </row>
    <row r="2" spans="1:11" x14ac:dyDescent="0.3">
      <c r="A2" t="s">
        <v>236</v>
      </c>
      <c r="B2" s="23" t="s">
        <v>260</v>
      </c>
      <c r="C2" s="1"/>
      <c r="D2" s="1">
        <v>176196277.78999999</v>
      </c>
      <c r="E2" s="1">
        <v>174263322.44999999</v>
      </c>
      <c r="F2" s="1">
        <v>174012719.69999999</v>
      </c>
      <c r="G2" s="1">
        <v>173717817.50999999</v>
      </c>
      <c r="H2" s="1">
        <v>174871786</v>
      </c>
      <c r="I2" s="1">
        <v>197419810.22999999</v>
      </c>
      <c r="J2" s="1">
        <v>195452406.61000001</v>
      </c>
      <c r="K2" s="1">
        <f>J2-I2</f>
        <v>-1967403.619999975</v>
      </c>
    </row>
    <row r="3" spans="1:11" x14ac:dyDescent="0.3">
      <c r="A3" t="s">
        <v>237</v>
      </c>
      <c r="B3" s="23" t="s">
        <v>260</v>
      </c>
      <c r="C3" s="1"/>
      <c r="D3" s="1">
        <v>95097712.450000003</v>
      </c>
      <c r="E3" s="1">
        <v>104388085.42</v>
      </c>
      <c r="F3" s="1">
        <v>88298433.400000006</v>
      </c>
      <c r="G3" s="1">
        <v>87551726.840000004</v>
      </c>
      <c r="H3" s="1">
        <v>77087250.599999994</v>
      </c>
      <c r="I3" s="1">
        <v>77688044.379999995</v>
      </c>
      <c r="J3" s="1">
        <v>85310384.359999999</v>
      </c>
      <c r="K3" s="1">
        <f t="shared" ref="K3:K29" si="0">J3-I3</f>
        <v>7622339.9800000042</v>
      </c>
    </row>
    <row r="4" spans="1:11" x14ac:dyDescent="0.3">
      <c r="A4" t="s">
        <v>238</v>
      </c>
      <c r="B4" s="23" t="s">
        <v>260</v>
      </c>
      <c r="C4" s="1"/>
      <c r="D4" s="1">
        <v>79914574.189999998</v>
      </c>
      <c r="E4" s="1">
        <v>86455751.420000002</v>
      </c>
      <c r="F4" s="1">
        <v>135115770.30000001</v>
      </c>
      <c r="G4" s="1">
        <v>164845046.19999999</v>
      </c>
      <c r="H4" s="1">
        <v>205869654.09999999</v>
      </c>
      <c r="I4" s="1">
        <v>198012941.94</v>
      </c>
      <c r="J4" s="1">
        <v>257061250.90000001</v>
      </c>
      <c r="K4" s="1">
        <f t="shared" si="0"/>
        <v>59048308.960000008</v>
      </c>
    </row>
    <row r="5" spans="1:11" x14ac:dyDescent="0.3">
      <c r="A5" t="s">
        <v>239</v>
      </c>
      <c r="B5" s="23" t="s">
        <v>260</v>
      </c>
      <c r="C5" s="1"/>
      <c r="D5" s="1">
        <v>9182835.1799999997</v>
      </c>
      <c r="E5" s="1">
        <v>10399398.630000001</v>
      </c>
      <c r="F5" s="1">
        <v>10115992.699999999</v>
      </c>
      <c r="G5" s="1">
        <v>9136790.5700000003</v>
      </c>
      <c r="H5" s="1">
        <v>13225217.699999999</v>
      </c>
      <c r="I5" s="1">
        <v>11870373.16</v>
      </c>
      <c r="J5" s="1">
        <v>11946176.9</v>
      </c>
      <c r="K5" s="1">
        <f t="shared" si="0"/>
        <v>75803.740000000224</v>
      </c>
    </row>
    <row r="6" spans="1:11" x14ac:dyDescent="0.3">
      <c r="A6" t="s">
        <v>240</v>
      </c>
      <c r="B6" s="23" t="s">
        <v>260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f t="shared" si="0"/>
        <v>0</v>
      </c>
    </row>
    <row r="7" spans="1:11" x14ac:dyDescent="0.3">
      <c r="A7" t="s">
        <v>241</v>
      </c>
      <c r="B7" s="23" t="s">
        <v>260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f t="shared" si="0"/>
        <v>0</v>
      </c>
    </row>
    <row r="8" spans="1:11" x14ac:dyDescent="0.3">
      <c r="A8" t="s">
        <v>242</v>
      </c>
      <c r="B8" s="23" t="s">
        <v>260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f t="shared" si="0"/>
        <v>0</v>
      </c>
    </row>
    <row r="9" spans="1:11" x14ac:dyDescent="0.3">
      <c r="A9" s="26" t="s">
        <v>243</v>
      </c>
      <c r="B9" s="27" t="s">
        <v>260</v>
      </c>
      <c r="C9" s="28"/>
      <c r="D9" s="28">
        <v>37852319.060000002</v>
      </c>
      <c r="E9" s="28">
        <v>92506619</v>
      </c>
      <c r="F9" s="28">
        <v>51127033</v>
      </c>
      <c r="G9" s="28">
        <v>34603521.75</v>
      </c>
      <c r="H9" s="28">
        <v>52323661.799999997</v>
      </c>
      <c r="I9" s="28">
        <v>44948488.329999998</v>
      </c>
      <c r="J9" s="28">
        <v>97362286.549999997</v>
      </c>
      <c r="K9" s="1">
        <f t="shared" si="0"/>
        <v>52413798.219999999</v>
      </c>
    </row>
    <row r="10" spans="1:11" x14ac:dyDescent="0.3">
      <c r="A10" s="29" t="s">
        <v>264</v>
      </c>
      <c r="B10" s="30" t="s">
        <v>260</v>
      </c>
      <c r="C10" s="83">
        <v>455796717</v>
      </c>
      <c r="D10" s="83">
        <f t="shared" ref="D10:F10" si="1">SUM(D2:D9)</f>
        <v>398243718.67000002</v>
      </c>
      <c r="E10" s="83">
        <f t="shared" si="1"/>
        <v>468013176.92000002</v>
      </c>
      <c r="F10" s="83">
        <f t="shared" si="1"/>
        <v>458669949.09999996</v>
      </c>
      <c r="G10" s="83">
        <f t="shared" ref="G10:J10" si="2">SUM(G2:G9)</f>
        <v>469854902.86999995</v>
      </c>
      <c r="H10" s="83">
        <f t="shared" ref="H10:I10" si="3">SUM(H2:H9)</f>
        <v>523377570.19999999</v>
      </c>
      <c r="I10" s="83">
        <f t="shared" si="3"/>
        <v>529939658.04000002</v>
      </c>
      <c r="J10" s="83">
        <f t="shared" si="2"/>
        <v>647132505.31999993</v>
      </c>
      <c r="K10" s="11">
        <f t="shared" si="0"/>
        <v>117192847.27999991</v>
      </c>
    </row>
    <row r="11" spans="1:11" x14ac:dyDescent="0.3">
      <c r="A11" t="s">
        <v>244</v>
      </c>
      <c r="B11" s="23" t="s">
        <v>261</v>
      </c>
      <c r="C11" s="1"/>
      <c r="D11" s="1">
        <v>2385089.86</v>
      </c>
      <c r="E11" s="1">
        <v>1619930.29</v>
      </c>
      <c r="F11" s="1">
        <v>1554684.1</v>
      </c>
      <c r="G11" s="1">
        <v>6336510.7599999998</v>
      </c>
      <c r="H11" s="1">
        <v>2821856.6</v>
      </c>
      <c r="I11" s="1">
        <v>1725958.78</v>
      </c>
      <c r="J11" s="1">
        <v>3210181.94</v>
      </c>
      <c r="K11" s="1">
        <f t="shared" si="0"/>
        <v>1484223.16</v>
      </c>
    </row>
    <row r="12" spans="1:11" x14ac:dyDescent="0.3">
      <c r="A12" t="s">
        <v>245</v>
      </c>
      <c r="B12" s="23" t="s">
        <v>261</v>
      </c>
      <c r="C12" s="1"/>
      <c r="D12" s="1">
        <v>160667935.24000001</v>
      </c>
      <c r="E12" s="1">
        <v>149245248.36000001</v>
      </c>
      <c r="F12" s="1">
        <v>167763724.40000001</v>
      </c>
      <c r="G12" s="1">
        <v>151621943.65000001</v>
      </c>
      <c r="H12" s="1">
        <v>160633106</v>
      </c>
      <c r="I12" s="1">
        <v>188343247.56999999</v>
      </c>
      <c r="J12" s="1">
        <v>207857668.25999999</v>
      </c>
      <c r="K12" s="1">
        <f t="shared" si="0"/>
        <v>19514420.689999998</v>
      </c>
    </row>
    <row r="13" spans="1:11" x14ac:dyDescent="0.3">
      <c r="A13" t="s">
        <v>246</v>
      </c>
      <c r="B13" s="23" t="s">
        <v>261</v>
      </c>
      <c r="C13" s="1"/>
      <c r="D13" s="1">
        <v>2380536.4500000002</v>
      </c>
      <c r="E13" s="1">
        <v>2412404.38</v>
      </c>
      <c r="F13" s="1">
        <v>1837201.4</v>
      </c>
      <c r="G13" s="1">
        <v>1509550.97</v>
      </c>
      <c r="H13" s="1">
        <v>1417881.7</v>
      </c>
      <c r="I13" s="1">
        <v>1394451.75</v>
      </c>
      <c r="J13" s="1">
        <v>1232269.4099999999</v>
      </c>
      <c r="K13" s="1">
        <f t="shared" si="0"/>
        <v>-162182.34000000008</v>
      </c>
    </row>
    <row r="14" spans="1:11" x14ac:dyDescent="0.3">
      <c r="A14" t="s">
        <v>247</v>
      </c>
      <c r="B14" s="23" t="s">
        <v>261</v>
      </c>
      <c r="C14" s="1"/>
      <c r="D14" s="1">
        <v>51042858.5</v>
      </c>
      <c r="E14" s="1">
        <v>41760765.670000002</v>
      </c>
      <c r="F14" s="1">
        <v>36010572.5</v>
      </c>
      <c r="G14" s="1">
        <v>33247833.530000001</v>
      </c>
      <c r="H14" s="1">
        <v>32311484.800000001</v>
      </c>
      <c r="I14" s="1">
        <v>35876683.520000003</v>
      </c>
      <c r="J14" s="1">
        <v>89612370.049999997</v>
      </c>
      <c r="K14" s="1">
        <f t="shared" si="0"/>
        <v>53735686.529999994</v>
      </c>
    </row>
    <row r="15" spans="1:11" x14ac:dyDescent="0.3">
      <c r="A15" t="s">
        <v>248</v>
      </c>
      <c r="B15" s="23" t="s">
        <v>261</v>
      </c>
      <c r="C15" s="1"/>
      <c r="D15" s="1">
        <v>96075696.25</v>
      </c>
      <c r="E15" s="1">
        <v>100296542.14</v>
      </c>
      <c r="F15" s="1">
        <v>88218794.700000003</v>
      </c>
      <c r="G15" s="1">
        <v>79699073.079999998</v>
      </c>
      <c r="H15" s="1">
        <v>80347272.700000003</v>
      </c>
      <c r="I15" s="1">
        <v>81859439.420000002</v>
      </c>
      <c r="J15" s="1">
        <v>78352891.75</v>
      </c>
      <c r="K15" s="1">
        <f t="shared" si="0"/>
        <v>-3506547.6700000018</v>
      </c>
    </row>
    <row r="16" spans="1:11" x14ac:dyDescent="0.3">
      <c r="A16" t="s">
        <v>249</v>
      </c>
      <c r="B16" s="23" t="s">
        <v>261</v>
      </c>
      <c r="C16" s="1"/>
      <c r="D16" s="1">
        <v>59919742.719999999</v>
      </c>
      <c r="E16" s="1">
        <v>552579274.37</v>
      </c>
      <c r="F16" s="1">
        <v>66033283.399999999</v>
      </c>
      <c r="G16" s="1">
        <v>57231744.829999998</v>
      </c>
      <c r="H16" s="1">
        <v>66965188.299999997</v>
      </c>
      <c r="I16" s="1">
        <v>64081162.149999999</v>
      </c>
      <c r="J16" s="1">
        <v>62219792.479999997</v>
      </c>
      <c r="K16" s="1">
        <f t="shared" si="0"/>
        <v>-1861369.6700000018</v>
      </c>
    </row>
    <row r="17" spans="1:12" x14ac:dyDescent="0.3">
      <c r="A17" t="s">
        <v>250</v>
      </c>
      <c r="B17" s="23" t="s">
        <v>261</v>
      </c>
      <c r="C17" s="1"/>
      <c r="D17" s="1"/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f t="shared" si="0"/>
        <v>0</v>
      </c>
    </row>
    <row r="18" spans="1:12" x14ac:dyDescent="0.3">
      <c r="A18" t="s">
        <v>251</v>
      </c>
      <c r="B18" s="23" t="s">
        <v>261</v>
      </c>
      <c r="C18" s="1"/>
      <c r="D18" s="1"/>
      <c r="E18" s="1">
        <v>145853944.38</v>
      </c>
      <c r="F18" s="1">
        <v>3103287.8</v>
      </c>
      <c r="G18" s="1">
        <v>1556250.65</v>
      </c>
      <c r="H18" s="1">
        <v>14760977.199999999</v>
      </c>
      <c r="I18" s="1">
        <v>19949836.399999999</v>
      </c>
      <c r="J18" s="1">
        <v>12533089.73</v>
      </c>
      <c r="K18" s="1">
        <f t="shared" si="0"/>
        <v>-7416746.6699999981</v>
      </c>
    </row>
    <row r="19" spans="1:12" x14ac:dyDescent="0.3">
      <c r="A19" t="s">
        <v>14</v>
      </c>
      <c r="B19" s="23" t="s">
        <v>261</v>
      </c>
      <c r="C19" s="1"/>
      <c r="D19" s="1"/>
      <c r="E19" s="1">
        <v>368373827.66000003</v>
      </c>
      <c r="F19" s="1">
        <v>471613.5</v>
      </c>
      <c r="G19" s="1">
        <v>644083.75</v>
      </c>
      <c r="H19" s="1">
        <v>4456353.5999999996</v>
      </c>
      <c r="I19" s="1">
        <v>6900</v>
      </c>
      <c r="J19" s="1">
        <v>34297453.890000001</v>
      </c>
      <c r="K19" s="1">
        <f t="shared" si="0"/>
        <v>34290553.890000001</v>
      </c>
    </row>
    <row r="20" spans="1:12" x14ac:dyDescent="0.3">
      <c r="A20" s="26" t="s">
        <v>252</v>
      </c>
      <c r="B20" s="27" t="s">
        <v>261</v>
      </c>
      <c r="C20" s="28"/>
      <c r="D20" s="28">
        <v>27861464.960000001</v>
      </c>
      <c r="E20" s="28">
        <v>5124625.47</v>
      </c>
      <c r="F20" s="28">
        <v>505586.3</v>
      </c>
      <c r="G20" s="28">
        <v>6889417.7800000003</v>
      </c>
      <c r="H20" s="28">
        <v>16897216.699999999</v>
      </c>
      <c r="I20" s="28">
        <v>27897125.079999998</v>
      </c>
      <c r="J20" s="28">
        <v>2124401.31</v>
      </c>
      <c r="K20" s="1">
        <f t="shared" si="0"/>
        <v>-25772723.77</v>
      </c>
    </row>
    <row r="21" spans="1:12" x14ac:dyDescent="0.3">
      <c r="A21" s="29" t="s">
        <v>265</v>
      </c>
      <c r="B21" s="30" t="s">
        <v>261</v>
      </c>
      <c r="C21" s="83">
        <v>698756800</v>
      </c>
      <c r="D21" s="83">
        <f t="shared" ref="D21:F21" si="4">SUM(D11:D20)</f>
        <v>400333323.97999996</v>
      </c>
      <c r="E21" s="83">
        <f t="shared" si="4"/>
        <v>1367266562.72</v>
      </c>
      <c r="F21" s="83">
        <f t="shared" si="4"/>
        <v>365498748.10000002</v>
      </c>
      <c r="G21" s="83">
        <f t="shared" ref="G21:J21" si="5">SUM(G11:G20)</f>
        <v>338736408.99999994</v>
      </c>
      <c r="H21" s="83">
        <f t="shared" ref="H21:I21" si="6">SUM(H11:H20)</f>
        <v>380611337.60000002</v>
      </c>
      <c r="I21" s="83">
        <f t="shared" si="6"/>
        <v>421134804.66999996</v>
      </c>
      <c r="J21" s="83">
        <f t="shared" si="5"/>
        <v>491440118.81999999</v>
      </c>
      <c r="K21" s="11">
        <f t="shared" si="0"/>
        <v>70305314.150000036</v>
      </c>
      <c r="L21" s="1"/>
    </row>
    <row r="22" spans="1:12" x14ac:dyDescent="0.3">
      <c r="A22" t="s">
        <v>253</v>
      </c>
      <c r="B22" s="23" t="s">
        <v>260</v>
      </c>
      <c r="C22" s="1">
        <v>-30609022</v>
      </c>
      <c r="D22" s="1">
        <v>0</v>
      </c>
      <c r="E22" s="1">
        <v>9.93</v>
      </c>
      <c r="F22" s="1">
        <v>3000042.8</v>
      </c>
      <c r="G22" s="1">
        <v>2450003.41</v>
      </c>
      <c r="H22" s="1">
        <v>2000001.7</v>
      </c>
      <c r="I22" s="1">
        <v>1600001.75</v>
      </c>
      <c r="J22" s="1">
        <v>10079468.689999999</v>
      </c>
      <c r="K22" s="1">
        <f t="shared" si="0"/>
        <v>8479466.9399999995</v>
      </c>
    </row>
    <row r="23" spans="1:12" x14ac:dyDescent="0.3">
      <c r="A23" t="s">
        <v>254</v>
      </c>
      <c r="B23" s="23" t="s">
        <v>261</v>
      </c>
      <c r="C23" s="1">
        <v>0</v>
      </c>
      <c r="D23" s="1">
        <v>23917949.52</v>
      </c>
      <c r="E23" s="1">
        <v>33749723.140000001</v>
      </c>
      <c r="F23" s="1">
        <v>25139064.699999999</v>
      </c>
      <c r="G23" s="1">
        <v>21059248.440000001</v>
      </c>
      <c r="H23" s="1">
        <v>19530094.399999999</v>
      </c>
      <c r="I23" s="1">
        <v>16909334.800000001</v>
      </c>
      <c r="J23" s="1">
        <v>15532492.779999999</v>
      </c>
      <c r="K23" s="1">
        <f t="shared" si="0"/>
        <v>-1376842.0200000014</v>
      </c>
    </row>
    <row r="24" spans="1:12" x14ac:dyDescent="0.3">
      <c r="A24" t="s">
        <v>255</v>
      </c>
      <c r="B24" s="23" t="s">
        <v>260</v>
      </c>
      <c r="C24" s="1">
        <v>1134632</v>
      </c>
      <c r="D24" s="1">
        <v>0</v>
      </c>
      <c r="E24" s="1">
        <v>-1081245</v>
      </c>
      <c r="F24" s="1">
        <v>3155198.9</v>
      </c>
      <c r="G24" s="1">
        <v>5442745.9500000002</v>
      </c>
      <c r="H24" s="1">
        <v>553778.80000000005</v>
      </c>
      <c r="I24" s="1">
        <v>5175450.8499999996</v>
      </c>
      <c r="J24" s="1">
        <v>10684143.439999999</v>
      </c>
      <c r="K24" s="1">
        <f t="shared" si="0"/>
        <v>5508692.5899999999</v>
      </c>
    </row>
    <row r="25" spans="1:12" x14ac:dyDescent="0.3">
      <c r="A25" t="s">
        <v>256</v>
      </c>
      <c r="B25" s="23" t="s">
        <v>260</v>
      </c>
      <c r="C25" s="1">
        <v>-94582224</v>
      </c>
      <c r="D25" s="1">
        <v>59564665.390000001</v>
      </c>
      <c r="E25" s="1">
        <v>21703828.440000001</v>
      </c>
      <c r="F25" s="1">
        <v>1779976484.4000001</v>
      </c>
      <c r="G25" s="1">
        <v>1274843.1000000001</v>
      </c>
      <c r="H25" s="1">
        <v>13140042.9</v>
      </c>
      <c r="I25" s="1">
        <v>15454798.960000001</v>
      </c>
      <c r="J25" s="1">
        <v>8415417.5800000001</v>
      </c>
      <c r="K25" s="1">
        <f t="shared" si="0"/>
        <v>-7039381.3800000008</v>
      </c>
    </row>
    <row r="26" spans="1:12" x14ac:dyDescent="0.3">
      <c r="A26" t="s">
        <v>257</v>
      </c>
      <c r="B26" s="23" t="s">
        <v>261</v>
      </c>
      <c r="C26" s="1">
        <v>0</v>
      </c>
      <c r="D26" s="1">
        <v>40410561.539999999</v>
      </c>
      <c r="E26" s="1">
        <v>48367540.979999997</v>
      </c>
      <c r="F26" s="1">
        <v>1084236928.3</v>
      </c>
      <c r="G26" s="1">
        <v>36471633.450000003</v>
      </c>
      <c r="H26" s="1">
        <v>48773792.100000001</v>
      </c>
      <c r="I26" s="1">
        <v>55242166.020000003</v>
      </c>
      <c r="J26" s="1">
        <v>91025654.650000006</v>
      </c>
      <c r="K26" s="1">
        <f t="shared" si="0"/>
        <v>35783488.630000003</v>
      </c>
    </row>
    <row r="27" spans="1:12" x14ac:dyDescent="0.3">
      <c r="A27" t="s">
        <v>258</v>
      </c>
      <c r="B27" s="23" t="s">
        <v>261</v>
      </c>
      <c r="C27" s="1">
        <v>10565817</v>
      </c>
      <c r="D27" s="1">
        <v>6045369.9670000002</v>
      </c>
      <c r="E27" s="1">
        <v>6213418.0700000003</v>
      </c>
      <c r="F27" s="1">
        <v>5301736</v>
      </c>
      <c r="G27" s="1">
        <v>4779834.5999999996</v>
      </c>
      <c r="H27" s="1">
        <v>4874675.2</v>
      </c>
      <c r="I27" s="1">
        <v>5080778.5</v>
      </c>
      <c r="J27" s="1">
        <v>4833000.26</v>
      </c>
      <c r="K27" s="1">
        <f t="shared" si="0"/>
        <v>-247778.24000000022</v>
      </c>
    </row>
    <row r="28" spans="1:12" x14ac:dyDescent="0.3">
      <c r="A28" s="10" t="s">
        <v>259</v>
      </c>
      <c r="B28" s="30" t="s">
        <v>262</v>
      </c>
      <c r="C28" s="31">
        <f t="shared" ref="C28:J28" si="7">C10-C21+C22-C23+C24+C25-C26-C27</f>
        <v>-377582514</v>
      </c>
      <c r="D28" s="31">
        <f t="shared" si="7"/>
        <v>-12898820.946999937</v>
      </c>
      <c r="E28" s="31">
        <f t="shared" si="7"/>
        <v>-966961474.62</v>
      </c>
      <c r="F28" s="31">
        <f t="shared" si="7"/>
        <v>764625198.10000014</v>
      </c>
      <c r="G28" s="31">
        <f t="shared" si="7"/>
        <v>77975369.840000004</v>
      </c>
      <c r="H28" s="31">
        <f t="shared" ref="H28:I28" si="8">H10-H21+H22-H23+H24+H25-H26-H27</f>
        <v>85281494.299999937</v>
      </c>
      <c r="I28" s="31">
        <f t="shared" si="8"/>
        <v>53802825.610000052</v>
      </c>
      <c r="J28" s="31">
        <f t="shared" si="7"/>
        <v>73480268.519999936</v>
      </c>
      <c r="K28" s="31">
        <f t="shared" si="0"/>
        <v>19677442.909999885</v>
      </c>
    </row>
    <row r="29" spans="1:12" s="93" customFormat="1" x14ac:dyDescent="0.3">
      <c r="A29" s="62" t="s">
        <v>366</v>
      </c>
      <c r="B29" s="125"/>
      <c r="C29" s="126">
        <f>C10-SUM(C11:C15)+C17</f>
        <v>455796717</v>
      </c>
      <c r="D29" s="126">
        <f t="shared" ref="D29:J29" si="9">D10-SUM(D11:D15)+D17</f>
        <v>85691602.370000005</v>
      </c>
      <c r="E29" s="126">
        <f t="shared" si="9"/>
        <v>172678286.08000004</v>
      </c>
      <c r="F29" s="126">
        <f t="shared" si="9"/>
        <v>163284971.99999994</v>
      </c>
      <c r="G29" s="126">
        <f t="shared" si="9"/>
        <v>197439990.87999994</v>
      </c>
      <c r="H29" s="126">
        <f t="shared" si="9"/>
        <v>245845968.39999998</v>
      </c>
      <c r="I29" s="126">
        <f t="shared" ref="I29" si="10">I10-SUM(I11:I15)+I17</f>
        <v>220739877</v>
      </c>
      <c r="J29" s="126">
        <f t="shared" si="9"/>
        <v>266867123.90999997</v>
      </c>
      <c r="K29" s="126">
        <f t="shared" si="0"/>
        <v>46127246.909999967</v>
      </c>
      <c r="L29" s="126"/>
    </row>
  </sheetData>
  <conditionalFormatting sqref="C28:F28 J28:K28">
    <cfRule type="cellIs" dxfId="97" priority="21" operator="greaterThan">
      <formula>0</formula>
    </cfRule>
  </conditionalFormatting>
  <conditionalFormatting sqref="G28">
    <cfRule type="cellIs" dxfId="96" priority="11" operator="greaterThan">
      <formula>0</formula>
    </cfRule>
  </conditionalFormatting>
  <conditionalFormatting sqref="H28">
    <cfRule type="cellIs" dxfId="95" priority="10" operator="greaterThan">
      <formula>0</formula>
    </cfRule>
  </conditionalFormatting>
  <conditionalFormatting sqref="C29:H29 J29:L29">
    <cfRule type="cellIs" dxfId="94" priority="9" operator="greaterThan">
      <formula>0</formula>
    </cfRule>
  </conditionalFormatting>
  <conditionalFormatting sqref="C29:H29 J29:K29">
    <cfRule type="cellIs" dxfId="93" priority="8" operator="greaterThan">
      <formula>0</formula>
    </cfRule>
  </conditionalFormatting>
  <conditionalFormatting sqref="C29:H29 J29:K29">
    <cfRule type="cellIs" dxfId="92" priority="7" operator="greaterThan">
      <formula>0</formula>
    </cfRule>
  </conditionalFormatting>
  <conditionalFormatting sqref="C29:H29 J29:K29">
    <cfRule type="cellIs" dxfId="91" priority="6" operator="greaterThan">
      <formula>0</formula>
    </cfRule>
  </conditionalFormatting>
  <conditionalFormatting sqref="I28">
    <cfRule type="cellIs" dxfId="90" priority="5" operator="greaterThan">
      <formula>0</formula>
    </cfRule>
  </conditionalFormatting>
  <conditionalFormatting sqref="I29">
    <cfRule type="cellIs" dxfId="89" priority="4" operator="greaterThan">
      <formula>0</formula>
    </cfRule>
  </conditionalFormatting>
  <conditionalFormatting sqref="I29">
    <cfRule type="cellIs" dxfId="88" priority="3" operator="greaterThan">
      <formula>0</formula>
    </cfRule>
  </conditionalFormatting>
  <conditionalFormatting sqref="I29">
    <cfRule type="cellIs" dxfId="87" priority="2" operator="greaterThan">
      <formula>0</formula>
    </cfRule>
  </conditionalFormatting>
  <conditionalFormatting sqref="I29">
    <cfRule type="cellIs" dxfId="8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J2" sqref="J2:J16"/>
    </sheetView>
  </sheetViews>
  <sheetFormatPr defaultRowHeight="14.4" x14ac:dyDescent="0.3"/>
  <cols>
    <col min="1" max="1" width="50.6640625" bestFit="1" customWidth="1"/>
    <col min="2" max="2" width="12.21875" bestFit="1" customWidth="1"/>
    <col min="3" max="3" width="11.5546875" bestFit="1" customWidth="1"/>
    <col min="4" max="4" width="13.21875" bestFit="1" customWidth="1"/>
    <col min="5" max="5" width="11.5546875" bestFit="1" customWidth="1"/>
    <col min="6" max="10" width="11.5546875" style="93" bestFit="1" customWidth="1"/>
  </cols>
  <sheetData>
    <row r="1" spans="1:11" x14ac:dyDescent="0.3">
      <c r="A1" s="35"/>
      <c r="B1" s="36">
        <v>2016</v>
      </c>
      <c r="C1" s="36">
        <v>2017</v>
      </c>
      <c r="D1" s="36">
        <v>2018</v>
      </c>
      <c r="E1" s="36">
        <v>2019</v>
      </c>
      <c r="F1" s="108">
        <v>2020</v>
      </c>
      <c r="G1" s="108">
        <v>2021</v>
      </c>
      <c r="H1" s="108">
        <v>2022</v>
      </c>
      <c r="I1" s="108">
        <v>2023</v>
      </c>
      <c r="J1" s="108" t="s">
        <v>266</v>
      </c>
    </row>
    <row r="2" spans="1:11" x14ac:dyDescent="0.3">
      <c r="A2" s="61" t="s">
        <v>346</v>
      </c>
      <c r="B2" s="55">
        <f>Conto_economico!C10</f>
        <v>455796717</v>
      </c>
      <c r="C2" s="55">
        <f>Conto_economico!D10</f>
        <v>398243718.67000002</v>
      </c>
      <c r="D2" s="55">
        <f>Conto_economico!E10</f>
        <v>468013176.92000002</v>
      </c>
      <c r="E2" s="55">
        <f>Conto_economico!F10</f>
        <v>458669949.09999996</v>
      </c>
      <c r="F2" s="55">
        <f>Conto_economico!G10</f>
        <v>469854902.86999995</v>
      </c>
      <c r="G2" s="55">
        <f>Conto_economico!H10</f>
        <v>523377570.19999999</v>
      </c>
      <c r="H2" s="55">
        <f>Conto_economico!I10</f>
        <v>529939658.04000002</v>
      </c>
      <c r="I2" s="55">
        <f>Conto_economico!J10</f>
        <v>647132505.31999993</v>
      </c>
      <c r="J2" s="55">
        <f t="shared" ref="J2:J16" si="0">I2-H2</f>
        <v>117192847.27999991</v>
      </c>
    </row>
    <row r="3" spans="1:11" x14ac:dyDescent="0.3">
      <c r="A3" s="61" t="s">
        <v>341</v>
      </c>
      <c r="B3" s="55">
        <f>Conto_economico!C2</f>
        <v>0</v>
      </c>
      <c r="C3" s="55">
        <f>Conto_economico!D2</f>
        <v>176196277.78999999</v>
      </c>
      <c r="D3" s="55">
        <f>Conto_economico!E2</f>
        <v>174263322.44999999</v>
      </c>
      <c r="E3" s="55">
        <f>Conto_economico!F2</f>
        <v>174012719.69999999</v>
      </c>
      <c r="F3" s="55">
        <f>Conto_economico!G2</f>
        <v>173717817.50999999</v>
      </c>
      <c r="G3" s="55">
        <f>Conto_economico!H2</f>
        <v>174871786</v>
      </c>
      <c r="H3" s="55">
        <f>Conto_economico!I2</f>
        <v>197419810.22999999</v>
      </c>
      <c r="I3" s="55">
        <f>Conto_economico!J2</f>
        <v>195452406.61000001</v>
      </c>
      <c r="J3" s="55">
        <f t="shared" si="0"/>
        <v>-1967403.619999975</v>
      </c>
    </row>
    <row r="4" spans="1:11" x14ac:dyDescent="0.3">
      <c r="A4" s="61" t="s">
        <v>342</v>
      </c>
      <c r="B4" s="55">
        <f>Conto_economico!C4</f>
        <v>0</v>
      </c>
      <c r="C4" s="55">
        <f>Conto_economico!D4</f>
        <v>79914574.189999998</v>
      </c>
      <c r="D4" s="55">
        <f>Conto_economico!E4</f>
        <v>86455751.420000002</v>
      </c>
      <c r="E4" s="55">
        <f>Conto_economico!F4</f>
        <v>135115770.30000001</v>
      </c>
      <c r="F4" s="55">
        <f>Conto_economico!G4</f>
        <v>164845046.19999999</v>
      </c>
      <c r="G4" s="55">
        <f>Conto_economico!H4</f>
        <v>205869654.09999999</v>
      </c>
      <c r="H4" s="55">
        <f>Conto_economico!I4</f>
        <v>198012941.94</v>
      </c>
      <c r="I4" s="55">
        <f>Conto_economico!J4</f>
        <v>257061250.90000001</v>
      </c>
      <c r="J4" s="55">
        <f t="shared" si="0"/>
        <v>59048308.960000008</v>
      </c>
    </row>
    <row r="5" spans="1:11" x14ac:dyDescent="0.3">
      <c r="A5" s="61" t="s">
        <v>347</v>
      </c>
      <c r="B5" s="56">
        <f>Conto_economico!C21</f>
        <v>698756800</v>
      </c>
      <c r="C5" s="56">
        <f>Conto_economico!D21</f>
        <v>400333323.97999996</v>
      </c>
      <c r="D5" s="56">
        <f>Conto_economico!E21</f>
        <v>1367266562.72</v>
      </c>
      <c r="E5" s="56">
        <f>Conto_economico!F21</f>
        <v>365498748.10000002</v>
      </c>
      <c r="F5" s="56">
        <f>Conto_economico!G21</f>
        <v>338736408.99999994</v>
      </c>
      <c r="G5" s="56">
        <f>Conto_economico!H21</f>
        <v>380611337.60000002</v>
      </c>
      <c r="H5" s="56">
        <f>Conto_economico!I21</f>
        <v>421134804.66999996</v>
      </c>
      <c r="I5" s="56">
        <f>Conto_economico!J21</f>
        <v>491440118.81999999</v>
      </c>
      <c r="J5" s="55">
        <f t="shared" si="0"/>
        <v>70305314.150000036</v>
      </c>
    </row>
    <row r="6" spans="1:11" x14ac:dyDescent="0.3">
      <c r="A6" s="61" t="s">
        <v>343</v>
      </c>
      <c r="B6" s="55">
        <f>Conto_economico!C12</f>
        <v>0</v>
      </c>
      <c r="C6" s="55">
        <f>Conto_economico!D12</f>
        <v>160667935.24000001</v>
      </c>
      <c r="D6" s="55">
        <f>Conto_economico!E12</f>
        <v>149245248.36000001</v>
      </c>
      <c r="E6" s="55">
        <f>Conto_economico!F12</f>
        <v>167763724.40000001</v>
      </c>
      <c r="F6" s="55">
        <f>Conto_economico!G12</f>
        <v>151621943.65000001</v>
      </c>
      <c r="G6" s="55">
        <f>Conto_economico!H12</f>
        <v>160633106</v>
      </c>
      <c r="H6" s="55">
        <f>Conto_economico!I12</f>
        <v>188343247.56999999</v>
      </c>
      <c r="I6" s="55">
        <f>Conto_economico!J12</f>
        <v>207857668.25999999</v>
      </c>
      <c r="J6" s="55">
        <f t="shared" si="0"/>
        <v>19514420.689999998</v>
      </c>
    </row>
    <row r="7" spans="1:11" x14ac:dyDescent="0.3">
      <c r="A7" s="61" t="s">
        <v>344</v>
      </c>
      <c r="B7" s="55">
        <f>Conto_economico!C15</f>
        <v>0</v>
      </c>
      <c r="C7" s="55">
        <f>Conto_economico!D15</f>
        <v>96075696.25</v>
      </c>
      <c r="D7" s="55">
        <f>Conto_economico!E15</f>
        <v>100296542.14</v>
      </c>
      <c r="E7" s="55">
        <f>Conto_economico!F15</f>
        <v>88218794.700000003</v>
      </c>
      <c r="F7" s="55">
        <f>Conto_economico!G15</f>
        <v>79699073.079999998</v>
      </c>
      <c r="G7" s="55">
        <f>Conto_economico!H15</f>
        <v>80347272.700000003</v>
      </c>
      <c r="H7" s="55">
        <f>Conto_economico!I15</f>
        <v>81859439.420000002</v>
      </c>
      <c r="I7" s="55">
        <f>Conto_economico!J15</f>
        <v>78352891.75</v>
      </c>
      <c r="J7" s="55">
        <f t="shared" si="0"/>
        <v>-3506547.6700000018</v>
      </c>
    </row>
    <row r="8" spans="1:11" x14ac:dyDescent="0.3">
      <c r="A8" s="61" t="s">
        <v>345</v>
      </c>
      <c r="B8" s="55">
        <f>Conto_economico!C16</f>
        <v>0</v>
      </c>
      <c r="C8" s="55">
        <f>Conto_economico!D16</f>
        <v>59919742.719999999</v>
      </c>
      <c r="D8" s="55">
        <f>Conto_economico!E16</f>
        <v>552579274.37</v>
      </c>
      <c r="E8" s="55">
        <f>Conto_economico!F16</f>
        <v>66033283.399999999</v>
      </c>
      <c r="F8" s="55">
        <f>Conto_economico!G16</f>
        <v>57231744.829999998</v>
      </c>
      <c r="G8" s="55">
        <f>Conto_economico!H16</f>
        <v>66965188.299999997</v>
      </c>
      <c r="H8" s="55">
        <f>Conto_economico!I16</f>
        <v>64081162.149999999</v>
      </c>
      <c r="I8" s="55">
        <f>Conto_economico!J16</f>
        <v>62219792.479999997</v>
      </c>
      <c r="J8" s="55">
        <f t="shared" si="0"/>
        <v>-1861369.6700000018</v>
      </c>
    </row>
    <row r="9" spans="1:11" s="93" customFormat="1" x14ac:dyDescent="0.3">
      <c r="A9" s="106" t="s">
        <v>366</v>
      </c>
      <c r="B9" s="57">
        <f>Conto_economico!C29</f>
        <v>455796717</v>
      </c>
      <c r="C9" s="57">
        <f>Conto_economico!D29</f>
        <v>85691602.370000005</v>
      </c>
      <c r="D9" s="57">
        <f>Conto_economico!E29</f>
        <v>172678286.08000004</v>
      </c>
      <c r="E9" s="57">
        <f>Conto_economico!F29</f>
        <v>163284971.99999994</v>
      </c>
      <c r="F9" s="57">
        <f>Conto_economico!G29</f>
        <v>197439990.87999994</v>
      </c>
      <c r="G9" s="57">
        <f>Conto_economico!H29</f>
        <v>245845968.39999998</v>
      </c>
      <c r="H9" s="57">
        <f>Conto_economico!I29</f>
        <v>220739877</v>
      </c>
      <c r="I9" s="57">
        <f>Conto_economico!J29</f>
        <v>266867123.90999997</v>
      </c>
      <c r="J9" s="57">
        <f t="shared" si="0"/>
        <v>46127246.909999967</v>
      </c>
      <c r="K9" s="57"/>
    </row>
    <row r="10" spans="1:11" x14ac:dyDescent="0.3">
      <c r="A10" s="40" t="s">
        <v>307</v>
      </c>
      <c r="B10" s="57">
        <f t="shared" ref="B10:E10" si="1">B2-B5</f>
        <v>-242960083</v>
      </c>
      <c r="C10" s="57">
        <f t="shared" si="1"/>
        <v>-2089605.3099999428</v>
      </c>
      <c r="D10" s="57">
        <f t="shared" si="1"/>
        <v>-899253385.79999995</v>
      </c>
      <c r="E10" s="57">
        <f t="shared" si="1"/>
        <v>93171200.99999994</v>
      </c>
      <c r="F10" s="57">
        <f t="shared" ref="F10:I10" si="2">F2-F5</f>
        <v>131118493.87</v>
      </c>
      <c r="G10" s="57">
        <f t="shared" ref="G10:H10" si="3">G2-G5</f>
        <v>142766232.59999996</v>
      </c>
      <c r="H10" s="57">
        <f t="shared" si="3"/>
        <v>108804853.37000006</v>
      </c>
      <c r="I10" s="57">
        <f t="shared" si="2"/>
        <v>155692386.49999994</v>
      </c>
      <c r="J10" s="57">
        <f t="shared" si="0"/>
        <v>46887533.129999876</v>
      </c>
    </row>
    <row r="11" spans="1:11" x14ac:dyDescent="0.3">
      <c r="A11" s="61" t="s">
        <v>308</v>
      </c>
      <c r="B11" s="55">
        <f>Conto_economico!C22-Conto_economico!C23</f>
        <v>-30609022</v>
      </c>
      <c r="C11" s="55">
        <f>Conto_economico!D22-Conto_economico!D23</f>
        <v>-23917949.52</v>
      </c>
      <c r="D11" s="55">
        <f>Conto_economico!E22-Conto_economico!E23</f>
        <v>-33749713.210000001</v>
      </c>
      <c r="E11" s="55">
        <f>Conto_economico!F22-Conto_economico!F23</f>
        <v>-22139021.899999999</v>
      </c>
      <c r="F11" s="55">
        <f>Conto_economico!G22-Conto_economico!G23</f>
        <v>-18609245.030000001</v>
      </c>
      <c r="G11" s="55">
        <f>Conto_economico!H22-Conto_economico!H23</f>
        <v>-17530092.699999999</v>
      </c>
      <c r="H11" s="55">
        <f>Conto_economico!I22-Conto_economico!I23</f>
        <v>-15309333.050000001</v>
      </c>
      <c r="I11" s="55">
        <f>Conto_economico!J22-Conto_economico!J23</f>
        <v>-5453024.0899999999</v>
      </c>
      <c r="J11" s="55">
        <f t="shared" si="0"/>
        <v>9856308.9600000009</v>
      </c>
    </row>
    <row r="12" spans="1:11" x14ac:dyDescent="0.3">
      <c r="A12" s="61" t="s">
        <v>309</v>
      </c>
      <c r="B12" s="56">
        <f>Conto_economico!C25-Conto_economico!C26</f>
        <v>-94582224</v>
      </c>
      <c r="C12" s="56">
        <f>Conto_economico!D25-Conto_economico!D26</f>
        <v>19154103.850000001</v>
      </c>
      <c r="D12" s="56">
        <f>Conto_economico!E25-Conto_economico!E26</f>
        <v>-26663712.539999995</v>
      </c>
      <c r="E12" s="56">
        <f>Conto_economico!F25-Conto_economico!F26</f>
        <v>695739556.10000014</v>
      </c>
      <c r="F12" s="56">
        <f>Conto_economico!G25-Conto_economico!G26</f>
        <v>-35196790.350000001</v>
      </c>
      <c r="G12" s="56">
        <f>Conto_economico!H25-Conto_economico!H26</f>
        <v>-35633749.200000003</v>
      </c>
      <c r="H12" s="56">
        <f>Conto_economico!I25-Conto_economico!I26</f>
        <v>-39787367.060000002</v>
      </c>
      <c r="I12" s="56">
        <f>Conto_economico!J25-Conto_economico!J26</f>
        <v>-82610237.070000008</v>
      </c>
      <c r="J12" s="55">
        <f t="shared" si="0"/>
        <v>-42822870.010000005</v>
      </c>
    </row>
    <row r="13" spans="1:11" x14ac:dyDescent="0.3">
      <c r="A13" s="61" t="s">
        <v>255</v>
      </c>
      <c r="B13" s="56">
        <f>Conto_economico!C24</f>
        <v>1134632</v>
      </c>
      <c r="C13" s="56">
        <f>Conto_economico!D24</f>
        <v>0</v>
      </c>
      <c r="D13" s="56">
        <f>Conto_economico!E24</f>
        <v>-1081245</v>
      </c>
      <c r="E13" s="56">
        <f>Conto_economico!F24</f>
        <v>3155198.9</v>
      </c>
      <c r="F13" s="56">
        <f>Conto_economico!G24</f>
        <v>5442745.9500000002</v>
      </c>
      <c r="G13" s="56">
        <f>Conto_economico!H24</f>
        <v>553778.80000000005</v>
      </c>
      <c r="H13" s="56">
        <f>Conto_economico!I24</f>
        <v>5175450.8499999996</v>
      </c>
      <c r="I13" s="56">
        <f>Conto_economico!J24</f>
        <v>10684143.439999999</v>
      </c>
      <c r="J13" s="55">
        <f t="shared" si="0"/>
        <v>5508692.5899999999</v>
      </c>
    </row>
    <row r="14" spans="1:11" x14ac:dyDescent="0.3">
      <c r="A14" s="40" t="s">
        <v>310</v>
      </c>
      <c r="B14" s="57">
        <f t="shared" ref="B14:E14" si="4">SUM(B10:B13)</f>
        <v>-367016697</v>
      </c>
      <c r="C14" s="57">
        <f t="shared" si="4"/>
        <v>-6853450.9799999408</v>
      </c>
      <c r="D14" s="57">
        <f t="shared" si="4"/>
        <v>-960748056.54999995</v>
      </c>
      <c r="E14" s="57">
        <f t="shared" si="4"/>
        <v>769926934.10000002</v>
      </c>
      <c r="F14" s="57">
        <f t="shared" ref="F14:I14" si="5">SUM(F10:F13)</f>
        <v>82755204.440000013</v>
      </c>
      <c r="G14" s="57">
        <f t="shared" ref="G14:H14" si="6">SUM(G10:G13)</f>
        <v>90156169.499999955</v>
      </c>
      <c r="H14" s="57">
        <f t="shared" si="6"/>
        <v>58883604.110000066</v>
      </c>
      <c r="I14" s="57">
        <f t="shared" si="5"/>
        <v>78313268.779999927</v>
      </c>
      <c r="J14" s="57">
        <f t="shared" si="0"/>
        <v>19429664.66999986</v>
      </c>
    </row>
    <row r="15" spans="1:11" x14ac:dyDescent="0.3">
      <c r="A15" s="61" t="s">
        <v>258</v>
      </c>
      <c r="B15" s="55">
        <f>Conto_economico!C27</f>
        <v>10565817</v>
      </c>
      <c r="C15" s="55">
        <f>Conto_economico!D27</f>
        <v>6045369.9670000002</v>
      </c>
      <c r="D15" s="55">
        <f>Conto_economico!E27</f>
        <v>6213418.0700000003</v>
      </c>
      <c r="E15" s="55">
        <f>Conto_economico!F27</f>
        <v>5301736</v>
      </c>
      <c r="F15" s="55">
        <f>Conto_economico!G27</f>
        <v>4779834.5999999996</v>
      </c>
      <c r="G15" s="55">
        <f>Conto_economico!H27</f>
        <v>4874675.2</v>
      </c>
      <c r="H15" s="55">
        <f>Conto_economico!I27</f>
        <v>5080778.5</v>
      </c>
      <c r="I15" s="55">
        <f>Conto_economico!J27</f>
        <v>4833000.26</v>
      </c>
      <c r="J15" s="55">
        <f t="shared" si="0"/>
        <v>-247778.24000000022</v>
      </c>
    </row>
    <row r="16" spans="1:11" x14ac:dyDescent="0.3">
      <c r="A16" s="60" t="s">
        <v>259</v>
      </c>
      <c r="B16" s="58">
        <f t="shared" ref="B16:E16" si="7">B14-B15</f>
        <v>-377582514</v>
      </c>
      <c r="C16" s="58">
        <f t="shared" si="7"/>
        <v>-12898820.946999941</v>
      </c>
      <c r="D16" s="58">
        <f t="shared" si="7"/>
        <v>-966961474.62</v>
      </c>
      <c r="E16" s="58">
        <f t="shared" si="7"/>
        <v>764625198.10000002</v>
      </c>
      <c r="F16" s="58">
        <f t="shared" ref="F16:I16" si="8">F14-F15</f>
        <v>77975369.840000018</v>
      </c>
      <c r="G16" s="58">
        <f t="shared" ref="G16:H16" si="9">G14-G15</f>
        <v>85281494.299999952</v>
      </c>
      <c r="H16" s="58">
        <f t="shared" si="9"/>
        <v>53802825.610000066</v>
      </c>
      <c r="I16" s="58">
        <f t="shared" si="8"/>
        <v>73480268.519999921</v>
      </c>
      <c r="J16" s="58">
        <f t="shared" si="0"/>
        <v>19677442.909999855</v>
      </c>
    </row>
  </sheetData>
  <conditionalFormatting sqref="B16:E16 I16:J16">
    <cfRule type="cellIs" dxfId="85" priority="17" operator="greaterThan">
      <formula>0</formula>
    </cfRule>
  </conditionalFormatting>
  <conditionalFormatting sqref="B10:E10 B14:E14 I14:J14 I10:J10 J9">
    <cfRule type="cellIs" dxfId="84" priority="16" operator="lessThan">
      <formula>0</formula>
    </cfRule>
  </conditionalFormatting>
  <conditionalFormatting sqref="F16">
    <cfRule type="cellIs" dxfId="83" priority="8" operator="greaterThan">
      <formula>0</formula>
    </cfRule>
  </conditionalFormatting>
  <conditionalFormatting sqref="F14 F10">
    <cfRule type="cellIs" dxfId="82" priority="7" operator="lessThan">
      <formula>0</formula>
    </cfRule>
  </conditionalFormatting>
  <conditionalFormatting sqref="G16">
    <cfRule type="cellIs" dxfId="81" priority="6" operator="greaterThan">
      <formula>0</formula>
    </cfRule>
  </conditionalFormatting>
  <conditionalFormatting sqref="G14 G10">
    <cfRule type="cellIs" dxfId="80" priority="5" operator="lessThan">
      <formula>0</formula>
    </cfRule>
  </conditionalFormatting>
  <conditionalFormatting sqref="B9:G9 K9 I9">
    <cfRule type="cellIs" dxfId="79" priority="4" operator="lessThan">
      <formula>0</formula>
    </cfRule>
  </conditionalFormatting>
  <conditionalFormatting sqref="H16">
    <cfRule type="cellIs" dxfId="78" priority="3" operator="greaterThan">
      <formula>0</formula>
    </cfRule>
  </conditionalFormatting>
  <conditionalFormatting sqref="H14 H10">
    <cfRule type="cellIs" dxfId="77" priority="2" operator="lessThan">
      <formula>0</formula>
    </cfRule>
  </conditionalFormatting>
  <conditionalFormatting sqref="H9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showGridLines="0" topLeftCell="A13" workbookViewId="0">
      <selection activeCell="I21" sqref="I21"/>
    </sheetView>
  </sheetViews>
  <sheetFormatPr defaultRowHeight="14.4" x14ac:dyDescent="0.3"/>
  <cols>
    <col min="1" max="1" width="51.6640625" style="26" bestFit="1" customWidth="1"/>
    <col min="2" max="5" width="12.6640625" bestFit="1" customWidth="1"/>
    <col min="6" max="9" width="12.6640625" style="93" bestFit="1" customWidth="1"/>
    <col min="10" max="11" width="12.6640625" bestFit="1" customWidth="1"/>
  </cols>
  <sheetData>
    <row r="1" spans="1:9" x14ac:dyDescent="0.3">
      <c r="A1" s="63"/>
      <c r="B1" s="85">
        <v>2016</v>
      </c>
      <c r="C1" s="85">
        <v>2017</v>
      </c>
      <c r="D1" s="85">
        <v>2018</v>
      </c>
      <c r="E1" s="85">
        <v>2019</v>
      </c>
      <c r="F1" s="85">
        <v>2020</v>
      </c>
      <c r="G1" s="85">
        <v>2021</v>
      </c>
      <c r="H1" s="85">
        <v>2022</v>
      </c>
      <c r="I1" s="85">
        <v>2023</v>
      </c>
    </row>
    <row r="2" spans="1:9" x14ac:dyDescent="0.3">
      <c r="A2" s="26" t="s">
        <v>212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3">
      <c r="A3" s="26" t="s">
        <v>213</v>
      </c>
      <c r="B3" s="1">
        <v>131927.69</v>
      </c>
      <c r="C3" s="1">
        <v>167927.69</v>
      </c>
      <c r="D3" s="1">
        <v>167927.69</v>
      </c>
      <c r="E3" s="1">
        <v>0</v>
      </c>
      <c r="F3" s="1">
        <v>0</v>
      </c>
      <c r="G3" s="1">
        <v>0</v>
      </c>
      <c r="H3" s="1">
        <v>604426.81000000006</v>
      </c>
      <c r="I3" s="1">
        <v>599438.82999999996</v>
      </c>
    </row>
    <row r="4" spans="1:9" x14ac:dyDescent="0.3">
      <c r="A4" s="26" t="s">
        <v>214</v>
      </c>
      <c r="B4" s="1">
        <v>1910056756.6099999</v>
      </c>
      <c r="C4" s="1">
        <v>2191591396.4899998</v>
      </c>
      <c r="D4" s="1">
        <v>2173132119</v>
      </c>
      <c r="E4" s="1">
        <v>2169113830.8000002</v>
      </c>
      <c r="F4" s="1">
        <v>2123251110.25</v>
      </c>
      <c r="G4" s="1">
        <v>2144111017.2</v>
      </c>
      <c r="H4" s="1">
        <v>2144848895.28</v>
      </c>
      <c r="I4" s="1">
        <v>2151459223.5900002</v>
      </c>
    </row>
    <row r="5" spans="1:9" x14ac:dyDescent="0.3">
      <c r="A5" s="26" t="s">
        <v>228</v>
      </c>
      <c r="B5" s="1">
        <v>110489180.59999999</v>
      </c>
      <c r="C5" s="1">
        <v>114767382.02</v>
      </c>
      <c r="D5" s="1">
        <v>120048788.81</v>
      </c>
      <c r="E5" s="1">
        <v>123203987.7</v>
      </c>
      <c r="F5" s="1">
        <v>128646733.73999999</v>
      </c>
      <c r="G5" s="1">
        <v>129200512.5</v>
      </c>
      <c r="H5" s="1">
        <v>134208243.31999999</v>
      </c>
      <c r="I5" s="1">
        <v>144892386.75999999</v>
      </c>
    </row>
    <row r="6" spans="1:9" x14ac:dyDescent="0.3">
      <c r="A6" s="26" t="s">
        <v>229</v>
      </c>
      <c r="B6" s="1">
        <v>0</v>
      </c>
      <c r="C6" s="1">
        <v>98355.07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x14ac:dyDescent="0.3">
      <c r="A7" s="26" t="s">
        <v>230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x14ac:dyDescent="0.3">
      <c r="A8" s="26" t="s">
        <v>231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</row>
    <row r="9" spans="1:9" x14ac:dyDescent="0.3">
      <c r="A9" s="26" t="s">
        <v>215</v>
      </c>
      <c r="B9" s="1">
        <v>804740045</v>
      </c>
      <c r="C9" s="1">
        <v>709976757</v>
      </c>
      <c r="D9" s="1">
        <v>225157175.52000001</v>
      </c>
      <c r="E9" s="1">
        <v>148061505</v>
      </c>
      <c r="F9" s="1">
        <v>312044710.19</v>
      </c>
      <c r="G9" s="1">
        <v>1078079933.2</v>
      </c>
      <c r="H9" s="1">
        <v>1060952131.55</v>
      </c>
      <c r="I9" s="1">
        <v>996010971.94000006</v>
      </c>
    </row>
    <row r="10" spans="1:9" x14ac:dyDescent="0.3">
      <c r="A10" s="26" t="s">
        <v>232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x14ac:dyDescent="0.3">
      <c r="A11" s="26" t="s">
        <v>216</v>
      </c>
      <c r="B11" s="1">
        <v>884671.05</v>
      </c>
      <c r="C11" s="1">
        <v>884671.05</v>
      </c>
      <c r="D11" s="1">
        <v>884671.05</v>
      </c>
      <c r="E11" s="1">
        <v>29661485.199999999</v>
      </c>
      <c r="F11" s="1">
        <v>884671.05</v>
      </c>
      <c r="G11" s="1">
        <v>884671.05</v>
      </c>
      <c r="H11" s="1">
        <v>43995931.140000001</v>
      </c>
      <c r="I11" s="1">
        <v>6296705.6399999997</v>
      </c>
    </row>
    <row r="12" spans="1:9" x14ac:dyDescent="0.3">
      <c r="A12" s="26" t="s">
        <v>217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x14ac:dyDescent="0.3">
      <c r="A13" s="10" t="s">
        <v>218</v>
      </c>
      <c r="B13" s="11">
        <f t="shared" ref="B13:E13" si="0">SUM(B2:B12)</f>
        <v>2826302580.9499998</v>
      </c>
      <c r="C13" s="11">
        <f t="shared" si="0"/>
        <v>3017486489.3200002</v>
      </c>
      <c r="D13" s="11">
        <f t="shared" si="0"/>
        <v>2519390682.0700002</v>
      </c>
      <c r="E13" s="11">
        <f t="shared" si="0"/>
        <v>2470040808.6999998</v>
      </c>
      <c r="F13" s="11">
        <f t="shared" ref="F13:I13" si="1">SUM(F2:F12)</f>
        <v>2564827225.23</v>
      </c>
      <c r="G13" s="11">
        <f t="shared" ref="G13:H13" si="2">SUM(G2:G12)</f>
        <v>3352276133.9499998</v>
      </c>
      <c r="H13" s="11">
        <f t="shared" si="2"/>
        <v>3384609628.0999999</v>
      </c>
      <c r="I13" s="11">
        <f t="shared" si="1"/>
        <v>3299258726.7600002</v>
      </c>
    </row>
    <row r="14" spans="1:9" x14ac:dyDescent="0.3">
      <c r="A14" s="26" t="s">
        <v>219</v>
      </c>
      <c r="B14" s="1">
        <v>1736428087.5999999</v>
      </c>
      <c r="C14" s="1">
        <v>1736428087.5999999</v>
      </c>
      <c r="D14" s="1">
        <v>1736428087.5999999</v>
      </c>
      <c r="E14" s="1">
        <v>1736428087.5999999</v>
      </c>
      <c r="F14" s="1">
        <v>1736428087.5999999</v>
      </c>
      <c r="G14" s="1">
        <v>1736428087.5999999</v>
      </c>
      <c r="H14" s="1">
        <v>1736428087.5999999</v>
      </c>
      <c r="I14" s="1">
        <v>1736428087.5999999</v>
      </c>
    </row>
    <row r="15" spans="1:9" x14ac:dyDescent="0.3">
      <c r="A15" s="26" t="s">
        <v>220</v>
      </c>
      <c r="B15" s="1">
        <v>413074700.47000003</v>
      </c>
      <c r="C15" s="1">
        <v>318527087.88</v>
      </c>
      <c r="D15" s="1">
        <v>315375762.01999998</v>
      </c>
      <c r="E15" s="1">
        <v>-649868163.79999995</v>
      </c>
      <c r="F15" s="1">
        <v>88080966.299999997</v>
      </c>
      <c r="G15" s="1">
        <v>301626807.60000002</v>
      </c>
      <c r="H15" s="1">
        <v>301626807.60000002</v>
      </c>
      <c r="I15" s="1">
        <v>301626807.60000002</v>
      </c>
    </row>
    <row r="16" spans="1:9" x14ac:dyDescent="0.3">
      <c r="A16" s="26" t="s">
        <v>235</v>
      </c>
      <c r="B16" s="1">
        <v>23262932.07</v>
      </c>
      <c r="C16" s="1">
        <v>23262932.07</v>
      </c>
      <c r="D16" s="1">
        <v>26647775.370000001</v>
      </c>
      <c r="E16" s="1">
        <v>28365324.100000001</v>
      </c>
      <c r="F16" s="1">
        <v>1689256.21</v>
      </c>
      <c r="G16" s="1">
        <v>0</v>
      </c>
      <c r="H16" s="1">
        <v>0</v>
      </c>
      <c r="I16" s="1">
        <v>0</v>
      </c>
    </row>
    <row r="17" spans="1:11" x14ac:dyDescent="0.3">
      <c r="A17" s="26" t="s">
        <v>221</v>
      </c>
      <c r="B17" s="1">
        <v>-377582513.22000003</v>
      </c>
      <c r="C17" s="1">
        <v>-12898820.949999999</v>
      </c>
      <c r="D17" s="1">
        <v>-966961474.62</v>
      </c>
      <c r="E17" s="1">
        <v>764625198</v>
      </c>
      <c r="F17" s="1">
        <v>77975369.840000004</v>
      </c>
      <c r="G17" s="1">
        <v>85281494.099999994</v>
      </c>
      <c r="H17" s="1">
        <v>53802825.609999999</v>
      </c>
      <c r="I17" s="1">
        <v>73480268.519999996</v>
      </c>
    </row>
    <row r="18" spans="1:11" s="93" customFormat="1" x14ac:dyDescent="0.3">
      <c r="A18" s="26" t="s">
        <v>363</v>
      </c>
      <c r="B18" s="1"/>
      <c r="C18" s="1"/>
      <c r="D18" s="1"/>
      <c r="E18" s="1"/>
      <c r="F18" s="1">
        <v>0</v>
      </c>
      <c r="G18" s="1">
        <v>-137154484.90000001</v>
      </c>
      <c r="H18" s="1">
        <v>-51872990.780000001</v>
      </c>
      <c r="I18" s="1">
        <v>1929834.83</v>
      </c>
      <c r="J18" s="1"/>
      <c r="K18" s="1"/>
    </row>
    <row r="19" spans="1:11" s="93" customFormat="1" x14ac:dyDescent="0.3">
      <c r="A19" s="26" t="s">
        <v>364</v>
      </c>
      <c r="B19" s="1"/>
      <c r="C19" s="1"/>
      <c r="D19" s="1"/>
      <c r="E19" s="1"/>
      <c r="F19" s="1">
        <v>0</v>
      </c>
      <c r="G19" s="1">
        <v>0</v>
      </c>
      <c r="H19" s="1">
        <v>0</v>
      </c>
      <c r="I19" s="1">
        <v>0</v>
      </c>
      <c r="J19" s="1"/>
      <c r="K19" s="1"/>
    </row>
    <row r="20" spans="1:11" x14ac:dyDescent="0.3">
      <c r="A20" s="26" t="s">
        <v>222</v>
      </c>
      <c r="B20" s="1">
        <v>20000000</v>
      </c>
      <c r="C20" s="1">
        <v>20000000</v>
      </c>
      <c r="D20" s="1">
        <v>534227772.04000002</v>
      </c>
      <c r="E20" s="1">
        <v>3574901.43</v>
      </c>
      <c r="F20" s="1">
        <v>5775235.8300000001</v>
      </c>
      <c r="G20" s="1">
        <f>24971866.7+20700</f>
        <v>24992566.699999999</v>
      </c>
      <c r="H20" s="1">
        <f>37006727.53+27600</f>
        <v>37034327.530000001</v>
      </c>
      <c r="I20" s="1">
        <f>28816804.46+12351.41</f>
        <v>28829155.870000001</v>
      </c>
    </row>
    <row r="21" spans="1:11" x14ac:dyDescent="0.3">
      <c r="A21" s="26" t="s">
        <v>209</v>
      </c>
      <c r="B21" s="1">
        <v>583849970</v>
      </c>
      <c r="C21" s="1">
        <v>568119682</v>
      </c>
      <c r="D21" s="1">
        <v>532776518.95999998</v>
      </c>
      <c r="E21" s="1">
        <v>463492510.80000001</v>
      </c>
      <c r="F21" s="1">
        <v>381644908.88</v>
      </c>
      <c r="G21" s="1">
        <v>409689644.5</v>
      </c>
      <c r="H21" s="1">
        <v>315372572.31999999</v>
      </c>
      <c r="I21" s="1">
        <v>301986823.57999998</v>
      </c>
    </row>
    <row r="22" spans="1:11" x14ac:dyDescent="0.3">
      <c r="A22" s="26" t="s">
        <v>223</v>
      </c>
      <c r="B22" s="1">
        <v>166422356</v>
      </c>
      <c r="C22" s="1">
        <v>152482479</v>
      </c>
      <c r="D22" s="1">
        <v>168983383.83000001</v>
      </c>
      <c r="E22" s="1">
        <v>46817876.299999997</v>
      </c>
      <c r="F22" s="1">
        <v>77544390.450000003</v>
      </c>
      <c r="G22" s="1">
        <v>71346169.599999994</v>
      </c>
      <c r="H22" s="1">
        <v>63799902.950000003</v>
      </c>
      <c r="I22" s="1">
        <v>88325704.340000004</v>
      </c>
    </row>
    <row r="23" spans="1:11" x14ac:dyDescent="0.3">
      <c r="A23" s="26" t="s">
        <v>224</v>
      </c>
      <c r="B23" s="1">
        <v>102664991</v>
      </c>
      <c r="C23" s="1">
        <v>88829685</v>
      </c>
      <c r="D23" s="1">
        <v>87751863.359999999</v>
      </c>
      <c r="E23" s="1">
        <v>14641577.699999999</v>
      </c>
      <c r="F23" s="1">
        <v>13212800.029999999</v>
      </c>
      <c r="G23" s="1">
        <v>12819398.300000001</v>
      </c>
      <c r="H23" s="1">
        <v>24739037.190000001</v>
      </c>
      <c r="I23" s="1">
        <v>36528350.329999998</v>
      </c>
    </row>
    <row r="24" spans="1:11" x14ac:dyDescent="0.3">
      <c r="A24" s="26" t="s">
        <v>225</v>
      </c>
      <c r="B24" s="1">
        <v>158770177</v>
      </c>
      <c r="C24" s="1">
        <v>118724776</v>
      </c>
      <c r="D24" s="1">
        <v>75757051.359999999</v>
      </c>
      <c r="E24" s="1">
        <v>81950039.909999996</v>
      </c>
      <c r="F24" s="1">
        <v>100865600.39</v>
      </c>
      <c r="G24" s="1">
        <v>714783288.20000005</v>
      </c>
      <c r="H24" s="1">
        <v>665986025.24000001</v>
      </c>
      <c r="I24" s="1">
        <v>623146484.79999995</v>
      </c>
      <c r="J24" s="1"/>
      <c r="K24" s="1"/>
    </row>
    <row r="25" spans="1:11" x14ac:dyDescent="0.3">
      <c r="A25" s="26" t="s">
        <v>226</v>
      </c>
      <c r="B25" s="112">
        <f>B13-2803627769</f>
        <v>22674811.949999809</v>
      </c>
      <c r="C25" s="1">
        <v>27273513.780000001</v>
      </c>
      <c r="D25" s="1">
        <v>35051717.619999997</v>
      </c>
      <c r="E25" s="1">
        <v>8378780.7000000002</v>
      </c>
      <c r="F25" s="1">
        <v>83299865.909999996</v>
      </c>
      <c r="G25" s="1">
        <v>132463162.09999999</v>
      </c>
      <c r="H25" s="1">
        <v>237693032.84</v>
      </c>
      <c r="I25" s="1">
        <v>106977209.29000001</v>
      </c>
    </row>
    <row r="26" spans="1:11" x14ac:dyDescent="0.3">
      <c r="A26" s="62" t="s">
        <v>227</v>
      </c>
      <c r="B26" s="3">
        <f t="shared" ref="B26:E26" si="3">SUM(B14:B25)-B16</f>
        <v>2826302580.7999997</v>
      </c>
      <c r="C26" s="3">
        <f t="shared" si="3"/>
        <v>3017486490.3099999</v>
      </c>
      <c r="D26" s="3">
        <f t="shared" si="3"/>
        <v>2519390682.1700001</v>
      </c>
      <c r="E26" s="3">
        <f t="shared" si="3"/>
        <v>2470040808.6399999</v>
      </c>
      <c r="F26" s="3">
        <f t="shared" ref="F26:I26" si="4">SUM(F14:F25)-F16</f>
        <v>2564827225.2299995</v>
      </c>
      <c r="G26" s="3">
        <f t="shared" ref="G26" si="5">SUM(G14:G25)-G16</f>
        <v>3352276133.7999997</v>
      </c>
      <c r="H26" s="3">
        <f t="shared" ref="H26" si="6">SUM(H14:H25)-H16</f>
        <v>3384609628.0999994</v>
      </c>
      <c r="I26" s="3">
        <f t="shared" si="4"/>
        <v>3299258726.7599993</v>
      </c>
    </row>
    <row r="27" spans="1:11" x14ac:dyDescent="0.3">
      <c r="A27" s="10" t="s">
        <v>267</v>
      </c>
      <c r="B27" s="11">
        <f t="shared" ref="B27:I27" si="7">B14+B15+B17+B18+B19</f>
        <v>1771920274.8499997</v>
      </c>
      <c r="C27" s="11">
        <f t="shared" si="7"/>
        <v>2042056354.53</v>
      </c>
      <c r="D27" s="11">
        <f t="shared" si="7"/>
        <v>1084842375</v>
      </c>
      <c r="E27" s="11">
        <f t="shared" si="7"/>
        <v>1851185121.8</v>
      </c>
      <c r="F27" s="11">
        <f t="shared" si="7"/>
        <v>1902484423.7399998</v>
      </c>
      <c r="G27" s="11">
        <f t="shared" ref="G27:H27" si="8">G14+G15+G17+G18+G19</f>
        <v>1986181904.3999996</v>
      </c>
      <c r="H27" s="11">
        <f t="shared" si="8"/>
        <v>2039984730.0299997</v>
      </c>
      <c r="I27" s="11">
        <f t="shared" si="7"/>
        <v>2113464998.5499997</v>
      </c>
    </row>
    <row r="28" spans="1:11" x14ac:dyDescent="0.3">
      <c r="D28" s="95">
        <f>D27/D26*100</f>
        <v>43.059712123155279</v>
      </c>
      <c r="E28" s="95">
        <f>E27/E26*100</f>
        <v>74.945527836006036</v>
      </c>
      <c r="F28" s="95">
        <f>F27/F26*100</f>
        <v>74.175929085024251</v>
      </c>
      <c r="G28" s="95">
        <f>G27/G26*100</f>
        <v>59.248755923592341</v>
      </c>
      <c r="H28" s="95">
        <f>H27/H26*100</f>
        <v>60.272378625099378</v>
      </c>
      <c r="I28" s="95">
        <f>I27/I26*100</f>
        <v>64.058783308137365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8"/>
  <sheetViews>
    <sheetView topLeftCell="A61" workbookViewId="0">
      <selection activeCell="E165" sqref="E165"/>
    </sheetView>
  </sheetViews>
  <sheetFormatPr defaultRowHeight="14.4" x14ac:dyDescent="0.3"/>
  <cols>
    <col min="2" max="2" width="83.33203125" bestFit="1" customWidth="1"/>
    <col min="3" max="3" width="11.88671875" customWidth="1"/>
    <col min="6" max="7" width="9.109375" style="93"/>
    <col min="8" max="10" width="8.88671875" style="93"/>
    <col min="11" max="11" width="9.109375" style="93"/>
  </cols>
  <sheetData>
    <row r="1" spans="1:11" x14ac:dyDescent="0.3">
      <c r="A1" s="136" t="s">
        <v>210</v>
      </c>
      <c r="B1" s="136"/>
      <c r="C1" s="2" t="s">
        <v>211</v>
      </c>
      <c r="D1" s="2">
        <v>2016</v>
      </c>
      <c r="E1" s="88">
        <v>2017</v>
      </c>
      <c r="F1" s="88">
        <v>2018</v>
      </c>
      <c r="G1" s="88">
        <v>2019</v>
      </c>
      <c r="H1" s="88">
        <v>2020</v>
      </c>
      <c r="I1" s="88">
        <v>2021</v>
      </c>
      <c r="J1" s="88">
        <v>2022</v>
      </c>
      <c r="K1" s="88">
        <v>2023</v>
      </c>
    </row>
    <row r="2" spans="1:11" x14ac:dyDescent="0.3">
      <c r="A2" t="s">
        <v>77</v>
      </c>
    </row>
    <row r="3" spans="1:11" x14ac:dyDescent="0.3">
      <c r="A3" s="8" t="s">
        <v>78</v>
      </c>
      <c r="B3" s="8" t="s">
        <v>79</v>
      </c>
      <c r="C3" s="9">
        <v>48</v>
      </c>
      <c r="D3" s="7">
        <v>35.47</v>
      </c>
      <c r="E3" s="7">
        <v>41.53</v>
      </c>
      <c r="F3" s="94">
        <v>34.97</v>
      </c>
      <c r="G3" s="94">
        <v>33.49</v>
      </c>
      <c r="H3" s="94">
        <v>34.299999999999997</v>
      </c>
      <c r="I3" s="94">
        <v>33.94</v>
      </c>
      <c r="J3" s="94">
        <v>33.93</v>
      </c>
      <c r="K3" s="94">
        <v>29.41</v>
      </c>
    </row>
    <row r="4" spans="1:11" x14ac:dyDescent="0.3">
      <c r="A4" t="s">
        <v>80</v>
      </c>
      <c r="D4" s="7"/>
      <c r="E4" s="7"/>
      <c r="F4" s="94"/>
      <c r="G4" s="94"/>
      <c r="H4" s="94"/>
      <c r="I4" s="94"/>
      <c r="J4" s="94"/>
      <c r="K4" s="94"/>
    </row>
    <row r="5" spans="1:11" x14ac:dyDescent="0.3">
      <c r="A5" t="s">
        <v>81</v>
      </c>
      <c r="B5" t="s">
        <v>82</v>
      </c>
      <c r="D5" s="7">
        <v>98.52</v>
      </c>
      <c r="E5" s="7">
        <v>92.41</v>
      </c>
      <c r="F5" s="94">
        <v>116.22</v>
      </c>
      <c r="G5" s="94">
        <v>97.1</v>
      </c>
      <c r="H5" s="94">
        <v>98.24</v>
      </c>
      <c r="I5" s="94">
        <v>93.19</v>
      </c>
      <c r="J5" s="94">
        <v>90.96</v>
      </c>
      <c r="K5" s="94">
        <v>89.02</v>
      </c>
    </row>
    <row r="6" spans="1:11" x14ac:dyDescent="0.3">
      <c r="A6" t="s">
        <v>83</v>
      </c>
      <c r="B6" t="s">
        <v>84</v>
      </c>
      <c r="D6" s="7">
        <v>98.52</v>
      </c>
      <c r="E6" s="7">
        <v>86.96</v>
      </c>
      <c r="F6" s="94">
        <v>111.58</v>
      </c>
      <c r="G6" s="94">
        <v>97.14</v>
      </c>
      <c r="H6" s="94">
        <v>98.2</v>
      </c>
      <c r="I6" s="94">
        <v>93.19</v>
      </c>
      <c r="J6" s="94">
        <v>90.24</v>
      </c>
      <c r="K6" s="94">
        <v>87</v>
      </c>
    </row>
    <row r="7" spans="1:11" x14ac:dyDescent="0.3">
      <c r="A7" t="s">
        <v>85</v>
      </c>
      <c r="B7" t="s">
        <v>86</v>
      </c>
      <c r="D7" s="7">
        <v>53.46</v>
      </c>
      <c r="E7" s="7">
        <v>52.56</v>
      </c>
      <c r="F7" s="94">
        <v>76.739999999999995</v>
      </c>
      <c r="G7" s="94">
        <v>55.09</v>
      </c>
      <c r="H7" s="94">
        <v>48.05</v>
      </c>
      <c r="I7" s="94">
        <v>45.29</v>
      </c>
      <c r="J7" s="94">
        <v>46.83</v>
      </c>
      <c r="K7" s="94">
        <v>45.8</v>
      </c>
    </row>
    <row r="8" spans="1:11" x14ac:dyDescent="0.3">
      <c r="A8" t="s">
        <v>87</v>
      </c>
      <c r="B8" t="s">
        <v>88</v>
      </c>
      <c r="D8" s="7">
        <v>53.46</v>
      </c>
      <c r="E8" s="7">
        <v>49.46</v>
      </c>
      <c r="F8" s="94">
        <v>73.680000000000007</v>
      </c>
      <c r="G8" s="94">
        <v>55.11</v>
      </c>
      <c r="H8" s="94">
        <v>48.04</v>
      </c>
      <c r="I8" s="94">
        <v>45.29</v>
      </c>
      <c r="J8" s="94">
        <v>46.46</v>
      </c>
      <c r="K8" s="94">
        <v>44.76</v>
      </c>
    </row>
    <row r="9" spans="1:11" x14ac:dyDescent="0.3">
      <c r="A9" t="s">
        <v>89</v>
      </c>
      <c r="B9" t="s">
        <v>90</v>
      </c>
      <c r="D9" s="7">
        <v>36.369999999999997</v>
      </c>
      <c r="E9" s="7">
        <v>41.14</v>
      </c>
      <c r="F9" s="94">
        <v>38.1</v>
      </c>
      <c r="G9" s="94">
        <v>87.75</v>
      </c>
      <c r="H9" s="94">
        <v>30.6</v>
      </c>
      <c r="I9" s="94">
        <v>30.45</v>
      </c>
      <c r="J9" s="94">
        <v>53.64</v>
      </c>
      <c r="K9" s="94">
        <v>37.340000000000003</v>
      </c>
    </row>
    <row r="10" spans="1:11" x14ac:dyDescent="0.3">
      <c r="A10" t="s">
        <v>91</v>
      </c>
      <c r="B10" t="s">
        <v>92</v>
      </c>
      <c r="D10" s="7">
        <v>36.369999999999997</v>
      </c>
      <c r="E10" s="7">
        <v>40.83</v>
      </c>
      <c r="F10" s="94">
        <v>37.89</v>
      </c>
      <c r="G10" s="94">
        <v>87.75</v>
      </c>
      <c r="H10" s="94">
        <v>30.6</v>
      </c>
      <c r="I10" s="94">
        <v>30.45</v>
      </c>
      <c r="J10" s="94">
        <v>53.41</v>
      </c>
      <c r="K10" s="94">
        <v>36.82</v>
      </c>
    </row>
    <row r="11" spans="1:11" x14ac:dyDescent="0.3">
      <c r="A11" t="s">
        <v>93</v>
      </c>
      <c r="B11" t="s">
        <v>94</v>
      </c>
      <c r="D11" s="7">
        <v>16.23</v>
      </c>
      <c r="E11" s="7">
        <v>20.2</v>
      </c>
      <c r="F11" s="94">
        <v>18.309999999999999</v>
      </c>
      <c r="G11" s="94">
        <v>40</v>
      </c>
      <c r="H11" s="94">
        <v>12.45</v>
      </c>
      <c r="I11" s="94">
        <v>19.989999999999998</v>
      </c>
      <c r="J11" s="94">
        <v>19.760000000000002</v>
      </c>
      <c r="K11" s="94">
        <v>21.11</v>
      </c>
    </row>
    <row r="12" spans="1:11" x14ac:dyDescent="0.3">
      <c r="A12" s="8" t="s">
        <v>95</v>
      </c>
      <c r="B12" s="8" t="s">
        <v>96</v>
      </c>
      <c r="C12" s="9">
        <v>22</v>
      </c>
      <c r="D12" s="7">
        <v>16.23</v>
      </c>
      <c r="E12" s="7">
        <v>20.05</v>
      </c>
      <c r="F12" s="94">
        <v>18.21</v>
      </c>
      <c r="G12" s="94">
        <v>40</v>
      </c>
      <c r="H12" s="94">
        <v>12.45</v>
      </c>
      <c r="I12" s="94">
        <v>19.989999999999998</v>
      </c>
      <c r="J12" s="94">
        <v>19.670000000000002</v>
      </c>
      <c r="K12" s="94">
        <v>20.81</v>
      </c>
    </row>
    <row r="13" spans="1:11" x14ac:dyDescent="0.3">
      <c r="A13" t="s">
        <v>97</v>
      </c>
      <c r="D13" s="7"/>
      <c r="E13" s="7"/>
      <c r="F13" s="94"/>
      <c r="G13" s="94"/>
      <c r="H13" s="94"/>
      <c r="I13" s="94"/>
      <c r="J13" s="94"/>
      <c r="K13" s="94"/>
    </row>
    <row r="14" spans="1:11" x14ac:dyDescent="0.3">
      <c r="A14" t="s">
        <v>98</v>
      </c>
      <c r="B14" t="s">
        <v>99</v>
      </c>
      <c r="D14" s="7">
        <v>81.95</v>
      </c>
      <c r="E14" s="7">
        <v>0.35</v>
      </c>
      <c r="F14" s="94">
        <v>78.58</v>
      </c>
      <c r="G14" s="94">
        <v>62.7</v>
      </c>
      <c r="H14" s="94">
        <v>50.54</v>
      </c>
      <c r="I14" s="94">
        <v>34.15</v>
      </c>
      <c r="J14" s="94">
        <v>14.6</v>
      </c>
      <c r="K14" s="94">
        <v>0</v>
      </c>
    </row>
    <row r="15" spans="1:11" x14ac:dyDescent="0.3">
      <c r="A15" s="8" t="s">
        <v>100</v>
      </c>
      <c r="B15" s="8" t="s">
        <v>101</v>
      </c>
      <c r="C15" s="9">
        <v>0</v>
      </c>
      <c r="D15" s="7">
        <v>57.77</v>
      </c>
      <c r="E15" s="7">
        <v>96.93</v>
      </c>
      <c r="F15" s="94">
        <v>63.8</v>
      </c>
      <c r="G15" s="94">
        <v>59.81</v>
      </c>
      <c r="H15" s="94">
        <v>16.68</v>
      </c>
      <c r="I15" s="94">
        <v>32.799999999999997</v>
      </c>
      <c r="J15" s="94">
        <v>0</v>
      </c>
      <c r="K15" s="94">
        <v>0</v>
      </c>
    </row>
    <row r="16" spans="1:11" x14ac:dyDescent="0.3">
      <c r="A16" t="s">
        <v>102</v>
      </c>
      <c r="D16" s="7"/>
      <c r="E16" s="7"/>
      <c r="F16" s="94"/>
      <c r="G16" s="94"/>
      <c r="H16" s="94"/>
      <c r="I16" s="94"/>
      <c r="J16" s="94"/>
      <c r="K16" s="94"/>
    </row>
    <row r="17" spans="1:11" x14ac:dyDescent="0.3">
      <c r="A17" t="s">
        <v>103</v>
      </c>
      <c r="B17" t="s">
        <v>104</v>
      </c>
      <c r="D17" s="7">
        <v>26.31</v>
      </c>
      <c r="E17" s="7">
        <v>30.54</v>
      </c>
      <c r="F17" s="94">
        <v>36.15</v>
      </c>
      <c r="G17" s="94">
        <v>33.57</v>
      </c>
      <c r="H17" s="94">
        <v>33.47</v>
      </c>
      <c r="I17" s="94">
        <v>33.18</v>
      </c>
      <c r="J17" s="94">
        <v>30.59</v>
      </c>
      <c r="K17" s="94">
        <v>26.75</v>
      </c>
    </row>
    <row r="18" spans="1:11" x14ac:dyDescent="0.3">
      <c r="A18" t="s">
        <v>105</v>
      </c>
      <c r="B18" t="s">
        <v>106</v>
      </c>
      <c r="D18" s="7">
        <v>7.79</v>
      </c>
      <c r="E18" s="7">
        <v>7.99</v>
      </c>
      <c r="F18" s="94">
        <v>14.06</v>
      </c>
      <c r="G18" s="94">
        <v>10.88</v>
      </c>
      <c r="H18" s="94">
        <v>14.55</v>
      </c>
      <c r="I18" s="94">
        <v>24.07</v>
      </c>
      <c r="J18" s="94">
        <v>11.8</v>
      </c>
      <c r="K18" s="94">
        <v>10.46</v>
      </c>
    </row>
    <row r="19" spans="1:11" x14ac:dyDescent="0.3">
      <c r="A19" t="s">
        <v>107</v>
      </c>
      <c r="B19" t="s">
        <v>108</v>
      </c>
      <c r="D19" s="7">
        <v>0.18</v>
      </c>
      <c r="E19" s="7">
        <v>0.17</v>
      </c>
      <c r="F19" s="94">
        <v>0.09</v>
      </c>
      <c r="G19" s="94">
        <v>0.03</v>
      </c>
      <c r="H19" s="94">
        <v>7.0000000000000007E-2</v>
      </c>
      <c r="I19" s="94">
        <v>0.12</v>
      </c>
      <c r="J19" s="94">
        <v>0.62</v>
      </c>
      <c r="K19" s="94">
        <v>1.93</v>
      </c>
    </row>
    <row r="20" spans="1:11" x14ac:dyDescent="0.3">
      <c r="A20" t="s">
        <v>109</v>
      </c>
      <c r="B20" t="s">
        <v>110</v>
      </c>
      <c r="D20" s="7">
        <v>321.74</v>
      </c>
      <c r="E20" s="7">
        <v>321.19</v>
      </c>
      <c r="F20" s="94">
        <v>339.64</v>
      </c>
      <c r="G20" s="94">
        <v>298.26</v>
      </c>
      <c r="H20" s="94">
        <v>289.10000000000002</v>
      </c>
      <c r="I20" s="94">
        <v>311.06</v>
      </c>
      <c r="J20" s="94">
        <v>276.83</v>
      </c>
      <c r="K20" s="94">
        <v>268.3</v>
      </c>
    </row>
    <row r="21" spans="1:11" x14ac:dyDescent="0.3">
      <c r="A21" t="s">
        <v>111</v>
      </c>
      <c r="D21" s="7"/>
      <c r="E21" s="7"/>
      <c r="F21" s="94"/>
      <c r="G21" s="94"/>
      <c r="H21" s="94"/>
      <c r="I21" s="94"/>
      <c r="J21" s="94"/>
      <c r="K21" s="94"/>
    </row>
    <row r="22" spans="1:11" x14ac:dyDescent="0.3">
      <c r="A22" t="s">
        <v>112</v>
      </c>
      <c r="B22" t="s">
        <v>113</v>
      </c>
      <c r="D22" s="7">
        <v>31.24</v>
      </c>
      <c r="E22" s="7">
        <v>38.57</v>
      </c>
      <c r="F22" s="94">
        <v>39.299999999999997</v>
      </c>
      <c r="G22" s="94">
        <v>44.03</v>
      </c>
      <c r="H22" s="94">
        <v>47.06</v>
      </c>
      <c r="I22" s="94">
        <v>43.89</v>
      </c>
      <c r="J22" s="94">
        <v>47.85</v>
      </c>
      <c r="K22" s="94">
        <v>46.39</v>
      </c>
    </row>
    <row r="23" spans="1:11" x14ac:dyDescent="0.3">
      <c r="A23" t="s">
        <v>114</v>
      </c>
      <c r="D23" s="7"/>
      <c r="E23" s="7"/>
      <c r="F23" s="94"/>
      <c r="G23" s="94"/>
      <c r="H23" s="94"/>
      <c r="I23" s="94"/>
      <c r="J23" s="94"/>
      <c r="K23" s="94"/>
    </row>
    <row r="24" spans="1:11" x14ac:dyDescent="0.3">
      <c r="A24" t="s">
        <v>115</v>
      </c>
      <c r="B24" t="s">
        <v>116</v>
      </c>
      <c r="D24" s="7">
        <v>6.73</v>
      </c>
      <c r="E24" s="7">
        <v>6.11</v>
      </c>
      <c r="F24" s="94">
        <v>6.57</v>
      </c>
      <c r="G24" s="94">
        <v>5.99</v>
      </c>
      <c r="H24" s="94">
        <v>4.6900000000000004</v>
      </c>
      <c r="I24" s="94">
        <v>3.93</v>
      </c>
      <c r="J24" s="94">
        <v>3.51</v>
      </c>
      <c r="K24" s="94">
        <v>3.08</v>
      </c>
    </row>
    <row r="25" spans="1:11" x14ac:dyDescent="0.3">
      <c r="A25" t="s">
        <v>117</v>
      </c>
      <c r="B25" t="s">
        <v>118</v>
      </c>
      <c r="D25" s="7">
        <v>17.690000000000001</v>
      </c>
      <c r="E25" s="7">
        <v>22.28</v>
      </c>
      <c r="F25" s="94">
        <v>16.559999999999999</v>
      </c>
      <c r="G25" s="94">
        <v>18.3</v>
      </c>
      <c r="H25" s="94">
        <v>20.48</v>
      </c>
      <c r="I25" s="94">
        <v>16.14</v>
      </c>
      <c r="J25" s="94">
        <v>6.26</v>
      </c>
      <c r="K25" s="94">
        <v>0</v>
      </c>
    </row>
    <row r="26" spans="1:11" x14ac:dyDescent="0.3">
      <c r="A26" t="s">
        <v>119</v>
      </c>
      <c r="B26" t="s">
        <v>120</v>
      </c>
      <c r="D26" s="7">
        <v>0</v>
      </c>
      <c r="E26" s="7">
        <v>0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</row>
    <row r="27" spans="1:11" x14ac:dyDescent="0.3">
      <c r="A27" t="s">
        <v>121</v>
      </c>
      <c r="D27" s="7"/>
      <c r="E27" s="7"/>
      <c r="F27" s="94"/>
      <c r="G27" s="94"/>
      <c r="H27" s="94"/>
      <c r="I27" s="94"/>
      <c r="J27" s="94"/>
      <c r="K27" s="94"/>
    </row>
    <row r="28" spans="1:11" x14ac:dyDescent="0.3">
      <c r="A28" t="s">
        <v>122</v>
      </c>
      <c r="B28" t="s">
        <v>123</v>
      </c>
      <c r="D28" s="7">
        <v>4.6100000000000003</v>
      </c>
      <c r="E28" s="7">
        <v>4.3600000000000003</v>
      </c>
      <c r="F28" s="94">
        <v>4.43</v>
      </c>
      <c r="G28" s="94">
        <v>2.2200000000000002</v>
      </c>
      <c r="H28" s="94">
        <v>4.3600000000000003</v>
      </c>
      <c r="I28" s="94">
        <v>6.19</v>
      </c>
      <c r="J28" s="94">
        <v>11.38</v>
      </c>
      <c r="K28" s="94">
        <v>20.64</v>
      </c>
    </row>
    <row r="29" spans="1:11" x14ac:dyDescent="0.3">
      <c r="A29" t="s">
        <v>124</v>
      </c>
      <c r="B29" t="s">
        <v>125</v>
      </c>
      <c r="D29" s="7">
        <v>59.71</v>
      </c>
      <c r="E29" s="7">
        <v>54.07</v>
      </c>
      <c r="F29" s="94">
        <v>49.99</v>
      </c>
      <c r="G29" s="94">
        <v>23.39</v>
      </c>
      <c r="H29" s="94">
        <v>42.82</v>
      </c>
      <c r="I29" s="94">
        <v>74.05</v>
      </c>
      <c r="J29" s="94">
        <v>134.19999999999999</v>
      </c>
      <c r="K29" s="94">
        <v>256.05</v>
      </c>
    </row>
    <row r="30" spans="1:11" x14ac:dyDescent="0.3">
      <c r="A30" t="s">
        <v>126</v>
      </c>
      <c r="B30" t="s">
        <v>127</v>
      </c>
      <c r="D30" s="7">
        <v>3.61</v>
      </c>
      <c r="E30" s="7">
        <v>0</v>
      </c>
      <c r="F30" s="94">
        <v>0</v>
      </c>
      <c r="G30" s="94">
        <v>0</v>
      </c>
      <c r="H30" s="94">
        <v>2.62</v>
      </c>
      <c r="I30" s="94">
        <v>0</v>
      </c>
      <c r="J30" s="94">
        <v>16.11</v>
      </c>
      <c r="K30" s="94">
        <v>79.8</v>
      </c>
    </row>
    <row r="31" spans="1:11" x14ac:dyDescent="0.3">
      <c r="A31" t="s">
        <v>128</v>
      </c>
      <c r="B31" t="s">
        <v>129</v>
      </c>
      <c r="D31" s="7">
        <v>63.32</v>
      </c>
      <c r="E31" s="7">
        <v>54.07</v>
      </c>
      <c r="F31" s="94">
        <v>49.99</v>
      </c>
      <c r="G31" s="94">
        <v>23.39</v>
      </c>
      <c r="H31" s="94">
        <v>45.44</v>
      </c>
      <c r="I31" s="94">
        <v>74.05</v>
      </c>
      <c r="J31" s="94">
        <v>150.31</v>
      </c>
      <c r="K31" s="94">
        <v>335.85</v>
      </c>
    </row>
    <row r="32" spans="1:11" x14ac:dyDescent="0.3">
      <c r="A32" t="s">
        <v>130</v>
      </c>
      <c r="B32" t="s">
        <v>131</v>
      </c>
      <c r="D32" s="7">
        <v>489.62</v>
      </c>
      <c r="E32" s="7">
        <v>68.25</v>
      </c>
      <c r="F32" s="94">
        <v>89.35</v>
      </c>
      <c r="G32" s="94">
        <v>40.94</v>
      </c>
      <c r="H32" s="94">
        <v>60.15</v>
      </c>
      <c r="I32" s="94">
        <v>279.88</v>
      </c>
      <c r="J32" s="94">
        <v>93.97</v>
      </c>
      <c r="K32" s="94">
        <v>420.51</v>
      </c>
    </row>
    <row r="33" spans="1:11" x14ac:dyDescent="0.3">
      <c r="A33" t="s">
        <v>132</v>
      </c>
      <c r="B33" t="s">
        <v>133</v>
      </c>
      <c r="D33" s="7">
        <v>0</v>
      </c>
      <c r="E33" s="7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</row>
    <row r="34" spans="1:11" x14ac:dyDescent="0.3">
      <c r="A34" t="s">
        <v>134</v>
      </c>
      <c r="B34" t="s">
        <v>135</v>
      </c>
      <c r="D34" s="7">
        <v>0</v>
      </c>
      <c r="E34" s="7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</row>
    <row r="35" spans="1:11" x14ac:dyDescent="0.3">
      <c r="A35" t="s">
        <v>136</v>
      </c>
      <c r="D35" s="7"/>
      <c r="E35" s="7"/>
      <c r="F35" s="94"/>
      <c r="G35" s="94"/>
      <c r="H35" s="94"/>
      <c r="I35" s="94"/>
      <c r="J35" s="94"/>
      <c r="K35" s="94"/>
    </row>
    <row r="36" spans="1:11" x14ac:dyDescent="0.3">
      <c r="A36" t="s">
        <v>137</v>
      </c>
      <c r="B36" t="s">
        <v>138</v>
      </c>
      <c r="D36" s="7">
        <v>58.18</v>
      </c>
      <c r="E36" s="7">
        <v>52.75</v>
      </c>
      <c r="F36" s="94">
        <v>48.43</v>
      </c>
      <c r="G36" s="94">
        <v>99.5</v>
      </c>
      <c r="H36" s="94">
        <v>79.14</v>
      </c>
      <c r="I36" s="94">
        <v>72.819999999999993</v>
      </c>
      <c r="J36" s="94">
        <v>70.069999999999993</v>
      </c>
      <c r="K36" s="94">
        <v>71.83</v>
      </c>
    </row>
    <row r="37" spans="1:11" x14ac:dyDescent="0.3">
      <c r="A37" t="s">
        <v>139</v>
      </c>
      <c r="B37" t="s">
        <v>140</v>
      </c>
      <c r="D37" s="7">
        <v>25.03</v>
      </c>
      <c r="E37" s="7">
        <v>31.75</v>
      </c>
      <c r="F37" s="94">
        <v>57.85</v>
      </c>
      <c r="G37" s="94">
        <v>99.67</v>
      </c>
      <c r="H37" s="94">
        <v>97.11</v>
      </c>
      <c r="I37" s="94">
        <v>88.85</v>
      </c>
      <c r="J37" s="94">
        <v>89.23</v>
      </c>
      <c r="K37" s="94">
        <v>83.37</v>
      </c>
    </row>
    <row r="38" spans="1:11" x14ac:dyDescent="0.3">
      <c r="A38" t="s">
        <v>141</v>
      </c>
      <c r="B38" t="s">
        <v>142</v>
      </c>
      <c r="D38" s="7">
        <v>0</v>
      </c>
      <c r="E38" s="7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</row>
    <row r="39" spans="1:11" x14ac:dyDescent="0.3">
      <c r="A39" t="s">
        <v>143</v>
      </c>
      <c r="B39" t="s">
        <v>144</v>
      </c>
      <c r="D39" s="7">
        <v>29.15</v>
      </c>
      <c r="E39" s="7">
        <v>23.17</v>
      </c>
      <c r="F39" s="94">
        <v>36.4</v>
      </c>
      <c r="G39" s="94">
        <v>100</v>
      </c>
      <c r="H39" s="94">
        <v>59.49</v>
      </c>
      <c r="I39" s="94">
        <v>61.04</v>
      </c>
      <c r="J39" s="94">
        <v>40.58</v>
      </c>
      <c r="K39" s="94">
        <v>49.13</v>
      </c>
    </row>
    <row r="40" spans="1:11" x14ac:dyDescent="0.3">
      <c r="A40" t="s">
        <v>145</v>
      </c>
      <c r="B40" t="s">
        <v>146</v>
      </c>
      <c r="D40" s="7">
        <v>77.53</v>
      </c>
      <c r="E40" s="7">
        <v>45.5</v>
      </c>
      <c r="F40" s="94">
        <v>54.36</v>
      </c>
      <c r="G40" s="94">
        <v>100</v>
      </c>
      <c r="H40" s="94">
        <v>94.1</v>
      </c>
      <c r="I40" s="94">
        <v>51.55</v>
      </c>
      <c r="J40" s="94">
        <v>53.68</v>
      </c>
      <c r="K40" s="94">
        <v>16.739999999999998</v>
      </c>
    </row>
    <row r="41" spans="1:11" x14ac:dyDescent="0.3">
      <c r="A41" t="s">
        <v>147</v>
      </c>
      <c r="B41" t="s">
        <v>148</v>
      </c>
      <c r="D41" s="7">
        <v>0</v>
      </c>
      <c r="E41" s="7">
        <v>0</v>
      </c>
      <c r="F41" s="94">
        <v>0</v>
      </c>
      <c r="G41" s="94">
        <v>0</v>
      </c>
      <c r="H41" s="94">
        <v>0</v>
      </c>
      <c r="I41" s="94">
        <v>0</v>
      </c>
      <c r="J41" s="94">
        <v>0</v>
      </c>
      <c r="K41" s="94">
        <v>0</v>
      </c>
    </row>
    <row r="42" spans="1:11" x14ac:dyDescent="0.3">
      <c r="A42" t="s">
        <v>149</v>
      </c>
      <c r="D42" s="7"/>
      <c r="E42" s="7"/>
      <c r="F42" s="94"/>
      <c r="G42" s="94"/>
      <c r="H42" s="94"/>
      <c r="I42" s="94"/>
      <c r="J42" s="94"/>
      <c r="K42" s="94"/>
    </row>
    <row r="43" spans="1:11" x14ac:dyDescent="0.3">
      <c r="A43" t="s">
        <v>150</v>
      </c>
      <c r="B43" t="s">
        <v>151</v>
      </c>
      <c r="D43" s="7">
        <v>41.43</v>
      </c>
      <c r="E43" s="7">
        <v>38.85</v>
      </c>
      <c r="F43" s="94">
        <v>39.01</v>
      </c>
      <c r="G43" s="94">
        <v>72.260000000000005</v>
      </c>
      <c r="H43" s="94">
        <v>74.17</v>
      </c>
      <c r="I43" s="94">
        <v>76.19</v>
      </c>
      <c r="J43" s="94">
        <v>71.540000000000006</v>
      </c>
      <c r="K43" s="94">
        <v>76.36</v>
      </c>
    </row>
    <row r="44" spans="1:11" x14ac:dyDescent="0.3">
      <c r="A44" t="s">
        <v>152</v>
      </c>
      <c r="B44" t="s">
        <v>153</v>
      </c>
      <c r="D44" s="7">
        <v>22.85</v>
      </c>
      <c r="E44" s="7">
        <v>39.78</v>
      </c>
      <c r="F44" s="94">
        <v>37.159999999999997</v>
      </c>
      <c r="G44" s="94">
        <v>91.02</v>
      </c>
      <c r="H44" s="94">
        <v>75.05</v>
      </c>
      <c r="I44" s="94">
        <v>71.11</v>
      </c>
      <c r="J44" s="94">
        <v>64.400000000000006</v>
      </c>
      <c r="K44" s="94">
        <v>81.760000000000005</v>
      </c>
    </row>
    <row r="45" spans="1:11" x14ac:dyDescent="0.3">
      <c r="A45" t="s">
        <v>154</v>
      </c>
      <c r="B45" t="s">
        <v>155</v>
      </c>
      <c r="D45" s="7">
        <v>29.9</v>
      </c>
      <c r="E45" s="7">
        <v>26.65</v>
      </c>
      <c r="F45" s="94">
        <v>17.61</v>
      </c>
      <c r="G45" s="94">
        <v>65.75</v>
      </c>
      <c r="H45" s="94">
        <v>37.92</v>
      </c>
      <c r="I45" s="94">
        <v>21.39</v>
      </c>
      <c r="J45" s="94">
        <v>48.54</v>
      </c>
      <c r="K45" s="94">
        <v>29.54</v>
      </c>
    </row>
    <row r="46" spans="1:11" x14ac:dyDescent="0.3">
      <c r="A46" t="s">
        <v>156</v>
      </c>
      <c r="B46" t="s">
        <v>157</v>
      </c>
      <c r="D46" s="7">
        <v>4.18</v>
      </c>
      <c r="E46" s="7">
        <v>11.26</v>
      </c>
      <c r="F46" s="94">
        <v>7.27</v>
      </c>
      <c r="G46" s="94">
        <v>100</v>
      </c>
      <c r="H46" s="94">
        <v>79.53</v>
      </c>
      <c r="I46" s="94">
        <v>19.89</v>
      </c>
      <c r="J46" s="94">
        <v>24.78</v>
      </c>
      <c r="K46" s="94">
        <v>18.690000000000001</v>
      </c>
    </row>
    <row r="47" spans="1:11" x14ac:dyDescent="0.3">
      <c r="A47" t="s">
        <v>158</v>
      </c>
      <c r="B47" t="s">
        <v>159</v>
      </c>
      <c r="D47" s="7">
        <v>128.57</v>
      </c>
      <c r="E47" s="7">
        <v>156.25</v>
      </c>
      <c r="F47" s="94">
        <v>221.93</v>
      </c>
      <c r="G47" s="94">
        <v>9.51</v>
      </c>
      <c r="H47" s="94">
        <v>48.07</v>
      </c>
      <c r="I47" s="94">
        <v>28.19</v>
      </c>
      <c r="J47" s="94">
        <v>40.549999999999997</v>
      </c>
      <c r="K47" s="94">
        <v>44.29</v>
      </c>
    </row>
    <row r="48" spans="1:11" x14ac:dyDescent="0.3">
      <c r="A48" t="s">
        <v>160</v>
      </c>
      <c r="D48" s="7"/>
      <c r="E48" s="7"/>
      <c r="F48" s="94"/>
      <c r="G48" s="94"/>
      <c r="H48" s="94"/>
      <c r="I48" s="94"/>
      <c r="J48" s="94"/>
      <c r="K48" s="94"/>
    </row>
    <row r="49" spans="1:11" x14ac:dyDescent="0.3">
      <c r="A49" t="s">
        <v>161</v>
      </c>
      <c r="B49" t="s">
        <v>162</v>
      </c>
      <c r="D49" s="7">
        <v>0</v>
      </c>
      <c r="E49" s="7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</row>
    <row r="50" spans="1:11" x14ac:dyDescent="0.3">
      <c r="A50" t="s">
        <v>163</v>
      </c>
      <c r="B50" t="s">
        <v>164</v>
      </c>
      <c r="D50" s="7">
        <v>3.58</v>
      </c>
      <c r="E50" s="7">
        <v>3.58</v>
      </c>
      <c r="F50" s="94">
        <v>3.58</v>
      </c>
      <c r="G50" s="94">
        <v>3.58</v>
      </c>
      <c r="H50" s="94">
        <v>3.58</v>
      </c>
      <c r="I50" s="94">
        <v>3.58</v>
      </c>
      <c r="J50" s="94">
        <v>3.58</v>
      </c>
      <c r="K50" s="94">
        <v>3.58</v>
      </c>
    </row>
    <row r="51" spans="1:11" x14ac:dyDescent="0.3">
      <c r="A51" s="8" t="s">
        <v>165</v>
      </c>
      <c r="B51" s="8" t="s">
        <v>166</v>
      </c>
      <c r="C51" s="9">
        <v>16</v>
      </c>
      <c r="D51" s="7">
        <v>8.67</v>
      </c>
      <c r="E51" s="7">
        <v>8.67</v>
      </c>
      <c r="F51" s="94">
        <v>8.67</v>
      </c>
      <c r="G51" s="94">
        <v>8.67</v>
      </c>
      <c r="H51" s="94">
        <v>8.67</v>
      </c>
      <c r="I51" s="94">
        <v>8.67</v>
      </c>
      <c r="J51" s="94">
        <v>8.67</v>
      </c>
      <c r="K51" s="94">
        <v>8.67</v>
      </c>
    </row>
    <row r="52" spans="1:11" x14ac:dyDescent="0.3">
      <c r="A52" t="s">
        <v>167</v>
      </c>
      <c r="B52" t="s">
        <v>168</v>
      </c>
      <c r="D52" s="7">
        <v>1245.8</v>
      </c>
      <c r="E52" s="7">
        <v>1191.33</v>
      </c>
      <c r="F52" s="94">
        <v>1709.6993741094923</v>
      </c>
      <c r="G52" s="94">
        <v>1464.4</v>
      </c>
      <c r="H52" s="94">
        <v>1288.1832842108106</v>
      </c>
      <c r="I52" s="94">
        <v>1311.44</v>
      </c>
      <c r="J52" s="94">
        <v>1016.17</v>
      </c>
      <c r="K52" s="94">
        <v>1010.79</v>
      </c>
    </row>
    <row r="53" spans="1:11" x14ac:dyDescent="0.3">
      <c r="A53" t="s">
        <v>169</v>
      </c>
      <c r="D53" s="7">
        <v>0</v>
      </c>
      <c r="E53" s="7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4.9347387357656265E-2</v>
      </c>
    </row>
    <row r="54" spans="1:11" x14ac:dyDescent="0.3">
      <c r="A54" t="s">
        <v>170</v>
      </c>
      <c r="B54" t="s">
        <v>171</v>
      </c>
      <c r="D54" s="7">
        <v>-3064.5219530253876</v>
      </c>
      <c r="E54" s="7">
        <v>-16764.314025525953</v>
      </c>
      <c r="F54" s="94">
        <v>-1449.0739219403563</v>
      </c>
      <c r="G54" s="94">
        <v>-185.88327377195287</v>
      </c>
      <c r="H54" s="94">
        <v>-327.23071675026716</v>
      </c>
      <c r="I54" s="94">
        <v>-53.866833559059636</v>
      </c>
      <c r="J54" s="94">
        <v>-12.440009178089767</v>
      </c>
      <c r="K54" s="94">
        <v>4.5889977178283352E-2</v>
      </c>
    </row>
    <row r="55" spans="1:11" x14ac:dyDescent="0.3">
      <c r="A55" t="s">
        <v>172</v>
      </c>
      <c r="B55" t="s">
        <v>173</v>
      </c>
      <c r="D55" s="7">
        <v>10.322753000042969</v>
      </c>
      <c r="E55" s="7">
        <v>430.76433093757709</v>
      </c>
      <c r="F55" s="94">
        <v>31.273182959162181</v>
      </c>
      <c r="G55" s="94">
        <v>0</v>
      </c>
      <c r="H55" s="94">
        <v>0.75759429921812005</v>
      </c>
      <c r="I55" s="94">
        <v>0.17261114237276709</v>
      </c>
      <c r="J55" s="94">
        <v>9.6070980217631052E-2</v>
      </c>
      <c r="K55" s="94">
        <v>3.457410179372913E-3</v>
      </c>
    </row>
    <row r="56" spans="1:11" x14ac:dyDescent="0.3">
      <c r="A56" t="s">
        <v>174</v>
      </c>
      <c r="B56" t="s">
        <v>175</v>
      </c>
      <c r="D56" s="7">
        <v>3010.9618394900026</v>
      </c>
      <c r="E56" s="7">
        <v>14644.215968764385</v>
      </c>
      <c r="F56" s="94">
        <v>1397.8370509497606</v>
      </c>
      <c r="G56" s="94">
        <v>78.093043767577868</v>
      </c>
      <c r="H56" s="94">
        <v>345.41265551622837</v>
      </c>
      <c r="I56" s="94">
        <v>132.35827885079306</v>
      </c>
      <c r="J56" s="94">
        <v>97.789523664395389</v>
      </c>
      <c r="K56" s="94">
        <v>90.745834686688823</v>
      </c>
    </row>
    <row r="57" spans="1:11" x14ac:dyDescent="0.3">
      <c r="A57" t="s">
        <v>176</v>
      </c>
      <c r="B57" t="s">
        <v>177</v>
      </c>
      <c r="D57" s="7">
        <v>143.23736053534196</v>
      </c>
      <c r="E57" s="7">
        <v>1789.3337258239924</v>
      </c>
      <c r="F57" s="94">
        <v>119.96368803143338</v>
      </c>
      <c r="G57" s="94">
        <v>7.7902300043750277</v>
      </c>
      <c r="H57" s="94">
        <v>81.060466934820639</v>
      </c>
      <c r="I57" s="94">
        <v>21.33594356589381</v>
      </c>
      <c r="J57" s="94">
        <v>14.55441453347674</v>
      </c>
      <c r="K57" s="94">
        <v>9.2048179259535221</v>
      </c>
    </row>
    <row r="58" spans="1:11" x14ac:dyDescent="0.3">
      <c r="A58" t="s">
        <v>178</v>
      </c>
      <c r="D58" s="7"/>
      <c r="E58" s="7"/>
      <c r="F58" s="94"/>
      <c r="G58" s="94"/>
      <c r="H58" s="94"/>
      <c r="I58" s="94"/>
      <c r="J58" s="94"/>
      <c r="K58" s="94"/>
    </row>
    <row r="59" spans="1:11" x14ac:dyDescent="0.3">
      <c r="A59" t="s">
        <v>179</v>
      </c>
      <c r="B59" t="s">
        <v>180</v>
      </c>
      <c r="D59" s="7" t="s">
        <v>355</v>
      </c>
      <c r="E59" s="7">
        <v>-24.96</v>
      </c>
      <c r="F59" s="94">
        <v>3.75</v>
      </c>
      <c r="G59" s="94">
        <v>7.93</v>
      </c>
      <c r="H59" s="94">
        <v>8.17</v>
      </c>
      <c r="I59" s="94">
        <v>28.994960996887688</v>
      </c>
      <c r="J59" s="94">
        <v>47.627925033560516</v>
      </c>
      <c r="K59" s="94" t="s">
        <v>355</v>
      </c>
    </row>
    <row r="60" spans="1:11" x14ac:dyDescent="0.3">
      <c r="A60" t="s">
        <v>181</v>
      </c>
      <c r="B60" t="s">
        <v>182</v>
      </c>
      <c r="D60" s="7" t="s">
        <v>355</v>
      </c>
      <c r="E60" s="7">
        <v>24.96</v>
      </c>
      <c r="F60" s="94" t="s">
        <v>355</v>
      </c>
      <c r="G60" s="94" t="s">
        <v>355</v>
      </c>
      <c r="H60" s="94" t="s">
        <v>355</v>
      </c>
      <c r="I60" s="94">
        <v>-28.994960996887688</v>
      </c>
      <c r="J60" s="94">
        <v>-47.627925033560516</v>
      </c>
      <c r="K60" s="94">
        <v>-100.0000000000004</v>
      </c>
    </row>
    <row r="61" spans="1:11" x14ac:dyDescent="0.3">
      <c r="A61" t="s">
        <v>183</v>
      </c>
      <c r="B61" t="s">
        <v>184</v>
      </c>
      <c r="D61" s="7">
        <v>26.530076737426079</v>
      </c>
      <c r="E61" s="7">
        <v>31.435159389014277</v>
      </c>
      <c r="F61" s="94">
        <v>86.804168129033499</v>
      </c>
      <c r="G61" s="94">
        <v>7.4603743884735447</v>
      </c>
      <c r="H61" s="94">
        <v>6.015537523036266</v>
      </c>
      <c r="I61" s="94">
        <v>4.163051504337326</v>
      </c>
      <c r="J61" s="94">
        <v>1.6818209055660587</v>
      </c>
      <c r="K61" s="94">
        <v>0</v>
      </c>
    </row>
    <row r="62" spans="1:11" x14ac:dyDescent="0.3">
      <c r="A62" s="8" t="s">
        <v>185</v>
      </c>
      <c r="B62" s="8" t="s">
        <v>186</v>
      </c>
      <c r="C62" s="9">
        <v>1.2</v>
      </c>
      <c r="D62" s="7">
        <v>3.01</v>
      </c>
      <c r="E62" s="7">
        <v>3.01</v>
      </c>
      <c r="F62" s="94">
        <v>3.01</v>
      </c>
      <c r="G62" s="94">
        <v>3.01</v>
      </c>
      <c r="H62" s="94">
        <v>3.01</v>
      </c>
      <c r="I62" s="94">
        <v>3.01</v>
      </c>
      <c r="J62" s="94">
        <v>3.01</v>
      </c>
      <c r="K62" s="94">
        <v>3.01</v>
      </c>
    </row>
    <row r="63" spans="1:11" x14ac:dyDescent="0.3">
      <c r="A63" t="s">
        <v>187</v>
      </c>
      <c r="D63" s="7"/>
      <c r="E63" s="7"/>
      <c r="F63" s="94"/>
      <c r="G63" s="94"/>
      <c r="H63" s="94"/>
      <c r="I63" s="94"/>
      <c r="J63" s="94"/>
      <c r="K63" s="94"/>
    </row>
    <row r="64" spans="1:11" x14ac:dyDescent="0.3">
      <c r="A64" s="8" t="s">
        <v>188</v>
      </c>
      <c r="B64" s="8" t="s">
        <v>189</v>
      </c>
      <c r="C64" s="9">
        <v>1</v>
      </c>
      <c r="D64" s="7">
        <v>1.83</v>
      </c>
      <c r="E64" s="7">
        <v>1.19</v>
      </c>
      <c r="F64" s="94">
        <v>0</v>
      </c>
      <c r="G64" s="94">
        <v>0</v>
      </c>
      <c r="H64" s="94">
        <v>0.39</v>
      </c>
      <c r="I64" s="94">
        <v>2.42</v>
      </c>
      <c r="J64" s="94">
        <v>0.66</v>
      </c>
      <c r="K64" s="94">
        <v>0.19</v>
      </c>
    </row>
    <row r="65" spans="1:11" x14ac:dyDescent="0.3">
      <c r="A65" s="8" t="s">
        <v>190</v>
      </c>
      <c r="B65" s="8" t="s">
        <v>191</v>
      </c>
      <c r="C65" s="9"/>
      <c r="D65" s="7">
        <v>12.58</v>
      </c>
      <c r="E65" s="7">
        <v>26.58</v>
      </c>
      <c r="F65" s="94">
        <v>5.01</v>
      </c>
      <c r="G65" s="94">
        <v>0.28999999999999998</v>
      </c>
      <c r="H65" s="94">
        <v>0</v>
      </c>
      <c r="I65" s="94">
        <v>0</v>
      </c>
      <c r="J65" s="94">
        <v>0.67</v>
      </c>
      <c r="K65" s="94">
        <v>0.23</v>
      </c>
    </row>
    <row r="66" spans="1:11" x14ac:dyDescent="0.3">
      <c r="A66" s="8" t="s">
        <v>192</v>
      </c>
      <c r="B66" s="8" t="s">
        <v>193</v>
      </c>
      <c r="C66" s="9">
        <v>0.6</v>
      </c>
      <c r="D66" s="7">
        <v>14.35</v>
      </c>
      <c r="E66" s="7">
        <v>27.79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</row>
    <row r="67" spans="1:11" x14ac:dyDescent="0.3">
      <c r="A67" t="s">
        <v>194</v>
      </c>
      <c r="D67" s="7"/>
      <c r="E67" s="7"/>
      <c r="F67" s="94"/>
      <c r="G67" s="94"/>
      <c r="H67" s="94"/>
      <c r="I67" s="94"/>
      <c r="J67" s="94"/>
      <c r="K67" s="94"/>
    </row>
    <row r="68" spans="1:11" x14ac:dyDescent="0.3">
      <c r="A68" t="s">
        <v>195</v>
      </c>
      <c r="B68" t="s">
        <v>196</v>
      </c>
      <c r="D68" s="7">
        <v>87.88</v>
      </c>
      <c r="E68" s="7">
        <v>96.88</v>
      </c>
      <c r="F68" s="99">
        <v>98.98</v>
      </c>
      <c r="G68" s="99">
        <v>100</v>
      </c>
      <c r="H68" s="99">
        <v>95.72</v>
      </c>
      <c r="I68" s="99">
        <v>35.21</v>
      </c>
      <c r="J68" s="99">
        <v>36.39</v>
      </c>
      <c r="K68" s="99">
        <v>62.24</v>
      </c>
    </row>
    <row r="69" spans="1:11" x14ac:dyDescent="0.3">
      <c r="A69" t="s">
        <v>197</v>
      </c>
      <c r="D69" s="7"/>
      <c r="E69" s="7"/>
      <c r="F69" s="94"/>
      <c r="G69" s="94"/>
      <c r="H69" s="94"/>
      <c r="I69" s="94"/>
      <c r="J69" s="94"/>
      <c r="K69" s="94"/>
    </row>
    <row r="70" spans="1:11" x14ac:dyDescent="0.3">
      <c r="A70" t="s">
        <v>198</v>
      </c>
      <c r="B70" t="s">
        <v>199</v>
      </c>
      <c r="D70" s="7">
        <v>9.74</v>
      </c>
      <c r="E70" s="24">
        <v>12.46</v>
      </c>
      <c r="F70" s="94">
        <v>8.7899999999999991</v>
      </c>
      <c r="G70" s="94">
        <v>32.64</v>
      </c>
      <c r="H70" s="94">
        <v>31.61</v>
      </c>
      <c r="I70" s="94">
        <v>123.52</v>
      </c>
      <c r="J70" s="94">
        <v>15.22</v>
      </c>
      <c r="K70" s="94">
        <v>21.62</v>
      </c>
    </row>
    <row r="71" spans="1:11" x14ac:dyDescent="0.3">
      <c r="A71" t="s">
        <v>200</v>
      </c>
      <c r="B71" t="s">
        <v>201</v>
      </c>
      <c r="D71" s="7">
        <v>10.6</v>
      </c>
      <c r="E71" s="24">
        <v>12.91</v>
      </c>
      <c r="F71" s="94">
        <v>13.21</v>
      </c>
      <c r="G71" s="94">
        <v>41.96</v>
      </c>
      <c r="H71" s="94">
        <v>46.53</v>
      </c>
      <c r="I71" s="94">
        <v>183.64</v>
      </c>
      <c r="J71" s="94">
        <v>20.68</v>
      </c>
      <c r="K71" s="94">
        <v>28.78</v>
      </c>
    </row>
    <row r="72" spans="1:11" x14ac:dyDescent="0.3">
      <c r="A72" t="s">
        <v>305</v>
      </c>
      <c r="D72" s="7"/>
      <c r="E72" s="7"/>
      <c r="F72" s="94"/>
      <c r="G72" s="94"/>
      <c r="H72" s="94"/>
      <c r="I72" s="94"/>
      <c r="J72" s="94"/>
      <c r="K72" s="94"/>
    </row>
    <row r="73" spans="1:11" x14ac:dyDescent="0.3">
      <c r="B73" t="s">
        <v>202</v>
      </c>
      <c r="D73" s="7">
        <v>42.554912587085163</v>
      </c>
      <c r="E73" s="7">
        <v>45.76</v>
      </c>
      <c r="F73" s="94">
        <v>44.665164266231464</v>
      </c>
      <c r="G73" s="94">
        <v>76.48</v>
      </c>
      <c r="H73" s="94">
        <v>65.36</v>
      </c>
      <c r="I73" s="94">
        <v>34.74</v>
      </c>
      <c r="J73" s="94">
        <v>65.02</v>
      </c>
      <c r="K73" s="94">
        <v>37.125638329907552</v>
      </c>
    </row>
    <row r="74" spans="1:11" x14ac:dyDescent="0.3">
      <c r="B74" t="s">
        <v>203</v>
      </c>
      <c r="D74" s="7">
        <v>68.595229574910391</v>
      </c>
      <c r="E74" s="7">
        <v>77.94</v>
      </c>
      <c r="F74" s="94">
        <v>76.544237688399747</v>
      </c>
      <c r="G74" s="94">
        <v>76.48</v>
      </c>
      <c r="H74" s="94">
        <v>72.02</v>
      </c>
      <c r="I74" s="94">
        <v>43.51</v>
      </c>
      <c r="J74" s="94">
        <v>75.81</v>
      </c>
      <c r="K74" s="94">
        <v>44.051797131912515</v>
      </c>
    </row>
    <row r="75" spans="1:11" x14ac:dyDescent="0.3">
      <c r="B75" t="s">
        <v>204</v>
      </c>
      <c r="D75" s="7">
        <v>11.667051039921231</v>
      </c>
      <c r="E75" s="7">
        <v>17.12</v>
      </c>
      <c r="F75" s="94">
        <v>10.746380663587509</v>
      </c>
      <c r="G75" s="94">
        <v>0</v>
      </c>
      <c r="H75" s="94">
        <v>37.14</v>
      </c>
      <c r="I75" s="94">
        <v>14.54</v>
      </c>
      <c r="J75" s="94">
        <v>52.28</v>
      </c>
      <c r="K75" s="94">
        <v>25.972194393927357</v>
      </c>
    </row>
    <row r="76" spans="1:11" x14ac:dyDescent="0.3">
      <c r="A76" s="8" t="s">
        <v>37</v>
      </c>
      <c r="B76" s="8"/>
      <c r="C76" s="9">
        <v>47</v>
      </c>
      <c r="D76" s="7">
        <v>65.519871549692354</v>
      </c>
      <c r="E76" s="7"/>
      <c r="F76" s="99">
        <v>64.788978341077893</v>
      </c>
      <c r="G76" s="99">
        <v>83.2262990745119</v>
      </c>
      <c r="H76" s="99">
        <v>70.704223201646599</v>
      </c>
      <c r="I76" s="99">
        <v>39.904401174989843</v>
      </c>
      <c r="J76" s="99">
        <v>50.432904173774126</v>
      </c>
      <c r="K76" s="99">
        <v>50.454284675662144</v>
      </c>
    </row>
    <row r="77" spans="1:11" x14ac:dyDescent="0.3">
      <c r="A77" s="25" t="s">
        <v>338</v>
      </c>
      <c r="B77" s="25"/>
      <c r="C77" s="54"/>
      <c r="D77" s="24">
        <v>55.765470705806393</v>
      </c>
      <c r="E77" s="24"/>
      <c r="F77" s="99">
        <v>55.754070425428139</v>
      </c>
      <c r="G77" s="99">
        <v>83.173956489262025</v>
      </c>
      <c r="H77" s="99">
        <v>72.274027893299419</v>
      </c>
      <c r="I77" s="99">
        <v>48.66709862835539</v>
      </c>
      <c r="J77" s="99">
        <v>53.429748345501459</v>
      </c>
      <c r="K77" s="99">
        <v>40.212351182249328</v>
      </c>
    </row>
    <row r="78" spans="1:11" x14ac:dyDescent="0.3">
      <c r="A78" t="s">
        <v>268</v>
      </c>
      <c r="D78" s="7"/>
      <c r="E78" s="7"/>
      <c r="F78" s="94"/>
      <c r="G78" s="94"/>
      <c r="H78" s="94"/>
      <c r="I78" s="94"/>
      <c r="J78" s="94"/>
      <c r="K78" s="94"/>
    </row>
    <row r="79" spans="1:11" x14ac:dyDescent="0.3">
      <c r="A79">
        <v>4</v>
      </c>
      <c r="B79" t="s">
        <v>205</v>
      </c>
      <c r="D79" s="7">
        <v>2.0474137931034484</v>
      </c>
      <c r="E79" s="7">
        <v>2.5699168556311411</v>
      </c>
      <c r="F79" s="99">
        <v>2.5749817117776153</v>
      </c>
      <c r="G79" s="99">
        <v>2.7058481233633986</v>
      </c>
      <c r="H79" s="99">
        <v>2.5392541707556426</v>
      </c>
      <c r="I79" s="99">
        <v>2.5993044114955151</v>
      </c>
      <c r="J79" s="99">
        <v>3.1415241057542773</v>
      </c>
      <c r="K79" s="99">
        <v>4.0636042402826851</v>
      </c>
    </row>
    <row r="80" spans="1:11" x14ac:dyDescent="0.3">
      <c r="A80">
        <v>9</v>
      </c>
      <c r="B80" t="s">
        <v>350</v>
      </c>
      <c r="D80" s="7">
        <v>9.6982758620689644</v>
      </c>
      <c r="E80" s="7">
        <v>8.9947089947089935</v>
      </c>
      <c r="F80" s="99">
        <v>10.91441111923921</v>
      </c>
      <c r="G80" s="99">
        <v>13.180098923479781</v>
      </c>
      <c r="H80" s="99">
        <v>11.359175662414133</v>
      </c>
      <c r="I80" s="99">
        <v>11.58704008786381</v>
      </c>
      <c r="J80" s="99">
        <v>15.241057542768274</v>
      </c>
      <c r="K80" s="99">
        <v>19.832155477031801</v>
      </c>
    </row>
    <row r="81" spans="1:11" x14ac:dyDescent="0.3">
      <c r="A81">
        <v>10</v>
      </c>
      <c r="B81" t="s">
        <v>206</v>
      </c>
      <c r="D81" s="7">
        <v>13.454433497536943</v>
      </c>
      <c r="E81" s="7">
        <v>8.4807256235827655</v>
      </c>
      <c r="F81" s="99">
        <v>8.9685442574981717</v>
      </c>
      <c r="G81" s="99">
        <v>7.5210939773057897</v>
      </c>
      <c r="H81" s="99">
        <v>6.697742885181551</v>
      </c>
      <c r="I81" s="99">
        <v>11.934834340106168</v>
      </c>
      <c r="J81" s="99">
        <v>19.611197511664074</v>
      </c>
      <c r="K81" s="99">
        <v>22.548586572438165</v>
      </c>
    </row>
    <row r="82" spans="1:11" x14ac:dyDescent="0.3">
      <c r="A82">
        <v>12</v>
      </c>
      <c r="B82" t="s">
        <v>207</v>
      </c>
      <c r="D82" s="7">
        <v>5.0338669950738915</v>
      </c>
      <c r="E82" s="7">
        <v>5.850340136054422</v>
      </c>
      <c r="F82" s="99">
        <v>5.720555961960498</v>
      </c>
      <c r="G82" s="99">
        <v>8.6703520512074483</v>
      </c>
      <c r="H82" s="99">
        <v>8.4641805691854763</v>
      </c>
      <c r="I82" s="99">
        <v>10.763316858868754</v>
      </c>
      <c r="J82" s="99">
        <v>10.886469673405911</v>
      </c>
      <c r="K82" s="99">
        <v>19.96466431095406</v>
      </c>
    </row>
    <row r="83" spans="1:11" x14ac:dyDescent="0.3">
      <c r="A83" t="s">
        <v>208</v>
      </c>
      <c r="D83" s="7"/>
      <c r="E83" s="7"/>
      <c r="F83" s="94"/>
      <c r="G83" s="94"/>
      <c r="H83" s="94"/>
      <c r="I83" s="94"/>
      <c r="J83" s="94"/>
      <c r="K83" s="94"/>
    </row>
    <row r="84" spans="1:11" x14ac:dyDescent="0.3">
      <c r="A84">
        <v>4</v>
      </c>
      <c r="B84" t="s">
        <v>205</v>
      </c>
      <c r="D84" s="7">
        <v>35.422886346166038</v>
      </c>
      <c r="E84" s="7">
        <v>36.72</v>
      </c>
      <c r="F84" s="94">
        <v>47.106121974119333</v>
      </c>
      <c r="G84" s="94">
        <v>65.91</v>
      </c>
      <c r="H84" s="94">
        <v>59.54</v>
      </c>
      <c r="I84" s="94">
        <v>63.293792787412542</v>
      </c>
      <c r="J84" s="94">
        <v>64.132648189289426</v>
      </c>
      <c r="K84" s="94">
        <v>62.801034058529581</v>
      </c>
    </row>
    <row r="85" spans="1:11" x14ac:dyDescent="0.3">
      <c r="A85">
        <v>9</v>
      </c>
      <c r="B85" t="s">
        <v>350</v>
      </c>
      <c r="D85" s="7">
        <v>56.141218147901071</v>
      </c>
      <c r="E85" s="7">
        <v>60.51</v>
      </c>
      <c r="F85" s="94">
        <v>57.13463334148998</v>
      </c>
      <c r="G85" s="94">
        <v>86.08</v>
      </c>
      <c r="H85" s="94">
        <v>83.2</v>
      </c>
      <c r="I85" s="94">
        <v>83.839569672388677</v>
      </c>
      <c r="J85" s="94">
        <v>83.532960108857949</v>
      </c>
      <c r="K85" s="94">
        <v>84.841385045792478</v>
      </c>
    </row>
    <row r="86" spans="1:11" x14ac:dyDescent="0.3">
      <c r="A86">
        <v>10</v>
      </c>
      <c r="B86" t="s">
        <v>206</v>
      </c>
      <c r="D86" s="7">
        <v>30.516621301267516</v>
      </c>
      <c r="E86" s="7">
        <v>39.51</v>
      </c>
      <c r="F86" s="94">
        <v>46.933680184457103</v>
      </c>
      <c r="G86" s="94">
        <v>72.650000000000006</v>
      </c>
      <c r="H86" s="94">
        <v>82.93</v>
      </c>
      <c r="I86" s="94">
        <v>88.355821785117811</v>
      </c>
      <c r="J86" s="94">
        <v>71.858792789892021</v>
      </c>
      <c r="K86" s="94">
        <v>90.564988285074747</v>
      </c>
    </row>
    <row r="87" spans="1:11" x14ac:dyDescent="0.3">
      <c r="A87">
        <v>12</v>
      </c>
      <c r="B87" t="s">
        <v>207</v>
      </c>
      <c r="D87" s="7">
        <v>45.298797162745117</v>
      </c>
      <c r="E87" s="7">
        <v>50.13</v>
      </c>
      <c r="F87" s="94">
        <v>59.220960630375551</v>
      </c>
      <c r="G87" s="94">
        <v>58.33</v>
      </c>
      <c r="H87" s="94">
        <v>67.837853862716216</v>
      </c>
      <c r="I87" s="94">
        <v>67.515326415445571</v>
      </c>
      <c r="J87" s="94">
        <v>60.425625981741526</v>
      </c>
      <c r="K87" s="94">
        <v>55.422787198116929</v>
      </c>
    </row>
    <row r="88" spans="1:11" x14ac:dyDescent="0.3">
      <c r="B88" s="59" t="s">
        <v>306</v>
      </c>
      <c r="D88" s="7"/>
      <c r="E88" s="7"/>
      <c r="F88" s="94"/>
      <c r="G88" s="94"/>
      <c r="H88" s="94"/>
      <c r="I88" s="94"/>
      <c r="J88" s="94"/>
      <c r="K88" s="94"/>
    </row>
    <row r="89" spans="1:11" x14ac:dyDescent="0.3">
      <c r="B89" t="s">
        <v>110</v>
      </c>
      <c r="D89" s="7">
        <v>367.13226833883101</v>
      </c>
      <c r="E89" s="7">
        <v>350.14826884227551</v>
      </c>
      <c r="F89" s="94">
        <v>362.58510068602214</v>
      </c>
      <c r="G89" s="94">
        <v>355.01394750014094</v>
      </c>
      <c r="H89" s="94">
        <v>354.72657825926274</v>
      </c>
      <c r="I89" s="94">
        <v>352.25227220007974</v>
      </c>
      <c r="J89" s="94">
        <v>369.77947768871218</v>
      </c>
      <c r="K89" s="94">
        <v>368.56431741147844</v>
      </c>
    </row>
    <row r="90" spans="1:11" x14ac:dyDescent="0.3">
      <c r="B90" t="s">
        <v>129</v>
      </c>
      <c r="D90" s="7">
        <v>157.51675807997006</v>
      </c>
      <c r="E90" s="7">
        <v>150.44420956890005</v>
      </c>
      <c r="F90" s="94">
        <v>170.92035541980178</v>
      </c>
      <c r="G90" s="94">
        <v>180.492157874811</v>
      </c>
      <c r="H90" s="94">
        <v>204.57029658165237</v>
      </c>
      <c r="I90" s="94">
        <v>209.21258224469867</v>
      </c>
      <c r="J90" s="94">
        <v>229.38618194069946</v>
      </c>
      <c r="K90" s="94">
        <v>334.14493954817681</v>
      </c>
    </row>
    <row r="91" spans="1:11" x14ac:dyDescent="0.3">
      <c r="B91" t="s">
        <v>159</v>
      </c>
      <c r="D91" s="7">
        <v>30.939403225806455</v>
      </c>
      <c r="E91" s="7">
        <v>36.337096774193533</v>
      </c>
      <c r="F91" s="94">
        <v>36.521612903225808</v>
      </c>
      <c r="G91" s="94">
        <v>24.474374999999998</v>
      </c>
      <c r="H91" s="94">
        <v>18.420312500000001</v>
      </c>
      <c r="I91" s="94">
        <v>10.619375</v>
      </c>
      <c r="J91" s="94">
        <v>3.849687499999999</v>
      </c>
      <c r="K91" s="94">
        <v>1.0896875000000004</v>
      </c>
    </row>
    <row r="92" spans="1:11" x14ac:dyDescent="0.3">
      <c r="B92" t="s">
        <v>168</v>
      </c>
      <c r="D92" s="7">
        <v>1806.715247780151</v>
      </c>
      <c r="E92" s="7">
        <v>1760.2223341478993</v>
      </c>
      <c r="F92" s="94">
        <v>1723.4313709635639</v>
      </c>
      <c r="G92" s="94">
        <v>1688.3834954123995</v>
      </c>
      <c r="H92" s="94">
        <v>1744.0187221199872</v>
      </c>
      <c r="I92" s="94">
        <v>1744.7789254873785</v>
      </c>
      <c r="J92" s="94">
        <v>1726.9557160967668</v>
      </c>
      <c r="K92" s="94">
        <v>1697.0701833805592</v>
      </c>
    </row>
    <row r="93" spans="1:11" x14ac:dyDescent="0.3">
      <c r="D93" s="7"/>
      <c r="E93" s="7"/>
      <c r="F93" s="94"/>
      <c r="G93" s="94"/>
      <c r="H93" s="94"/>
      <c r="I93" s="94"/>
      <c r="J93" s="94"/>
      <c r="K93" s="94"/>
    </row>
    <row r="94" spans="1:11" x14ac:dyDescent="0.3">
      <c r="B94" s="33" t="s">
        <v>303</v>
      </c>
      <c r="D94" s="7"/>
      <c r="E94" s="7"/>
      <c r="F94" s="94"/>
      <c r="G94" s="94"/>
      <c r="H94" s="94"/>
      <c r="I94" s="94"/>
      <c r="J94" s="94"/>
      <c r="K94" s="94"/>
    </row>
    <row r="95" spans="1:11" x14ac:dyDescent="0.3">
      <c r="D95" s="7"/>
      <c r="E95" s="7"/>
      <c r="F95" s="94"/>
      <c r="G95" s="94"/>
      <c r="H95" s="94"/>
      <c r="I95" s="94"/>
      <c r="J95" s="94"/>
      <c r="K95" s="94"/>
    </row>
    <row r="96" spans="1:11" x14ac:dyDescent="0.3">
      <c r="D96" s="7"/>
      <c r="E96" s="7"/>
      <c r="F96" s="94"/>
      <c r="G96" s="94"/>
      <c r="H96" s="94"/>
      <c r="I96" s="94"/>
      <c r="J96" s="94"/>
      <c r="K96" s="94"/>
    </row>
    <row r="97" spans="4:11" x14ac:dyDescent="0.3">
      <c r="D97" s="7"/>
      <c r="E97" s="7"/>
      <c r="F97" s="94"/>
      <c r="G97" s="94"/>
      <c r="H97" s="94"/>
      <c r="I97" s="94"/>
      <c r="J97" s="94"/>
      <c r="K97" s="94"/>
    </row>
    <row r="98" spans="4:11" x14ac:dyDescent="0.3">
      <c r="D98" s="7"/>
      <c r="E98" s="7"/>
      <c r="F98" s="94"/>
      <c r="G98" s="94"/>
      <c r="H98" s="94"/>
      <c r="I98" s="94"/>
      <c r="J98" s="94"/>
      <c r="K98" s="94"/>
    </row>
    <row r="99" spans="4:11" x14ac:dyDescent="0.3">
      <c r="D99" s="7"/>
      <c r="E99" s="7"/>
      <c r="F99" s="94"/>
      <c r="G99" s="94"/>
      <c r="H99" s="94"/>
      <c r="I99" s="94"/>
      <c r="J99" s="94"/>
      <c r="K99" s="94"/>
    </row>
    <row r="100" spans="4:11" x14ac:dyDescent="0.3">
      <c r="D100" s="7"/>
      <c r="E100" s="7"/>
      <c r="F100" s="94"/>
      <c r="G100" s="94"/>
      <c r="H100" s="94"/>
      <c r="I100" s="94"/>
      <c r="J100" s="94"/>
      <c r="K100" s="94"/>
    </row>
    <row r="101" spans="4:11" x14ac:dyDescent="0.3">
      <c r="D101" s="7"/>
      <c r="E101" s="7"/>
      <c r="F101" s="94"/>
      <c r="G101" s="94"/>
      <c r="H101" s="94"/>
      <c r="I101" s="94"/>
      <c r="J101" s="94"/>
      <c r="K101" s="94"/>
    </row>
    <row r="102" spans="4:11" x14ac:dyDescent="0.3">
      <c r="D102" s="7"/>
      <c r="E102" s="7"/>
      <c r="F102" s="94"/>
      <c r="G102" s="94"/>
      <c r="H102" s="94"/>
      <c r="I102" s="94"/>
      <c r="J102" s="94"/>
      <c r="K102" s="94"/>
    </row>
    <row r="103" spans="4:11" x14ac:dyDescent="0.3">
      <c r="D103" s="7"/>
      <c r="E103" s="7"/>
      <c r="F103" s="94"/>
      <c r="G103" s="94"/>
      <c r="H103" s="94"/>
      <c r="I103" s="94"/>
      <c r="J103" s="94"/>
      <c r="K103" s="94"/>
    </row>
    <row r="104" spans="4:11" x14ac:dyDescent="0.3">
      <c r="D104" s="7"/>
      <c r="E104" s="7"/>
      <c r="F104" s="94"/>
      <c r="G104" s="94"/>
      <c r="H104" s="94"/>
      <c r="I104" s="94"/>
      <c r="J104" s="94"/>
      <c r="K104" s="94"/>
    </row>
    <row r="105" spans="4:11" x14ac:dyDescent="0.3">
      <c r="D105" s="7"/>
      <c r="E105" s="7"/>
      <c r="F105" s="94"/>
      <c r="G105" s="94"/>
      <c r="H105" s="94"/>
      <c r="I105" s="94"/>
      <c r="J105" s="94"/>
      <c r="K105" s="94"/>
    </row>
    <row r="106" spans="4:11" x14ac:dyDescent="0.3">
      <c r="D106" s="7"/>
      <c r="E106" s="7"/>
      <c r="F106" s="94"/>
      <c r="G106" s="94"/>
      <c r="H106" s="94"/>
      <c r="I106" s="94"/>
      <c r="J106" s="94"/>
      <c r="K106" s="94"/>
    </row>
    <row r="107" spans="4:11" x14ac:dyDescent="0.3">
      <c r="D107" s="7"/>
      <c r="E107" s="7"/>
      <c r="F107" s="94"/>
      <c r="G107" s="94"/>
      <c r="H107" s="94"/>
      <c r="I107" s="94"/>
      <c r="J107" s="94"/>
      <c r="K107" s="94"/>
    </row>
    <row r="108" spans="4:11" x14ac:dyDescent="0.3">
      <c r="D108" s="7"/>
      <c r="E108" s="7"/>
      <c r="F108" s="94"/>
      <c r="G108" s="94"/>
      <c r="H108" s="94"/>
      <c r="I108" s="94"/>
      <c r="J108" s="94"/>
      <c r="K108" s="94"/>
    </row>
    <row r="109" spans="4:11" x14ac:dyDescent="0.3">
      <c r="D109" s="7"/>
      <c r="E109" s="7"/>
      <c r="F109" s="94"/>
      <c r="G109" s="94"/>
      <c r="H109" s="94"/>
      <c r="I109" s="94"/>
      <c r="J109" s="94"/>
      <c r="K109" s="94"/>
    </row>
    <row r="110" spans="4:11" x14ac:dyDescent="0.3">
      <c r="D110" s="7"/>
      <c r="E110" s="7"/>
      <c r="F110" s="94"/>
      <c r="G110" s="94"/>
      <c r="H110" s="94"/>
      <c r="I110" s="94"/>
      <c r="J110" s="94"/>
      <c r="K110" s="94"/>
    </row>
    <row r="111" spans="4:11" x14ac:dyDescent="0.3">
      <c r="D111" s="7"/>
      <c r="E111" s="7"/>
      <c r="F111" s="94"/>
      <c r="G111" s="94"/>
      <c r="H111" s="94"/>
      <c r="I111" s="94"/>
      <c r="J111" s="94"/>
      <c r="K111" s="94"/>
    </row>
    <row r="112" spans="4:11" x14ac:dyDescent="0.3">
      <c r="D112" s="7"/>
      <c r="E112" s="7"/>
      <c r="F112" s="94"/>
      <c r="G112" s="94"/>
      <c r="H112" s="94"/>
      <c r="I112" s="94"/>
      <c r="J112" s="94"/>
      <c r="K112" s="94"/>
    </row>
    <row r="113" spans="2:11" x14ac:dyDescent="0.3">
      <c r="D113" s="7"/>
      <c r="E113" s="7"/>
      <c r="F113" s="94"/>
      <c r="G113" s="94"/>
      <c r="H113" s="94"/>
      <c r="I113" s="94"/>
      <c r="J113" s="94"/>
      <c r="K113" s="94"/>
    </row>
    <row r="114" spans="2:11" x14ac:dyDescent="0.3">
      <c r="D114" s="7"/>
      <c r="E114" s="7"/>
      <c r="F114" s="94"/>
      <c r="G114" s="94"/>
      <c r="H114" s="94"/>
      <c r="I114" s="94"/>
      <c r="J114" s="94"/>
      <c r="K114" s="94"/>
    </row>
    <row r="115" spans="2:11" x14ac:dyDescent="0.3">
      <c r="B115" s="33" t="s">
        <v>304</v>
      </c>
      <c r="D115" s="7"/>
      <c r="E115" s="7"/>
      <c r="F115" s="94"/>
      <c r="G115" s="94"/>
      <c r="H115" s="94"/>
      <c r="I115" s="94"/>
      <c r="J115" s="94"/>
      <c r="K115" s="94"/>
    </row>
    <row r="116" spans="2:11" x14ac:dyDescent="0.3">
      <c r="D116" s="7"/>
      <c r="E116" s="7"/>
      <c r="F116" s="94"/>
      <c r="G116" s="94"/>
      <c r="H116" s="94"/>
      <c r="I116" s="94"/>
      <c r="J116" s="94"/>
      <c r="K116" s="94"/>
    </row>
    <row r="117" spans="2:11" x14ac:dyDescent="0.3">
      <c r="D117" s="7"/>
      <c r="E117" s="7"/>
      <c r="F117" s="94"/>
      <c r="G117" s="94"/>
      <c r="H117" s="94"/>
      <c r="I117" s="94"/>
      <c r="J117" s="94"/>
      <c r="K117" s="94"/>
    </row>
    <row r="118" spans="2:11" x14ac:dyDescent="0.3">
      <c r="D118" s="7"/>
      <c r="E118" s="7"/>
      <c r="F118" s="94"/>
      <c r="G118" s="94"/>
      <c r="H118" s="94"/>
      <c r="I118" s="94"/>
      <c r="J118" s="94"/>
      <c r="K118" s="94"/>
    </row>
    <row r="119" spans="2:11" x14ac:dyDescent="0.3">
      <c r="D119" s="7"/>
      <c r="E119" s="7"/>
      <c r="F119" s="94"/>
      <c r="G119" s="94"/>
      <c r="H119" s="94"/>
      <c r="I119" s="94"/>
      <c r="J119" s="94"/>
      <c r="K119" s="94"/>
    </row>
    <row r="120" spans="2:11" x14ac:dyDescent="0.3">
      <c r="D120" s="7"/>
      <c r="E120" s="7"/>
      <c r="F120" s="94"/>
      <c r="G120" s="94"/>
      <c r="H120" s="94"/>
      <c r="I120" s="94"/>
      <c r="J120" s="94"/>
      <c r="K120" s="94"/>
    </row>
    <row r="121" spans="2:11" x14ac:dyDescent="0.3">
      <c r="D121" s="7"/>
      <c r="E121" s="7"/>
      <c r="F121" s="94"/>
      <c r="G121" s="94"/>
      <c r="H121" s="94"/>
      <c r="I121" s="94"/>
      <c r="J121" s="94"/>
      <c r="K121" s="94"/>
    </row>
    <row r="122" spans="2:11" x14ac:dyDescent="0.3">
      <c r="D122" s="7"/>
      <c r="E122" s="7"/>
      <c r="F122" s="94"/>
      <c r="G122" s="94"/>
      <c r="H122" s="94"/>
      <c r="I122" s="94"/>
      <c r="J122" s="94"/>
      <c r="K122" s="94"/>
    </row>
    <row r="123" spans="2:11" x14ac:dyDescent="0.3">
      <c r="D123" s="7"/>
      <c r="E123" s="7"/>
      <c r="F123" s="94"/>
      <c r="G123" s="94"/>
      <c r="H123" s="94"/>
      <c r="I123" s="94"/>
      <c r="J123" s="94"/>
      <c r="K123" s="94"/>
    </row>
    <row r="124" spans="2:11" x14ac:dyDescent="0.3">
      <c r="D124" s="7"/>
      <c r="E124" s="7"/>
      <c r="F124" s="94"/>
      <c r="G124" s="94"/>
      <c r="H124" s="94"/>
      <c r="I124" s="94"/>
      <c r="J124" s="94"/>
      <c r="K124" s="94"/>
    </row>
    <row r="125" spans="2:11" x14ac:dyDescent="0.3">
      <c r="D125" s="7"/>
      <c r="E125" s="7"/>
      <c r="F125" s="94"/>
      <c r="G125" s="94"/>
      <c r="H125" s="94"/>
      <c r="I125" s="94"/>
      <c r="J125" s="94"/>
      <c r="K125" s="94"/>
    </row>
    <row r="126" spans="2:11" x14ac:dyDescent="0.3">
      <c r="D126" s="7"/>
      <c r="E126" s="7"/>
      <c r="F126" s="94"/>
      <c r="G126" s="94"/>
      <c r="H126" s="94"/>
      <c r="I126" s="94"/>
      <c r="J126" s="94"/>
      <c r="K126" s="94"/>
    </row>
    <row r="127" spans="2:11" x14ac:dyDescent="0.3">
      <c r="D127" s="7"/>
      <c r="E127" s="7"/>
      <c r="F127" s="94"/>
      <c r="G127" s="94"/>
      <c r="H127" s="94"/>
      <c r="I127" s="94"/>
      <c r="J127" s="94"/>
      <c r="K127" s="94"/>
    </row>
    <row r="128" spans="2:11" x14ac:dyDescent="0.3">
      <c r="D128" s="7"/>
      <c r="E128" s="7"/>
      <c r="F128" s="94"/>
      <c r="G128" s="94"/>
      <c r="H128" s="94"/>
      <c r="I128" s="94"/>
      <c r="J128" s="94"/>
      <c r="K128" s="94"/>
    </row>
    <row r="129" spans="2:11" x14ac:dyDescent="0.3">
      <c r="D129" s="7"/>
      <c r="E129" s="7"/>
      <c r="F129" s="94"/>
      <c r="G129" s="94"/>
      <c r="H129" s="94"/>
      <c r="I129" s="94"/>
      <c r="J129" s="94"/>
      <c r="K129" s="94"/>
    </row>
    <row r="130" spans="2:11" x14ac:dyDescent="0.3">
      <c r="D130" s="7"/>
      <c r="E130" s="7"/>
      <c r="F130" s="94"/>
      <c r="G130" s="94"/>
      <c r="H130" s="94"/>
      <c r="I130" s="94"/>
      <c r="J130" s="94"/>
      <c r="K130" s="94"/>
    </row>
    <row r="131" spans="2:11" x14ac:dyDescent="0.3">
      <c r="D131" s="7"/>
      <c r="E131" s="7"/>
      <c r="F131" s="94"/>
      <c r="G131" s="94"/>
      <c r="H131" s="94"/>
      <c r="I131" s="94"/>
      <c r="J131" s="94"/>
      <c r="K131" s="94"/>
    </row>
    <row r="132" spans="2:11" x14ac:dyDescent="0.3">
      <c r="D132" s="7"/>
      <c r="E132" s="7"/>
      <c r="F132" s="94"/>
      <c r="G132" s="94"/>
      <c r="H132" s="94"/>
      <c r="I132" s="94"/>
      <c r="J132" s="94"/>
      <c r="K132" s="94"/>
    </row>
    <row r="133" spans="2:11" x14ac:dyDescent="0.3">
      <c r="D133" s="7"/>
      <c r="E133" s="7"/>
      <c r="F133" s="94"/>
      <c r="G133" s="94"/>
      <c r="H133" s="94"/>
      <c r="I133" s="94"/>
      <c r="J133" s="94"/>
      <c r="K133" s="94"/>
    </row>
    <row r="134" spans="2:11" x14ac:dyDescent="0.3">
      <c r="D134" s="7"/>
      <c r="E134" s="7"/>
      <c r="F134" s="94"/>
      <c r="G134" s="94"/>
      <c r="H134" s="94"/>
      <c r="I134" s="94"/>
      <c r="J134" s="94"/>
      <c r="K134" s="94"/>
    </row>
    <row r="135" spans="2:11" x14ac:dyDescent="0.3">
      <c r="D135" s="7"/>
      <c r="E135" s="7"/>
      <c r="F135" s="94"/>
      <c r="G135" s="94"/>
      <c r="H135" s="94"/>
      <c r="I135" s="94"/>
      <c r="J135" s="94"/>
      <c r="K135" s="94"/>
    </row>
    <row r="136" spans="2:11" x14ac:dyDescent="0.3">
      <c r="B136" s="33" t="s">
        <v>159</v>
      </c>
      <c r="D136" s="7"/>
      <c r="E136" s="7"/>
      <c r="F136" s="94"/>
      <c r="G136" s="94"/>
      <c r="H136" s="94"/>
      <c r="I136" s="94"/>
      <c r="J136" s="94"/>
      <c r="K136" s="94"/>
    </row>
    <row r="137" spans="2:11" x14ac:dyDescent="0.3">
      <c r="D137" s="7"/>
      <c r="E137" s="7"/>
      <c r="F137" s="94"/>
      <c r="G137" s="94"/>
      <c r="H137" s="94"/>
      <c r="I137" s="94"/>
      <c r="J137" s="94"/>
      <c r="K137" s="94"/>
    </row>
    <row r="138" spans="2:11" x14ac:dyDescent="0.3">
      <c r="D138" s="7"/>
      <c r="E138" s="7"/>
      <c r="F138" s="94"/>
      <c r="G138" s="94"/>
      <c r="H138" s="94"/>
      <c r="I138" s="94"/>
      <c r="J138" s="94"/>
      <c r="K138" s="94"/>
    </row>
    <row r="139" spans="2:11" x14ac:dyDescent="0.3">
      <c r="D139" s="7"/>
      <c r="E139" s="7"/>
      <c r="F139" s="94"/>
      <c r="G139" s="94"/>
      <c r="H139" s="94"/>
      <c r="I139" s="94"/>
      <c r="J139" s="94"/>
      <c r="K139" s="94"/>
    </row>
    <row r="140" spans="2:11" x14ac:dyDescent="0.3">
      <c r="D140" s="7"/>
      <c r="E140" s="7"/>
      <c r="F140" s="94"/>
      <c r="G140" s="94"/>
      <c r="H140" s="94"/>
      <c r="I140" s="94"/>
      <c r="J140" s="94"/>
      <c r="K140" s="94"/>
    </row>
    <row r="141" spans="2:11" x14ac:dyDescent="0.3">
      <c r="D141" s="7"/>
      <c r="E141" s="7"/>
      <c r="F141" s="94"/>
      <c r="G141" s="94"/>
      <c r="H141" s="94"/>
      <c r="I141" s="94"/>
      <c r="J141" s="94"/>
      <c r="K141" s="94"/>
    </row>
    <row r="142" spans="2:11" x14ac:dyDescent="0.3">
      <c r="D142" s="7"/>
      <c r="E142" s="7"/>
      <c r="F142" s="94"/>
      <c r="G142" s="94"/>
      <c r="H142" s="94"/>
      <c r="I142" s="94"/>
      <c r="J142" s="94"/>
      <c r="K142" s="94"/>
    </row>
    <row r="143" spans="2:11" x14ac:dyDescent="0.3">
      <c r="D143" s="7"/>
      <c r="E143" s="7"/>
      <c r="F143" s="94"/>
      <c r="G143" s="94"/>
      <c r="H143" s="94"/>
      <c r="I143" s="94"/>
      <c r="J143" s="94"/>
      <c r="K143" s="94"/>
    </row>
    <row r="144" spans="2:11" x14ac:dyDescent="0.3">
      <c r="D144" s="7"/>
      <c r="E144" s="7"/>
      <c r="F144" s="94"/>
      <c r="G144" s="94"/>
      <c r="H144" s="94"/>
      <c r="I144" s="94"/>
      <c r="J144" s="94"/>
      <c r="K144" s="94"/>
    </row>
    <row r="145" spans="2:11" x14ac:dyDescent="0.3">
      <c r="D145" s="7"/>
      <c r="E145" s="7"/>
      <c r="F145" s="94"/>
      <c r="G145" s="94"/>
      <c r="H145" s="94"/>
      <c r="I145" s="94"/>
      <c r="J145" s="94"/>
      <c r="K145" s="94"/>
    </row>
    <row r="146" spans="2:11" x14ac:dyDescent="0.3">
      <c r="D146" s="7"/>
      <c r="E146" s="7"/>
      <c r="F146" s="94"/>
      <c r="G146" s="94"/>
      <c r="H146" s="94"/>
      <c r="I146" s="94"/>
      <c r="J146" s="94"/>
      <c r="K146" s="94"/>
    </row>
    <row r="147" spans="2:11" x14ac:dyDescent="0.3">
      <c r="D147" s="7"/>
      <c r="E147" s="7"/>
      <c r="F147" s="94"/>
      <c r="G147" s="94"/>
      <c r="H147" s="94"/>
      <c r="I147" s="94"/>
      <c r="J147" s="94"/>
      <c r="K147" s="94"/>
    </row>
    <row r="148" spans="2:11" x14ac:dyDescent="0.3">
      <c r="D148" s="7"/>
      <c r="E148" s="7"/>
      <c r="F148" s="94"/>
      <c r="G148" s="94"/>
      <c r="H148" s="94"/>
      <c r="I148" s="94"/>
      <c r="J148" s="94"/>
      <c r="K148" s="94"/>
    </row>
    <row r="149" spans="2:11" x14ac:dyDescent="0.3">
      <c r="D149" s="7"/>
      <c r="E149" s="7"/>
      <c r="F149" s="94"/>
      <c r="G149" s="94"/>
      <c r="H149" s="94"/>
      <c r="I149" s="94"/>
      <c r="J149" s="94"/>
      <c r="K149" s="94"/>
    </row>
    <row r="150" spans="2:11" x14ac:dyDescent="0.3">
      <c r="D150" s="7"/>
      <c r="E150" s="7"/>
      <c r="F150" s="94"/>
      <c r="G150" s="94"/>
      <c r="H150" s="94"/>
      <c r="I150" s="94"/>
      <c r="J150" s="94"/>
      <c r="K150" s="94"/>
    </row>
    <row r="151" spans="2:11" x14ac:dyDescent="0.3">
      <c r="D151" s="7"/>
      <c r="E151" s="7"/>
      <c r="F151" s="94"/>
      <c r="G151" s="94"/>
      <c r="H151" s="94"/>
      <c r="I151" s="94"/>
      <c r="J151" s="94"/>
      <c r="K151" s="94"/>
    </row>
    <row r="152" spans="2:11" x14ac:dyDescent="0.3">
      <c r="D152" s="7"/>
      <c r="E152" s="7"/>
      <c r="F152" s="94"/>
      <c r="G152" s="94"/>
      <c r="H152" s="94"/>
      <c r="I152" s="94"/>
      <c r="J152" s="94"/>
      <c r="K152" s="94"/>
    </row>
    <row r="153" spans="2:11" x14ac:dyDescent="0.3">
      <c r="D153" s="7"/>
      <c r="E153" s="7"/>
      <c r="F153" s="94"/>
      <c r="G153" s="94"/>
      <c r="H153" s="94"/>
      <c r="I153" s="94"/>
      <c r="J153" s="94"/>
      <c r="K153" s="94"/>
    </row>
    <row r="154" spans="2:11" x14ac:dyDescent="0.3">
      <c r="D154" s="7"/>
      <c r="E154" s="7"/>
      <c r="F154" s="94"/>
      <c r="G154" s="94"/>
      <c r="H154" s="94"/>
      <c r="I154" s="94"/>
      <c r="J154" s="94"/>
      <c r="K154" s="94"/>
    </row>
    <row r="155" spans="2:11" x14ac:dyDescent="0.3">
      <c r="D155" s="7"/>
      <c r="E155" s="7"/>
      <c r="F155" s="94"/>
      <c r="G155" s="94"/>
      <c r="H155" s="94"/>
      <c r="I155" s="94"/>
      <c r="J155" s="94"/>
      <c r="K155" s="94"/>
    </row>
    <row r="156" spans="2:11" x14ac:dyDescent="0.3">
      <c r="D156" s="7"/>
      <c r="E156" s="7"/>
      <c r="F156" s="94"/>
      <c r="G156" s="94"/>
      <c r="H156" s="94"/>
      <c r="I156" s="94"/>
      <c r="J156" s="94"/>
      <c r="K156" s="94"/>
    </row>
    <row r="157" spans="2:11" x14ac:dyDescent="0.3">
      <c r="B157" s="33" t="s">
        <v>168</v>
      </c>
      <c r="D157" s="7"/>
      <c r="E157" s="7"/>
      <c r="F157" s="94"/>
      <c r="G157" s="94"/>
      <c r="H157" s="94"/>
      <c r="I157" s="94"/>
      <c r="J157" s="94"/>
      <c r="K157" s="94"/>
    </row>
    <row r="158" spans="2:11" x14ac:dyDescent="0.3">
      <c r="D158" s="7"/>
      <c r="E158" s="7"/>
      <c r="F158" s="94"/>
      <c r="G158" s="94"/>
      <c r="H158" s="94"/>
      <c r="I158" s="94"/>
      <c r="J158" s="94"/>
      <c r="K158" s="94"/>
    </row>
    <row r="159" spans="2:11" x14ac:dyDescent="0.3">
      <c r="D159" s="7"/>
      <c r="E159" s="7"/>
      <c r="F159" s="94"/>
      <c r="G159" s="94"/>
      <c r="H159" s="94"/>
      <c r="I159" s="94"/>
      <c r="J159" s="94"/>
      <c r="K159" s="94"/>
    </row>
    <row r="160" spans="2:11" x14ac:dyDescent="0.3">
      <c r="D160" s="7"/>
      <c r="E160" s="7"/>
      <c r="F160" s="94"/>
      <c r="G160" s="94"/>
      <c r="H160" s="94"/>
      <c r="I160" s="94"/>
      <c r="J160" s="94"/>
      <c r="K160" s="94"/>
    </row>
    <row r="161" spans="4:11" x14ac:dyDescent="0.3">
      <c r="D161" s="7"/>
      <c r="E161" s="7"/>
      <c r="F161" s="94"/>
      <c r="G161" s="94"/>
      <c r="H161" s="94"/>
      <c r="I161" s="94"/>
      <c r="J161" s="94"/>
      <c r="K161" s="94"/>
    </row>
    <row r="162" spans="4:11" x14ac:dyDescent="0.3">
      <c r="D162" s="7"/>
      <c r="E162" s="7"/>
      <c r="F162" s="94"/>
      <c r="G162" s="94"/>
      <c r="H162" s="94"/>
      <c r="I162" s="94"/>
      <c r="J162" s="94"/>
      <c r="K162" s="94"/>
    </row>
    <row r="163" spans="4:11" x14ac:dyDescent="0.3">
      <c r="D163" s="7"/>
      <c r="E163" s="7"/>
      <c r="F163" s="94"/>
      <c r="G163" s="94"/>
      <c r="H163" s="94"/>
      <c r="I163" s="94"/>
      <c r="J163" s="94"/>
      <c r="K163" s="94"/>
    </row>
    <row r="164" spans="4:11" x14ac:dyDescent="0.3">
      <c r="D164" s="7"/>
      <c r="E164" s="7"/>
      <c r="F164" s="94"/>
      <c r="G164" s="94"/>
      <c r="H164" s="94"/>
      <c r="I164" s="94"/>
      <c r="J164" s="94"/>
      <c r="K164" s="94"/>
    </row>
    <row r="165" spans="4:11" x14ac:dyDescent="0.3">
      <c r="D165" s="7"/>
      <c r="E165" s="7"/>
      <c r="F165" s="94"/>
      <c r="G165" s="94"/>
      <c r="H165" s="94"/>
      <c r="I165" s="94"/>
      <c r="J165" s="94"/>
      <c r="K165" s="94"/>
    </row>
    <row r="166" spans="4:11" x14ac:dyDescent="0.3">
      <c r="D166" s="7"/>
      <c r="E166" s="7"/>
      <c r="F166" s="94"/>
      <c r="G166" s="94"/>
      <c r="H166" s="94"/>
      <c r="I166" s="94"/>
      <c r="J166" s="94"/>
      <c r="K166" s="94"/>
    </row>
    <row r="167" spans="4:11" x14ac:dyDescent="0.3">
      <c r="D167" s="7"/>
      <c r="E167" s="7"/>
      <c r="F167" s="94"/>
      <c r="G167" s="94"/>
      <c r="H167" s="94"/>
      <c r="I167" s="94"/>
      <c r="J167" s="94"/>
      <c r="K167" s="94"/>
    </row>
    <row r="168" spans="4:11" x14ac:dyDescent="0.3">
      <c r="D168" s="7"/>
      <c r="E168" s="7"/>
      <c r="F168" s="94"/>
      <c r="G168" s="94"/>
      <c r="H168" s="94"/>
      <c r="I168" s="94"/>
      <c r="J168" s="94"/>
      <c r="K168" s="94"/>
    </row>
    <row r="169" spans="4:11" x14ac:dyDescent="0.3">
      <c r="D169" s="7"/>
      <c r="E169" s="7"/>
      <c r="F169" s="94"/>
      <c r="G169" s="94"/>
      <c r="H169" s="94"/>
      <c r="I169" s="94"/>
      <c r="J169" s="94"/>
      <c r="K169" s="94"/>
    </row>
    <row r="170" spans="4:11" x14ac:dyDescent="0.3">
      <c r="D170" s="7"/>
      <c r="E170" s="7"/>
      <c r="F170" s="94"/>
      <c r="G170" s="94"/>
      <c r="H170" s="94"/>
      <c r="I170" s="94"/>
      <c r="J170" s="94"/>
      <c r="K170" s="94"/>
    </row>
    <row r="171" spans="4:11" x14ac:dyDescent="0.3">
      <c r="D171" s="7"/>
      <c r="E171" s="7"/>
      <c r="F171" s="94"/>
      <c r="G171" s="94"/>
      <c r="H171" s="94"/>
      <c r="I171" s="94"/>
      <c r="J171" s="94"/>
      <c r="K171" s="94"/>
    </row>
    <row r="172" spans="4:11" x14ac:dyDescent="0.3">
      <c r="D172" s="7"/>
      <c r="E172" s="7"/>
      <c r="F172" s="94"/>
      <c r="G172" s="94"/>
      <c r="H172" s="94"/>
      <c r="I172" s="94"/>
      <c r="J172" s="94"/>
      <c r="K172" s="94"/>
    </row>
    <row r="173" spans="4:11" x14ac:dyDescent="0.3">
      <c r="D173" s="7"/>
      <c r="E173" s="7"/>
      <c r="F173" s="94"/>
      <c r="G173" s="94"/>
      <c r="H173" s="94"/>
      <c r="I173" s="94"/>
      <c r="J173" s="94"/>
      <c r="K173" s="94"/>
    </row>
    <row r="174" spans="4:11" x14ac:dyDescent="0.3">
      <c r="D174" s="7"/>
      <c r="E174" s="7"/>
      <c r="F174" s="94"/>
      <c r="G174" s="94"/>
      <c r="H174" s="94"/>
      <c r="I174" s="94"/>
      <c r="J174" s="94"/>
      <c r="K174" s="94"/>
    </row>
    <row r="175" spans="4:11" x14ac:dyDescent="0.3">
      <c r="D175" s="7"/>
      <c r="E175" s="7"/>
      <c r="F175" s="94"/>
      <c r="G175" s="94"/>
      <c r="H175" s="94"/>
      <c r="I175" s="94"/>
      <c r="J175" s="94"/>
      <c r="K175" s="94"/>
    </row>
    <row r="176" spans="4:11" x14ac:dyDescent="0.3">
      <c r="D176" s="7"/>
      <c r="E176" s="7"/>
      <c r="F176" s="94"/>
      <c r="G176" s="94"/>
      <c r="H176" s="94"/>
      <c r="I176" s="94"/>
      <c r="J176" s="94"/>
      <c r="K176" s="94"/>
    </row>
    <row r="177" spans="2:11" x14ac:dyDescent="0.3">
      <c r="D177" s="7"/>
      <c r="E177" s="7"/>
      <c r="F177" s="94"/>
      <c r="G177" s="94"/>
      <c r="H177" s="94"/>
      <c r="I177" s="94"/>
      <c r="J177" s="94"/>
      <c r="K177" s="94"/>
    </row>
    <row r="178" spans="2:11" x14ac:dyDescent="0.3">
      <c r="B178" s="33" t="s">
        <v>302</v>
      </c>
    </row>
    <row r="179" spans="2:11" x14ac:dyDescent="0.3">
      <c r="E179" s="25"/>
    </row>
    <row r="199" spans="2:2" x14ac:dyDescent="0.3">
      <c r="B199" s="33" t="s">
        <v>268</v>
      </c>
    </row>
    <row r="218" spans="2:2" x14ac:dyDescent="0.3">
      <c r="B218" s="33" t="s">
        <v>208</v>
      </c>
    </row>
  </sheetData>
  <mergeCells count="1">
    <mergeCell ref="A1:B1"/>
  </mergeCells>
  <conditionalFormatting sqref="D3">
    <cfRule type="cellIs" dxfId="75" priority="51" operator="greaterThan">
      <formula>$C3</formula>
    </cfRule>
  </conditionalFormatting>
  <conditionalFormatting sqref="D12">
    <cfRule type="cellIs" dxfId="74" priority="49" operator="lessThan">
      <formula>$C12</formula>
    </cfRule>
  </conditionalFormatting>
  <conditionalFormatting sqref="D15:G15 K15">
    <cfRule type="cellIs" dxfId="73" priority="47" operator="greaterThan">
      <formula>$C$15</formula>
    </cfRule>
  </conditionalFormatting>
  <conditionalFormatting sqref="E3:G3 K3">
    <cfRule type="cellIs" dxfId="72" priority="43" operator="greaterThan">
      <formula>$C3</formula>
    </cfRule>
  </conditionalFormatting>
  <conditionalFormatting sqref="D51:G51 K51">
    <cfRule type="cellIs" dxfId="71" priority="42" operator="greaterThan">
      <formula>$C51</formula>
    </cfRule>
  </conditionalFormatting>
  <conditionalFormatting sqref="D62:G62 K62">
    <cfRule type="cellIs" dxfId="70" priority="41" operator="greaterThan">
      <formula>$C62</formula>
    </cfRule>
  </conditionalFormatting>
  <conditionalFormatting sqref="D64:G64 K64">
    <cfRule type="cellIs" dxfId="69" priority="40" operator="greaterThan">
      <formula>$C64</formula>
    </cfRule>
  </conditionalFormatting>
  <conditionalFormatting sqref="E12:G12 K12">
    <cfRule type="cellIs" dxfId="68" priority="39" operator="lessThan">
      <formula>$C12</formula>
    </cfRule>
  </conditionalFormatting>
  <conditionalFormatting sqref="D76:G77">
    <cfRule type="cellIs" dxfId="67" priority="38" operator="lessThan">
      <formula>$C76</formula>
    </cfRule>
  </conditionalFormatting>
  <conditionalFormatting sqref="E76:G77 K76:K77">
    <cfRule type="cellIs" dxfId="66" priority="37" operator="lessThan">
      <formula>$C76</formula>
    </cfRule>
  </conditionalFormatting>
  <conditionalFormatting sqref="D65 E65:G66 K65:K66">
    <cfRule type="expression" dxfId="65" priority="28">
      <formula>D$65+D$66&gt;=$C$66</formula>
    </cfRule>
  </conditionalFormatting>
  <conditionalFormatting sqref="D66">
    <cfRule type="expression" dxfId="64" priority="26">
      <formula>D$65+D$66&gt;=$C$66</formula>
    </cfRule>
  </conditionalFormatting>
  <conditionalFormatting sqref="H15">
    <cfRule type="cellIs" dxfId="63" priority="24" operator="greaterThan">
      <formula>$C$15</formula>
    </cfRule>
  </conditionalFormatting>
  <conditionalFormatting sqref="H3">
    <cfRule type="cellIs" dxfId="62" priority="23" operator="greaterThan">
      <formula>$C3</formula>
    </cfRule>
  </conditionalFormatting>
  <conditionalFormatting sqref="H51">
    <cfRule type="cellIs" dxfId="61" priority="22" operator="greaterThan">
      <formula>$C51</formula>
    </cfRule>
  </conditionalFormatting>
  <conditionalFormatting sqref="H62">
    <cfRule type="cellIs" dxfId="60" priority="21" operator="greaterThan">
      <formula>$C62</formula>
    </cfRule>
  </conditionalFormatting>
  <conditionalFormatting sqref="H64">
    <cfRule type="cellIs" dxfId="59" priority="20" operator="greaterThan">
      <formula>$C64</formula>
    </cfRule>
  </conditionalFormatting>
  <conditionalFormatting sqref="H12">
    <cfRule type="cellIs" dxfId="58" priority="19" operator="lessThan">
      <formula>$C12</formula>
    </cfRule>
  </conditionalFormatting>
  <conditionalFormatting sqref="H76:H77">
    <cfRule type="cellIs" dxfId="57" priority="18" operator="lessThan">
      <formula>$C76</formula>
    </cfRule>
  </conditionalFormatting>
  <conditionalFormatting sqref="H65:H66">
    <cfRule type="expression" dxfId="56" priority="17">
      <formula>H$65+H$66&gt;=$C$66</formula>
    </cfRule>
  </conditionalFormatting>
  <conditionalFormatting sqref="I15">
    <cfRule type="cellIs" dxfId="55" priority="16" operator="greaterThan">
      <formula>$C$15</formula>
    </cfRule>
  </conditionalFormatting>
  <conditionalFormatting sqref="I3">
    <cfRule type="cellIs" dxfId="54" priority="15" operator="greaterThan">
      <formula>$C3</formula>
    </cfRule>
  </conditionalFormatting>
  <conditionalFormatting sqref="I51">
    <cfRule type="cellIs" dxfId="53" priority="14" operator="greaterThan">
      <formula>$C51</formula>
    </cfRule>
  </conditionalFormatting>
  <conditionalFormatting sqref="I62">
    <cfRule type="cellIs" dxfId="52" priority="13" operator="greaterThan">
      <formula>$C62</formula>
    </cfRule>
  </conditionalFormatting>
  <conditionalFormatting sqref="I64">
    <cfRule type="cellIs" dxfId="51" priority="12" operator="greaterThan">
      <formula>$C64</formula>
    </cfRule>
  </conditionalFormatting>
  <conditionalFormatting sqref="I12">
    <cfRule type="cellIs" dxfId="50" priority="11" operator="lessThan">
      <formula>$C12</formula>
    </cfRule>
  </conditionalFormatting>
  <conditionalFormatting sqref="I76:I77">
    <cfRule type="cellIs" dxfId="49" priority="10" operator="lessThan">
      <formula>$C76</formula>
    </cfRule>
  </conditionalFormatting>
  <conditionalFormatting sqref="I65:I66">
    <cfRule type="expression" dxfId="48" priority="9">
      <formula>I$65+I$66&gt;=$C$66</formula>
    </cfRule>
  </conditionalFormatting>
  <conditionalFormatting sqref="J15">
    <cfRule type="cellIs" dxfId="47" priority="8" operator="greaterThan">
      <formula>$C$15</formula>
    </cfRule>
  </conditionalFormatting>
  <conditionalFormatting sqref="J3">
    <cfRule type="cellIs" dxfId="46" priority="7" operator="greaterThan">
      <formula>$C3</formula>
    </cfRule>
  </conditionalFormatting>
  <conditionalFormatting sqref="J51">
    <cfRule type="cellIs" dxfId="45" priority="6" operator="greaterThan">
      <formula>$C51</formula>
    </cfRule>
  </conditionalFormatting>
  <conditionalFormatting sqref="J62">
    <cfRule type="cellIs" dxfId="44" priority="5" operator="greaterThan">
      <formula>$C62</formula>
    </cfRule>
  </conditionalFormatting>
  <conditionalFormatting sqref="J64">
    <cfRule type="cellIs" dxfId="43" priority="4" operator="greaterThan">
      <formula>$C64</formula>
    </cfRule>
  </conditionalFormatting>
  <conditionalFormatting sqref="J12">
    <cfRule type="cellIs" dxfId="42" priority="3" operator="lessThan">
      <formula>$C12</formula>
    </cfRule>
  </conditionalFormatting>
  <conditionalFormatting sqref="J76:J77">
    <cfRule type="cellIs" dxfId="41" priority="2" operator="lessThan">
      <formula>$C76</formula>
    </cfRule>
  </conditionalFormatting>
  <conditionalFormatting sqref="J65:J66">
    <cfRule type="expression" dxfId="40" priority="1">
      <formula>J$65+J$66&gt;=$C$66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Entrate_Uscite</vt:lpstr>
      <vt:lpstr>Tav_Entrate</vt:lpstr>
      <vt:lpstr>Tav_Uscite</vt:lpstr>
      <vt:lpstr>Tav_Saldi</vt:lpstr>
      <vt:lpstr>Risultato_amministrazione</vt:lpstr>
      <vt:lpstr>Conto_economico</vt:lpstr>
      <vt:lpstr>Tav_contoeconomico</vt:lpstr>
      <vt:lpstr>Stato_patrimoniale</vt:lpstr>
      <vt:lpstr>Piano_indicatori</vt:lpstr>
      <vt:lpstr>Tav_indicatori</vt:lpstr>
      <vt:lpstr>Popolazione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</dc:creator>
  <cp:lastModifiedBy>Franco</cp:lastModifiedBy>
  <dcterms:created xsi:type="dcterms:W3CDTF">2019-02-06T21:02:13Z</dcterms:created>
  <dcterms:modified xsi:type="dcterms:W3CDTF">2024-12-27T11:29:30Z</dcterms:modified>
</cp:coreProperties>
</file>