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lanci\rendiconti\Comuni\"/>
    </mc:Choice>
  </mc:AlternateContent>
  <bookViews>
    <workbookView xWindow="240" yWindow="48" windowWidth="20112" windowHeight="7992" firstSheet="4" activeTab="8"/>
  </bookViews>
  <sheets>
    <sheet name="Entrate_Uscite" sheetId="2" r:id="rId1"/>
    <sheet name="Tav_Entrate" sheetId="7" r:id="rId2"/>
    <sheet name="Tav_Uscite" sheetId="8" r:id="rId3"/>
    <sheet name="Tav_Saldi" sheetId="9" r:id="rId4"/>
    <sheet name="Risultato_amministrazione" sheetId="1" r:id="rId5"/>
    <sheet name="Conto_economico" sheetId="6" r:id="rId6"/>
    <sheet name="Tav_contoeconomico" sheetId="10" r:id="rId7"/>
    <sheet name="Stato_patrimoniale" sheetId="5" r:id="rId8"/>
    <sheet name="Piano_indicatori" sheetId="4" r:id="rId9"/>
    <sheet name="Tav_indicatori" sheetId="12" r:id="rId10"/>
    <sheet name="Popolazione" sheetId="13" r:id="rId11"/>
  </sheets>
  <calcPr calcId="152511"/>
</workbook>
</file>

<file path=xl/calcChain.xml><?xml version="1.0" encoding="utf-8"?>
<calcChain xmlns="http://schemas.openxmlformats.org/spreadsheetml/2006/main">
  <c r="K9" i="12" l="1"/>
  <c r="K8" i="12"/>
  <c r="K7" i="12"/>
  <c r="K6" i="12"/>
  <c r="K5" i="12"/>
  <c r="K4" i="12"/>
  <c r="K3" i="12"/>
  <c r="K2" i="12"/>
  <c r="J27" i="5"/>
  <c r="J28" i="5" s="1"/>
  <c r="J26" i="5"/>
  <c r="J13" i="5"/>
  <c r="L16" i="10"/>
  <c r="L15" i="10"/>
  <c r="L14" i="10"/>
  <c r="L13" i="10"/>
  <c r="L12" i="10"/>
  <c r="L11" i="10"/>
  <c r="L10" i="10"/>
  <c r="L9" i="10"/>
  <c r="L8" i="10"/>
  <c r="L7" i="10"/>
  <c r="L6" i="10"/>
  <c r="L5" i="10"/>
  <c r="L4" i="10"/>
  <c r="L3" i="10"/>
  <c r="L2" i="10"/>
  <c r="J15" i="10"/>
  <c r="J13" i="10"/>
  <c r="J12" i="10"/>
  <c r="J11" i="10"/>
  <c r="J9" i="10"/>
  <c r="J8" i="10"/>
  <c r="J7" i="10"/>
  <c r="J6" i="10"/>
  <c r="J5" i="10"/>
  <c r="J4" i="10"/>
  <c r="J3" i="10"/>
  <c r="J2" i="10"/>
  <c r="J10" i="10" s="1"/>
  <c r="J14" i="10" s="1"/>
  <c r="J16" i="10" s="1"/>
  <c r="M27" i="6"/>
  <c r="M26" i="6"/>
  <c r="M25" i="6"/>
  <c r="M24" i="6"/>
  <c r="M23" i="6"/>
  <c r="M22" i="6"/>
  <c r="M20" i="6"/>
  <c r="M19" i="6"/>
  <c r="M18" i="6"/>
  <c r="M17" i="6"/>
  <c r="M16" i="6"/>
  <c r="M15" i="6"/>
  <c r="M14" i="6"/>
  <c r="M13" i="6"/>
  <c r="M12" i="6"/>
  <c r="M11" i="6"/>
  <c r="M9" i="6"/>
  <c r="M8" i="6"/>
  <c r="M7" i="6"/>
  <c r="M6" i="6"/>
  <c r="M5" i="6"/>
  <c r="M4" i="6"/>
  <c r="M3" i="6"/>
  <c r="M2" i="6"/>
  <c r="K21" i="6"/>
  <c r="K10" i="6"/>
  <c r="K29" i="6" s="1"/>
  <c r="J23" i="1"/>
  <c r="J19" i="1"/>
  <c r="J13" i="1"/>
  <c r="J7" i="1"/>
  <c r="J21" i="1" s="1"/>
  <c r="K28" i="6" l="1"/>
  <c r="K28" i="8"/>
  <c r="K26" i="8"/>
  <c r="K25" i="8"/>
  <c r="K23" i="8"/>
  <c r="K22" i="8"/>
  <c r="K18" i="8"/>
  <c r="K17" i="8"/>
  <c r="K16" i="8"/>
  <c r="K13" i="8"/>
  <c r="K7" i="8"/>
  <c r="K18" i="7"/>
  <c r="K17" i="7"/>
  <c r="K14" i="7"/>
  <c r="K12" i="7"/>
  <c r="H6" i="9"/>
  <c r="H5" i="9"/>
  <c r="H4" i="9"/>
  <c r="H3" i="9"/>
  <c r="H2" i="9"/>
  <c r="H29" i="8"/>
  <c r="H28" i="8"/>
  <c r="H26" i="8"/>
  <c r="H25" i="8"/>
  <c r="H24" i="8"/>
  <c r="H27" i="8" s="1"/>
  <c r="H23" i="8"/>
  <c r="H22" i="8"/>
  <c r="H19" i="8"/>
  <c r="H18" i="8"/>
  <c r="H17" i="8"/>
  <c r="H16" i="8"/>
  <c r="H20" i="8" s="1"/>
  <c r="H14" i="8"/>
  <c r="H13" i="8"/>
  <c r="H12" i="8"/>
  <c r="H11" i="8"/>
  <c r="H9" i="8"/>
  <c r="H8" i="8"/>
  <c r="H7" i="8"/>
  <c r="H6" i="8"/>
  <c r="H5" i="8"/>
  <c r="H4" i="8"/>
  <c r="H3" i="8"/>
  <c r="H2" i="8"/>
  <c r="H10" i="8" s="1"/>
  <c r="H19" i="7"/>
  <c r="H18" i="7"/>
  <c r="H17" i="7"/>
  <c r="H14" i="7"/>
  <c r="H13" i="7"/>
  <c r="H12" i="7"/>
  <c r="H10" i="7"/>
  <c r="H9" i="7"/>
  <c r="H8" i="7"/>
  <c r="H7" i="7"/>
  <c r="H6" i="7"/>
  <c r="H11" i="7" s="1"/>
  <c r="H4" i="7"/>
  <c r="H3" i="7"/>
  <c r="H2" i="7"/>
  <c r="H5" i="7" s="1"/>
  <c r="AA55" i="2"/>
  <c r="Z55" i="2"/>
  <c r="AA54" i="2"/>
  <c r="Z54" i="2"/>
  <c r="AA53" i="2"/>
  <c r="Z53" i="2"/>
  <c r="AA52" i="2"/>
  <c r="Z52" i="2"/>
  <c r="AA51" i="2"/>
  <c r="Z51" i="2"/>
  <c r="AA50" i="2"/>
  <c r="Z50" i="2"/>
  <c r="AA49" i="2"/>
  <c r="Z49" i="2"/>
  <c r="AA48" i="2"/>
  <c r="Z48" i="2"/>
  <c r="AA47" i="2"/>
  <c r="Z47" i="2"/>
  <c r="AA46" i="2"/>
  <c r="Z46" i="2"/>
  <c r="AA45" i="2"/>
  <c r="Z45" i="2"/>
  <c r="AA44" i="2"/>
  <c r="Z44" i="2"/>
  <c r="AA43" i="2"/>
  <c r="Z43" i="2"/>
  <c r="AA42" i="2"/>
  <c r="Z42" i="2"/>
  <c r="AA41" i="2"/>
  <c r="Z41" i="2"/>
  <c r="AA40" i="2"/>
  <c r="Z40" i="2"/>
  <c r="AA39" i="2"/>
  <c r="Z39" i="2"/>
  <c r="AA38" i="2"/>
  <c r="Z38" i="2"/>
  <c r="AA37" i="2"/>
  <c r="Z37" i="2"/>
  <c r="AA36" i="2"/>
  <c r="Z36" i="2"/>
  <c r="AA35" i="2"/>
  <c r="Z35" i="2"/>
  <c r="AA34" i="2"/>
  <c r="Z34" i="2"/>
  <c r="AA33" i="2"/>
  <c r="Z33" i="2"/>
  <c r="AA32" i="2"/>
  <c r="Z32" i="2"/>
  <c r="AA31" i="2"/>
  <c r="Z31" i="2"/>
  <c r="AA30" i="2"/>
  <c r="Z30" i="2"/>
  <c r="AA29" i="2"/>
  <c r="Z29" i="2"/>
  <c r="AA28" i="2"/>
  <c r="Z28" i="2"/>
  <c r="AA27" i="2"/>
  <c r="Z27" i="2"/>
  <c r="AA26" i="2"/>
  <c r="Z26" i="2"/>
  <c r="AA25" i="2"/>
  <c r="Z25" i="2"/>
  <c r="AA24" i="2"/>
  <c r="Z24" i="2"/>
  <c r="AA23" i="2"/>
  <c r="Z23" i="2"/>
  <c r="AA21" i="2"/>
  <c r="Z21" i="2"/>
  <c r="AA20" i="2"/>
  <c r="Z20" i="2"/>
  <c r="AA19" i="2"/>
  <c r="Z19" i="2"/>
  <c r="AA18" i="2"/>
  <c r="Z18" i="2"/>
  <c r="AA17" i="2"/>
  <c r="Z17" i="2"/>
  <c r="AA16" i="2"/>
  <c r="Z16" i="2"/>
  <c r="AA15" i="2"/>
  <c r="Z15" i="2"/>
  <c r="AA14" i="2"/>
  <c r="Z14" i="2"/>
  <c r="AA13" i="2"/>
  <c r="Z13" i="2"/>
  <c r="AA12" i="2"/>
  <c r="Z12" i="2"/>
  <c r="AA11" i="2"/>
  <c r="Z11" i="2"/>
  <c r="AA10" i="2"/>
  <c r="Z10" i="2"/>
  <c r="AA9" i="2"/>
  <c r="Z9" i="2"/>
  <c r="AA8" i="2"/>
  <c r="Z8" i="2"/>
  <c r="AA7" i="2"/>
  <c r="Z7" i="2"/>
  <c r="AA6" i="2"/>
  <c r="Z6" i="2"/>
  <c r="AA5" i="2"/>
  <c r="Z5" i="2"/>
  <c r="AA4" i="2"/>
  <c r="Z4" i="2"/>
  <c r="AA3" i="2"/>
  <c r="Z3" i="2"/>
  <c r="H15" i="8" l="1"/>
  <c r="H30" i="8" s="1"/>
  <c r="H31" i="8" s="1"/>
  <c r="H21" i="8"/>
  <c r="H15" i="7"/>
  <c r="H20" i="7"/>
  <c r="H21" i="7" s="1"/>
  <c r="H16" i="7"/>
  <c r="T58" i="2" l="1"/>
  <c r="T53" i="2"/>
  <c r="V53" i="2" s="1"/>
  <c r="U52" i="2"/>
  <c r="T52" i="2"/>
  <c r="V52" i="2" s="1"/>
  <c r="V51" i="2"/>
  <c r="U51" i="2"/>
  <c r="T51" i="2"/>
  <c r="U50" i="2"/>
  <c r="T50" i="2"/>
  <c r="V50" i="2" s="1"/>
  <c r="U49" i="2"/>
  <c r="T49" i="2"/>
  <c r="V49" i="2" s="1"/>
  <c r="U48" i="2"/>
  <c r="U61" i="2" s="1"/>
  <c r="T48" i="2"/>
  <c r="V48" i="2" s="1"/>
  <c r="V47" i="2"/>
  <c r="V46" i="2"/>
  <c r="V45" i="2"/>
  <c r="V44" i="2"/>
  <c r="V43" i="2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V19" i="2"/>
  <c r="V18" i="2"/>
  <c r="V17" i="2"/>
  <c r="U16" i="2"/>
  <c r="T16" i="2"/>
  <c r="V16" i="2" s="1"/>
  <c r="U15" i="2"/>
  <c r="U57" i="2" s="1"/>
  <c r="T15" i="2"/>
  <c r="V15" i="2" s="1"/>
  <c r="U14" i="2"/>
  <c r="U56" i="2" s="1"/>
  <c r="T14" i="2"/>
  <c r="T56" i="2" s="1"/>
  <c r="V13" i="2"/>
  <c r="V12" i="2"/>
  <c r="V11" i="2"/>
  <c r="V10" i="2"/>
  <c r="V9" i="2"/>
  <c r="V8" i="2"/>
  <c r="V7" i="2"/>
  <c r="V6" i="2"/>
  <c r="V5" i="2"/>
  <c r="V4" i="2"/>
  <c r="V3" i="2"/>
  <c r="T20" i="2" l="1"/>
  <c r="T54" i="2"/>
  <c r="T57" i="2"/>
  <c r="U20" i="2"/>
  <c r="U21" i="2" s="1"/>
  <c r="U54" i="2"/>
  <c r="U55" i="2" s="1"/>
  <c r="U58" i="2"/>
  <c r="V14" i="2"/>
  <c r="U60" i="2"/>
  <c r="G3" i="13"/>
  <c r="G4" i="13"/>
  <c r="U59" i="2" l="1"/>
  <c r="T55" i="2"/>
  <c r="V55" i="2" s="1"/>
  <c r="V54" i="2"/>
  <c r="V20" i="2"/>
  <c r="T21" i="2"/>
  <c r="I9" i="10"/>
  <c r="J29" i="6"/>
  <c r="V21" i="2" l="1"/>
  <c r="T59" i="2"/>
  <c r="J9" i="12"/>
  <c r="J8" i="12"/>
  <c r="J7" i="12"/>
  <c r="J6" i="12"/>
  <c r="J5" i="12"/>
  <c r="J4" i="12"/>
  <c r="J3" i="12"/>
  <c r="J2" i="12"/>
  <c r="G29" i="8"/>
  <c r="G28" i="8"/>
  <c r="G26" i="8"/>
  <c r="G25" i="8"/>
  <c r="G24" i="8"/>
  <c r="G23" i="8"/>
  <c r="G22" i="8"/>
  <c r="G19" i="8"/>
  <c r="G18" i="8"/>
  <c r="G17" i="8"/>
  <c r="G16" i="8"/>
  <c r="G14" i="8"/>
  <c r="G13" i="8"/>
  <c r="G12" i="8"/>
  <c r="G11" i="8"/>
  <c r="G9" i="8"/>
  <c r="G8" i="8"/>
  <c r="G7" i="8"/>
  <c r="G6" i="8"/>
  <c r="G5" i="8"/>
  <c r="G4" i="8"/>
  <c r="G3" i="8"/>
  <c r="G2" i="8"/>
  <c r="G19" i="7"/>
  <c r="G18" i="7"/>
  <c r="G17" i="7"/>
  <c r="G14" i="7"/>
  <c r="G13" i="7"/>
  <c r="G12" i="7"/>
  <c r="G10" i="7"/>
  <c r="G9" i="7"/>
  <c r="G8" i="7"/>
  <c r="G7" i="7"/>
  <c r="G6" i="7"/>
  <c r="G4" i="7"/>
  <c r="G3" i="7"/>
  <c r="G2" i="7"/>
  <c r="G5" i="7" l="1"/>
  <c r="G15" i="8"/>
  <c r="G10" i="8"/>
  <c r="G27" i="8"/>
  <c r="G20" i="8"/>
  <c r="G15" i="7"/>
  <c r="G11" i="7"/>
  <c r="G16" i="7" s="1"/>
  <c r="G21" i="8" l="1"/>
  <c r="G20" i="7"/>
  <c r="G30" i="8"/>
  <c r="Q53" i="2"/>
  <c r="S53" i="2" s="1"/>
  <c r="S52" i="2"/>
  <c r="R52" i="2"/>
  <c r="Q52" i="2"/>
  <c r="R51" i="2"/>
  <c r="R54" i="2" s="1"/>
  <c r="R55" i="2" s="1"/>
  <c r="Q51" i="2"/>
  <c r="S51" i="2" s="1"/>
  <c r="R50" i="2"/>
  <c r="R61" i="2" s="1"/>
  <c r="Q50" i="2"/>
  <c r="S50" i="2" s="1"/>
  <c r="S49" i="2"/>
  <c r="Q49" i="2"/>
  <c r="Q48" i="2"/>
  <c r="S48" i="2" s="1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19" i="2"/>
  <c r="S18" i="2"/>
  <c r="S17" i="2"/>
  <c r="R16" i="2"/>
  <c r="Q16" i="2"/>
  <c r="R15" i="2"/>
  <c r="Q15" i="2"/>
  <c r="R14" i="2"/>
  <c r="Q14" i="2"/>
  <c r="S13" i="2"/>
  <c r="S12" i="2"/>
  <c r="S11" i="2"/>
  <c r="S10" i="2"/>
  <c r="S9" i="2"/>
  <c r="S8" i="2"/>
  <c r="S7" i="2"/>
  <c r="S6" i="2"/>
  <c r="S5" i="2"/>
  <c r="S4" i="2"/>
  <c r="S3" i="2"/>
  <c r="I27" i="5"/>
  <c r="I28" i="5" s="1"/>
  <c r="I26" i="5"/>
  <c r="I13" i="5"/>
  <c r="I15" i="10"/>
  <c r="I13" i="10"/>
  <c r="I12" i="10"/>
  <c r="I11" i="10"/>
  <c r="I8" i="10"/>
  <c r="I7" i="10"/>
  <c r="I6" i="10"/>
  <c r="I5" i="10"/>
  <c r="I4" i="10"/>
  <c r="I3" i="10"/>
  <c r="I2" i="10"/>
  <c r="J21" i="6"/>
  <c r="J10" i="6"/>
  <c r="J28" i="6" s="1"/>
  <c r="I23" i="1"/>
  <c r="I19" i="1"/>
  <c r="I13" i="1"/>
  <c r="I7" i="1"/>
  <c r="I21" i="1" s="1"/>
  <c r="I10" i="10" l="1"/>
  <c r="I14" i="10" s="1"/>
  <c r="I16" i="10" s="1"/>
  <c r="S16" i="2"/>
  <c r="G4" i="9"/>
  <c r="S15" i="2"/>
  <c r="R57" i="2"/>
  <c r="G21" i="7"/>
  <c r="Q56" i="2"/>
  <c r="G2" i="9" s="1"/>
  <c r="R56" i="2"/>
  <c r="G31" i="8"/>
  <c r="S14" i="2"/>
  <c r="Q54" i="2"/>
  <c r="Q57" i="2"/>
  <c r="Q20" i="2"/>
  <c r="Q58" i="2"/>
  <c r="G5" i="9" s="1"/>
  <c r="R20" i="2"/>
  <c r="R58" i="2"/>
  <c r="R60" i="2"/>
  <c r="G5" i="13"/>
  <c r="R21" i="2" l="1"/>
  <c r="G3" i="9"/>
  <c r="Q21" i="2"/>
  <c r="S20" i="2"/>
  <c r="Q55" i="2"/>
  <c r="S55" i="2" s="1"/>
  <c r="S54" i="2"/>
  <c r="G7" i="13"/>
  <c r="G8" i="13"/>
  <c r="G9" i="13"/>
  <c r="G10" i="13"/>
  <c r="G11" i="13"/>
  <c r="G6" i="13"/>
  <c r="R59" i="2" l="1"/>
  <c r="S21" i="2"/>
  <c r="Q59" i="2"/>
  <c r="G6" i="9" s="1"/>
  <c r="I9" i="12"/>
  <c r="I8" i="12"/>
  <c r="I7" i="12"/>
  <c r="I6" i="12"/>
  <c r="I5" i="12"/>
  <c r="I4" i="12"/>
  <c r="I3" i="12"/>
  <c r="I2" i="12"/>
  <c r="F29" i="8"/>
  <c r="F28" i="8"/>
  <c r="F26" i="8"/>
  <c r="F25" i="8"/>
  <c r="F24" i="8"/>
  <c r="F23" i="8"/>
  <c r="F22" i="8"/>
  <c r="F19" i="8"/>
  <c r="F18" i="8"/>
  <c r="F17" i="8"/>
  <c r="F16" i="8"/>
  <c r="F14" i="8"/>
  <c r="F13" i="8"/>
  <c r="F12" i="8"/>
  <c r="F11" i="8"/>
  <c r="F9" i="8"/>
  <c r="F8" i="8"/>
  <c r="F7" i="8"/>
  <c r="F6" i="8"/>
  <c r="F5" i="8"/>
  <c r="F4" i="8"/>
  <c r="F3" i="8"/>
  <c r="F2" i="8"/>
  <c r="F19" i="7"/>
  <c r="F18" i="7"/>
  <c r="F17" i="7"/>
  <c r="F14" i="7"/>
  <c r="F13" i="7"/>
  <c r="F12" i="7"/>
  <c r="F10" i="7"/>
  <c r="F9" i="7"/>
  <c r="F8" i="7"/>
  <c r="F7" i="7"/>
  <c r="F6" i="7"/>
  <c r="F4" i="7"/>
  <c r="F3" i="7"/>
  <c r="F2" i="7"/>
  <c r="F20" i="8" l="1"/>
  <c r="F27" i="8"/>
  <c r="F10" i="8"/>
  <c r="F15" i="8"/>
  <c r="F5" i="7"/>
  <c r="F15" i="7"/>
  <c r="F11" i="7"/>
  <c r="F21" i="8" l="1"/>
  <c r="F20" i="7"/>
  <c r="F30" i="8"/>
  <c r="F31" i="8" s="1"/>
  <c r="F16" i="7"/>
  <c r="F21" i="7"/>
  <c r="O54" i="2"/>
  <c r="O55" i="2" s="1"/>
  <c r="P53" i="2"/>
  <c r="P52" i="2"/>
  <c r="O52" i="2"/>
  <c r="N52" i="2"/>
  <c r="P51" i="2"/>
  <c r="O50" i="2"/>
  <c r="P50" i="2" s="1"/>
  <c r="N50" i="2"/>
  <c r="O49" i="2"/>
  <c r="O61" i="2" s="1"/>
  <c r="N49" i="2"/>
  <c r="N48" i="2"/>
  <c r="P48" i="2" s="1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19" i="2"/>
  <c r="P18" i="2"/>
  <c r="P17" i="2"/>
  <c r="O16" i="2"/>
  <c r="N16" i="2"/>
  <c r="O15" i="2"/>
  <c r="N15" i="2"/>
  <c r="O14" i="2"/>
  <c r="N14" i="2"/>
  <c r="N56" i="2" s="1"/>
  <c r="F2" i="9" s="1"/>
  <c r="P13" i="2"/>
  <c r="P12" i="2"/>
  <c r="P11" i="2"/>
  <c r="P10" i="2"/>
  <c r="P9" i="2"/>
  <c r="P8" i="2"/>
  <c r="P7" i="2"/>
  <c r="P6" i="2"/>
  <c r="P5" i="2"/>
  <c r="P4" i="2"/>
  <c r="P3" i="2"/>
  <c r="H27" i="5"/>
  <c r="H26" i="5"/>
  <c r="H13" i="5"/>
  <c r="H15" i="10"/>
  <c r="H13" i="10"/>
  <c r="H12" i="10"/>
  <c r="H11" i="10"/>
  <c r="H8" i="10"/>
  <c r="H7" i="10"/>
  <c r="H6" i="10"/>
  <c r="H4" i="10"/>
  <c r="H3" i="10"/>
  <c r="I21" i="6"/>
  <c r="H5" i="10" s="1"/>
  <c r="I10" i="6"/>
  <c r="H23" i="1"/>
  <c r="H19" i="1"/>
  <c r="H13" i="1"/>
  <c r="H21" i="1" s="1"/>
  <c r="H7" i="1"/>
  <c r="I28" i="6" l="1"/>
  <c r="I29" i="6"/>
  <c r="H9" i="10" s="1"/>
  <c r="H2" i="10"/>
  <c r="H10" i="10" s="1"/>
  <c r="H14" i="10" s="1"/>
  <c r="H16" i="10" s="1"/>
  <c r="P15" i="2"/>
  <c r="P16" i="2"/>
  <c r="F4" i="9"/>
  <c r="O57" i="2"/>
  <c r="N20" i="2"/>
  <c r="O56" i="2"/>
  <c r="N21" i="2"/>
  <c r="O60" i="2"/>
  <c r="N54" i="2"/>
  <c r="N57" i="2"/>
  <c r="F3" i="9" s="1"/>
  <c r="P14" i="2"/>
  <c r="N58" i="2"/>
  <c r="F5" i="9" s="1"/>
  <c r="O58" i="2"/>
  <c r="O20" i="2"/>
  <c r="P49" i="2"/>
  <c r="H28" i="5"/>
  <c r="K27" i="5"/>
  <c r="G27" i="5"/>
  <c r="F27" i="5"/>
  <c r="E27" i="5"/>
  <c r="D27" i="5"/>
  <c r="C27" i="5"/>
  <c r="B27" i="5"/>
  <c r="O21" i="2" l="1"/>
  <c r="O59" i="2" s="1"/>
  <c r="P20" i="2"/>
  <c r="N55" i="2"/>
  <c r="P55" i="2" s="1"/>
  <c r="P54" i="2"/>
  <c r="N59" i="2"/>
  <c r="F6" i="9" s="1"/>
  <c r="P21" i="2"/>
  <c r="H9" i="12" l="1"/>
  <c r="H8" i="12"/>
  <c r="H7" i="12"/>
  <c r="H6" i="12"/>
  <c r="H5" i="12"/>
  <c r="H4" i="12"/>
  <c r="H3" i="12"/>
  <c r="H2" i="12"/>
  <c r="E4" i="9"/>
  <c r="E29" i="8"/>
  <c r="E28" i="8"/>
  <c r="E26" i="8"/>
  <c r="E25" i="8"/>
  <c r="E24" i="8"/>
  <c r="E23" i="8"/>
  <c r="E22" i="8"/>
  <c r="E19" i="8"/>
  <c r="E18" i="8"/>
  <c r="E17" i="8"/>
  <c r="E16" i="8"/>
  <c r="E14" i="8"/>
  <c r="E13" i="8"/>
  <c r="E12" i="8"/>
  <c r="E11" i="8"/>
  <c r="E9" i="8"/>
  <c r="E8" i="8"/>
  <c r="E7" i="8"/>
  <c r="E6" i="8"/>
  <c r="E5" i="8"/>
  <c r="E4" i="8"/>
  <c r="E3" i="8"/>
  <c r="E2" i="8"/>
  <c r="E19" i="7"/>
  <c r="E18" i="7"/>
  <c r="E17" i="7"/>
  <c r="E14" i="7"/>
  <c r="E13" i="7"/>
  <c r="E12" i="7"/>
  <c r="E10" i="7"/>
  <c r="E9" i="7"/>
  <c r="E8" i="7"/>
  <c r="E7" i="7"/>
  <c r="E6" i="7"/>
  <c r="E4" i="7"/>
  <c r="E3" i="7"/>
  <c r="E2" i="7"/>
  <c r="E27" i="8" l="1"/>
  <c r="E11" i="7"/>
  <c r="E5" i="7"/>
  <c r="E15" i="7"/>
  <c r="E10" i="8"/>
  <c r="E20" i="8"/>
  <c r="E15" i="8"/>
  <c r="E30" i="8" l="1"/>
  <c r="E31" i="8" s="1"/>
  <c r="E16" i="7"/>
  <c r="E20" i="7"/>
  <c r="E21" i="8"/>
  <c r="L61" i="2"/>
  <c r="L60" i="2"/>
  <c r="L58" i="2"/>
  <c r="K58" i="2"/>
  <c r="E5" i="9" s="1"/>
  <c r="L57" i="2"/>
  <c r="K57" i="2"/>
  <c r="L56" i="2"/>
  <c r="K56" i="2"/>
  <c r="E2" i="9" s="1"/>
  <c r="L54" i="2"/>
  <c r="L55" i="2" s="1"/>
  <c r="L59" i="2" s="1"/>
  <c r="K54" i="2"/>
  <c r="K55" i="2" s="1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  <c r="K26" i="5"/>
  <c r="K13" i="5"/>
  <c r="K15" i="10"/>
  <c r="K13" i="10"/>
  <c r="K12" i="10"/>
  <c r="K11" i="10"/>
  <c r="K8" i="10"/>
  <c r="K7" i="10"/>
  <c r="K6" i="10"/>
  <c r="K4" i="10"/>
  <c r="K3" i="10"/>
  <c r="L21" i="6"/>
  <c r="M21" i="6" s="1"/>
  <c r="L10" i="6"/>
  <c r="M10" i="6" s="1"/>
  <c r="K23" i="1"/>
  <c r="K19" i="1"/>
  <c r="K13" i="1"/>
  <c r="K7" i="1"/>
  <c r="L29" i="6" l="1"/>
  <c r="M29" i="6" s="1"/>
  <c r="K5" i="10"/>
  <c r="K2" i="10"/>
  <c r="M54" i="2"/>
  <c r="E3" i="9"/>
  <c r="E21" i="7"/>
  <c r="K59" i="2"/>
  <c r="E6" i="9" s="1"/>
  <c r="M55" i="2"/>
  <c r="K28" i="5"/>
  <c r="L28" i="6"/>
  <c r="M28" i="6" s="1"/>
  <c r="K21" i="1"/>
  <c r="G2" i="12"/>
  <c r="L2" i="12"/>
  <c r="G3" i="12"/>
  <c r="L3" i="12"/>
  <c r="G4" i="12"/>
  <c r="L4" i="12"/>
  <c r="G5" i="12"/>
  <c r="L5" i="12"/>
  <c r="G6" i="12"/>
  <c r="L6" i="12"/>
  <c r="G7" i="12"/>
  <c r="L7" i="12"/>
  <c r="G8" i="12"/>
  <c r="L8" i="12"/>
  <c r="G9" i="12"/>
  <c r="L9" i="12"/>
  <c r="D5" i="9"/>
  <c r="K4" i="9"/>
  <c r="I4" i="9"/>
  <c r="J4" i="9" s="1"/>
  <c r="D4" i="9"/>
  <c r="C4" i="9"/>
  <c r="D29" i="8"/>
  <c r="D28" i="8"/>
  <c r="D26" i="8"/>
  <c r="D25" i="8"/>
  <c r="D24" i="8"/>
  <c r="D23" i="8"/>
  <c r="D22" i="8"/>
  <c r="D19" i="8"/>
  <c r="D18" i="8"/>
  <c r="D17" i="8"/>
  <c r="D16" i="8"/>
  <c r="D14" i="8"/>
  <c r="D13" i="8"/>
  <c r="D12" i="8"/>
  <c r="D11" i="8"/>
  <c r="D9" i="8"/>
  <c r="D8" i="8"/>
  <c r="D7" i="8"/>
  <c r="D6" i="8"/>
  <c r="D5" i="8"/>
  <c r="D4" i="8"/>
  <c r="D3" i="8"/>
  <c r="D2" i="8"/>
  <c r="D19" i="7"/>
  <c r="D18" i="7"/>
  <c r="D17" i="7"/>
  <c r="D14" i="7"/>
  <c r="D13" i="7"/>
  <c r="D12" i="7"/>
  <c r="D10" i="7"/>
  <c r="D9" i="7"/>
  <c r="D8" i="7"/>
  <c r="D7" i="7"/>
  <c r="D6" i="7"/>
  <c r="D4" i="7"/>
  <c r="D3" i="7"/>
  <c r="D2" i="7"/>
  <c r="X61" i="2"/>
  <c r="I61" i="2"/>
  <c r="F61" i="2"/>
  <c r="X60" i="2"/>
  <c r="I60" i="2"/>
  <c r="F60" i="2"/>
  <c r="X58" i="2"/>
  <c r="AA58" i="2" s="1"/>
  <c r="W58" i="2"/>
  <c r="Z58" i="2" s="1"/>
  <c r="I58" i="2"/>
  <c r="H58" i="2"/>
  <c r="F58" i="2"/>
  <c r="E58" i="2"/>
  <c r="C5" i="9" s="1"/>
  <c r="X57" i="2"/>
  <c r="W57" i="2"/>
  <c r="Z57" i="2" s="1"/>
  <c r="I57" i="2"/>
  <c r="H57" i="2"/>
  <c r="F57" i="2"/>
  <c r="E57" i="2"/>
  <c r="C3" i="9" s="1"/>
  <c r="X56" i="2"/>
  <c r="AA56" i="2" s="1"/>
  <c r="W56" i="2"/>
  <c r="Z56" i="2" s="1"/>
  <c r="I56" i="2"/>
  <c r="H56" i="2"/>
  <c r="D2" i="9" s="1"/>
  <c r="F56" i="2"/>
  <c r="E56" i="2"/>
  <c r="C2" i="9" s="1"/>
  <c r="K3" i="9" l="1"/>
  <c r="AA57" i="2"/>
  <c r="K9" i="10"/>
  <c r="I3" i="9"/>
  <c r="J3" i="9" s="1"/>
  <c r="K10" i="10"/>
  <c r="K2" i="9"/>
  <c r="K5" i="9"/>
  <c r="I2" i="9"/>
  <c r="J2" i="9" s="1"/>
  <c r="I5" i="9"/>
  <c r="J5" i="9" s="1"/>
  <c r="D5" i="7"/>
  <c r="D3" i="9"/>
  <c r="D10" i="8"/>
  <c r="D15" i="8"/>
  <c r="D20" i="8"/>
  <c r="D27" i="8"/>
  <c r="D11" i="7"/>
  <c r="D15" i="7"/>
  <c r="K14" i="10" l="1"/>
  <c r="D16" i="7"/>
  <c r="D30" i="8"/>
  <c r="D21" i="8"/>
  <c r="D20" i="7"/>
  <c r="J53" i="2"/>
  <c r="J52" i="2"/>
  <c r="J51" i="2"/>
  <c r="J50" i="2"/>
  <c r="J49" i="2"/>
  <c r="I54" i="2"/>
  <c r="H54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19" i="2"/>
  <c r="J18" i="2"/>
  <c r="J17" i="2"/>
  <c r="J16" i="2"/>
  <c r="J15" i="2"/>
  <c r="J13" i="2"/>
  <c r="J12" i="2"/>
  <c r="J11" i="2"/>
  <c r="J10" i="2"/>
  <c r="J9" i="2"/>
  <c r="J8" i="2"/>
  <c r="J7" i="2"/>
  <c r="J6" i="2"/>
  <c r="J5" i="2"/>
  <c r="J4" i="2"/>
  <c r="J3" i="2"/>
  <c r="C23" i="1"/>
  <c r="D23" i="1"/>
  <c r="E23" i="1"/>
  <c r="F23" i="1"/>
  <c r="G23" i="1"/>
  <c r="B23" i="1"/>
  <c r="G26" i="5"/>
  <c r="G28" i="5" s="1"/>
  <c r="G13" i="5"/>
  <c r="G15" i="10"/>
  <c r="G13" i="10"/>
  <c r="G12" i="10"/>
  <c r="G11" i="10"/>
  <c r="G8" i="10"/>
  <c r="G7" i="10"/>
  <c r="G6" i="10"/>
  <c r="G4" i="10"/>
  <c r="G3" i="10"/>
  <c r="H21" i="6"/>
  <c r="H10" i="6"/>
  <c r="H29" i="6" s="1"/>
  <c r="G9" i="10" s="1"/>
  <c r="G19" i="1"/>
  <c r="G13" i="1"/>
  <c r="G7" i="1"/>
  <c r="K16" i="10" l="1"/>
  <c r="G2" i="10"/>
  <c r="I55" i="2"/>
  <c r="G5" i="10"/>
  <c r="D31" i="8"/>
  <c r="D21" i="7"/>
  <c r="H55" i="2"/>
  <c r="J54" i="2"/>
  <c r="J14" i="2"/>
  <c r="J48" i="2"/>
  <c r="H28" i="6"/>
  <c r="G21" i="1"/>
  <c r="G10" i="10" l="1"/>
  <c r="I59" i="2"/>
  <c r="J55" i="2"/>
  <c r="H59" i="2"/>
  <c r="D6" i="9" s="1"/>
  <c r="J20" i="2"/>
  <c r="C16" i="6"/>
  <c r="C5" i="6"/>
  <c r="C4" i="6"/>
  <c r="D16" i="6"/>
  <c r="D4" i="6"/>
  <c r="D5" i="6"/>
  <c r="B24" i="5"/>
  <c r="B23" i="5"/>
  <c r="B21" i="5"/>
  <c r="B15" i="5"/>
  <c r="C24" i="5"/>
  <c r="C23" i="5"/>
  <c r="C21" i="5"/>
  <c r="C15" i="5"/>
  <c r="B6" i="5"/>
  <c r="B5" i="5"/>
  <c r="C6" i="5"/>
  <c r="C5" i="5"/>
  <c r="B53" i="2"/>
  <c r="C52" i="2"/>
  <c r="B52" i="2"/>
  <c r="C51" i="2"/>
  <c r="B51" i="2"/>
  <c r="C50" i="2"/>
  <c r="B50" i="2"/>
  <c r="C49" i="2"/>
  <c r="B49" i="2"/>
  <c r="C48" i="2"/>
  <c r="B48" i="2"/>
  <c r="C16" i="2"/>
  <c r="B16" i="2"/>
  <c r="C15" i="2"/>
  <c r="B15" i="2"/>
  <c r="B57" i="2" s="1"/>
  <c r="B3" i="9" s="1"/>
  <c r="C14" i="2"/>
  <c r="B14" i="2"/>
  <c r="C57" i="2" l="1"/>
  <c r="G14" i="10"/>
  <c r="C61" i="2"/>
  <c r="B20" i="2"/>
  <c r="B21" i="2" s="1"/>
  <c r="B58" i="2"/>
  <c r="B5" i="9" s="1"/>
  <c r="B56" i="2"/>
  <c r="B2" i="9" s="1"/>
  <c r="B4" i="9"/>
  <c r="C58" i="2"/>
  <c r="C56" i="2"/>
  <c r="C60" i="2"/>
  <c r="J21" i="2"/>
  <c r="C20" i="2"/>
  <c r="C21" i="2" s="1"/>
  <c r="B13" i="1"/>
  <c r="B19" i="1"/>
  <c r="B7" i="1"/>
  <c r="C13" i="1"/>
  <c r="C19" i="1"/>
  <c r="C7" i="1"/>
  <c r="B26" i="5"/>
  <c r="B13" i="5"/>
  <c r="G16" i="10" l="1"/>
  <c r="B21" i="1"/>
  <c r="C21" i="1"/>
  <c r="F21" i="6" l="1"/>
  <c r="G21" i="6"/>
  <c r="E21" i="6"/>
  <c r="G10" i="6"/>
  <c r="G29" i="6" s="1"/>
  <c r="F9" i="10" s="1"/>
  <c r="F10" i="6"/>
  <c r="F29" i="6" s="1"/>
  <c r="E9" i="10" s="1"/>
  <c r="E10" i="6"/>
  <c r="E29" i="6" s="1"/>
  <c r="D9" i="10" s="1"/>
  <c r="C26" i="5" l="1"/>
  <c r="C13" i="5"/>
  <c r="E19" i="1"/>
  <c r="D19" i="1"/>
  <c r="F19" i="1"/>
  <c r="D13" i="1"/>
  <c r="E13" i="1"/>
  <c r="F13" i="1"/>
  <c r="D7" i="1"/>
  <c r="E7" i="1"/>
  <c r="F7" i="1"/>
  <c r="B15" i="10" l="1"/>
  <c r="B13" i="10"/>
  <c r="B12" i="10"/>
  <c r="B11" i="10"/>
  <c r="B8" i="10"/>
  <c r="B7" i="10"/>
  <c r="B6" i="10"/>
  <c r="B4" i="10"/>
  <c r="B3" i="10"/>
  <c r="C10" i="6"/>
  <c r="C21" i="6"/>
  <c r="B5" i="10" s="1"/>
  <c r="C28" i="6"/>
  <c r="B2" i="10" l="1"/>
  <c r="C29" i="6"/>
  <c r="B9" i="10" s="1"/>
  <c r="B10" i="10"/>
  <c r="B14" i="10" s="1"/>
  <c r="B16" i="10" s="1"/>
  <c r="F26" i="5"/>
  <c r="E26" i="5"/>
  <c r="D26" i="5"/>
  <c r="F13" i="5"/>
  <c r="E13" i="5"/>
  <c r="D13" i="5"/>
  <c r="F28" i="6"/>
  <c r="G28" i="6"/>
  <c r="E28" i="6"/>
  <c r="F28" i="5" l="1"/>
  <c r="D10" i="6"/>
  <c r="D29" i="6" s="1"/>
  <c r="C9" i="10" s="1"/>
  <c r="D21" i="1"/>
  <c r="E21" i="1"/>
  <c r="F21" i="1"/>
  <c r="C6" i="10" l="1"/>
  <c r="D6" i="10"/>
  <c r="E6" i="10"/>
  <c r="F6" i="10"/>
  <c r="C7" i="10"/>
  <c r="D7" i="10"/>
  <c r="E7" i="10"/>
  <c r="F7" i="10"/>
  <c r="C8" i="10"/>
  <c r="D8" i="10"/>
  <c r="E8" i="10"/>
  <c r="F8" i="10"/>
  <c r="C3" i="10"/>
  <c r="D3" i="10"/>
  <c r="E3" i="10"/>
  <c r="F3" i="10"/>
  <c r="C4" i="10"/>
  <c r="D4" i="10"/>
  <c r="E4" i="10"/>
  <c r="F4" i="10"/>
  <c r="D28" i="6" l="1"/>
  <c r="D21" i="6"/>
  <c r="F2" i="12" l="1"/>
  <c r="F3" i="12"/>
  <c r="F4" i="12"/>
  <c r="F5" i="12"/>
  <c r="F6" i="12"/>
  <c r="F7" i="12"/>
  <c r="F8" i="12"/>
  <c r="F9" i="12"/>
  <c r="E9" i="12"/>
  <c r="E8" i="12"/>
  <c r="E7" i="12"/>
  <c r="E6" i="12"/>
  <c r="E5" i="12"/>
  <c r="E4" i="12"/>
  <c r="E3" i="12"/>
  <c r="E2" i="12"/>
  <c r="D11" i="10"/>
  <c r="E11" i="10"/>
  <c r="F11" i="10"/>
  <c r="D12" i="10"/>
  <c r="E12" i="10"/>
  <c r="F12" i="10"/>
  <c r="D13" i="10"/>
  <c r="E13" i="10"/>
  <c r="F13" i="10"/>
  <c r="D15" i="10"/>
  <c r="E15" i="10"/>
  <c r="F15" i="10"/>
  <c r="C15" i="10"/>
  <c r="C13" i="10"/>
  <c r="C12" i="10"/>
  <c r="C11" i="10"/>
  <c r="L2" i="8" l="1"/>
  <c r="L3" i="8"/>
  <c r="L4" i="8"/>
  <c r="L5" i="8"/>
  <c r="L6" i="8"/>
  <c r="L7" i="8"/>
  <c r="L8" i="8"/>
  <c r="L9" i="8"/>
  <c r="L11" i="8"/>
  <c r="L12" i="8"/>
  <c r="L13" i="8"/>
  <c r="L14" i="8"/>
  <c r="L16" i="8"/>
  <c r="L17" i="8"/>
  <c r="L18" i="8"/>
  <c r="L19" i="8"/>
  <c r="L22" i="8"/>
  <c r="L23" i="8"/>
  <c r="L24" i="8"/>
  <c r="L25" i="8"/>
  <c r="L26" i="8"/>
  <c r="L29" i="8"/>
  <c r="I26" i="8"/>
  <c r="M26" i="8" s="1"/>
  <c r="I25" i="8"/>
  <c r="M25" i="8" s="1"/>
  <c r="I24" i="8"/>
  <c r="K24" i="8" s="1"/>
  <c r="I23" i="8"/>
  <c r="I22" i="8"/>
  <c r="I19" i="8"/>
  <c r="K19" i="8" s="1"/>
  <c r="I18" i="8"/>
  <c r="I17" i="8"/>
  <c r="M17" i="8" s="1"/>
  <c r="I16" i="8"/>
  <c r="I14" i="8"/>
  <c r="K14" i="8" s="1"/>
  <c r="I13" i="8"/>
  <c r="M13" i="8" s="1"/>
  <c r="I12" i="8"/>
  <c r="K12" i="8" s="1"/>
  <c r="I11" i="8"/>
  <c r="K11" i="8" s="1"/>
  <c r="I9" i="8"/>
  <c r="K9" i="8" s="1"/>
  <c r="I8" i="8"/>
  <c r="K8" i="8" s="1"/>
  <c r="I7" i="8"/>
  <c r="M7" i="8" s="1"/>
  <c r="I6" i="8"/>
  <c r="K6" i="8" s="1"/>
  <c r="I5" i="8"/>
  <c r="K5" i="8" s="1"/>
  <c r="I4" i="8"/>
  <c r="K4" i="8" s="1"/>
  <c r="I3" i="8"/>
  <c r="K3" i="8" s="1"/>
  <c r="I2" i="8"/>
  <c r="K2" i="8" s="1"/>
  <c r="C29" i="8"/>
  <c r="C28" i="8"/>
  <c r="C26" i="8"/>
  <c r="C25" i="8"/>
  <c r="C24" i="8"/>
  <c r="C23" i="8"/>
  <c r="C22" i="8"/>
  <c r="C19" i="8"/>
  <c r="C18" i="8"/>
  <c r="C17" i="8"/>
  <c r="C16" i="8"/>
  <c r="C14" i="8"/>
  <c r="C13" i="8"/>
  <c r="C12" i="8"/>
  <c r="C11" i="8"/>
  <c r="C9" i="8"/>
  <c r="C8" i="8"/>
  <c r="C7" i="8"/>
  <c r="C6" i="8"/>
  <c r="C5" i="8"/>
  <c r="C4" i="8"/>
  <c r="C3" i="8"/>
  <c r="C2" i="8"/>
  <c r="B12" i="8"/>
  <c r="B13" i="8"/>
  <c r="B14" i="8"/>
  <c r="B29" i="8"/>
  <c r="B28" i="8"/>
  <c r="B23" i="8"/>
  <c r="B24" i="8"/>
  <c r="B25" i="8"/>
  <c r="B26" i="8"/>
  <c r="B22" i="8"/>
  <c r="B17" i="8"/>
  <c r="B18" i="8"/>
  <c r="B19" i="8"/>
  <c r="B16" i="8"/>
  <c r="B11" i="8"/>
  <c r="B3" i="8"/>
  <c r="B4" i="8"/>
  <c r="B5" i="8"/>
  <c r="B6" i="8"/>
  <c r="B7" i="8"/>
  <c r="B8" i="8"/>
  <c r="B9" i="8"/>
  <c r="B2" i="8"/>
  <c r="L2" i="7"/>
  <c r="L3" i="7"/>
  <c r="L4" i="7"/>
  <c r="L6" i="7"/>
  <c r="L7" i="7"/>
  <c r="L8" i="7"/>
  <c r="L9" i="7"/>
  <c r="L10" i="7"/>
  <c r="L12" i="7"/>
  <c r="L13" i="7"/>
  <c r="L14" i="7"/>
  <c r="L17" i="7"/>
  <c r="L18" i="7"/>
  <c r="L19" i="7"/>
  <c r="I19" i="7"/>
  <c r="K19" i="7" s="1"/>
  <c r="I18" i="7"/>
  <c r="I17" i="7"/>
  <c r="I14" i="7"/>
  <c r="I13" i="7"/>
  <c r="K13" i="7" s="1"/>
  <c r="I12" i="7"/>
  <c r="I10" i="7"/>
  <c r="K10" i="7" s="1"/>
  <c r="I9" i="7"/>
  <c r="K9" i="7" s="1"/>
  <c r="I8" i="7"/>
  <c r="K8" i="7" s="1"/>
  <c r="I7" i="7"/>
  <c r="K7" i="7" s="1"/>
  <c r="I6" i="7"/>
  <c r="K6" i="7" s="1"/>
  <c r="I4" i="7"/>
  <c r="K4" i="7" s="1"/>
  <c r="I3" i="7"/>
  <c r="K3" i="7" s="1"/>
  <c r="I2" i="7"/>
  <c r="K2" i="7" s="1"/>
  <c r="C19" i="7"/>
  <c r="C18" i="7"/>
  <c r="C17" i="7"/>
  <c r="C14" i="7"/>
  <c r="C13" i="7"/>
  <c r="C12" i="7"/>
  <c r="C10" i="7"/>
  <c r="C9" i="7"/>
  <c r="C8" i="7"/>
  <c r="C7" i="7"/>
  <c r="C6" i="7"/>
  <c r="C4" i="7"/>
  <c r="C3" i="7"/>
  <c r="C2" i="7"/>
  <c r="B18" i="7"/>
  <c r="B19" i="7"/>
  <c r="B17" i="7"/>
  <c r="B13" i="7"/>
  <c r="B14" i="7"/>
  <c r="B12" i="7"/>
  <c r="B7" i="7"/>
  <c r="B8" i="7"/>
  <c r="B9" i="7"/>
  <c r="B10" i="7"/>
  <c r="B6" i="7"/>
  <c r="B3" i="7"/>
  <c r="B4" i="7"/>
  <c r="B2" i="7"/>
  <c r="M5" i="8" l="1"/>
  <c r="M9" i="8"/>
  <c r="M19" i="8"/>
  <c r="M8" i="7"/>
  <c r="M13" i="7"/>
  <c r="M6" i="7"/>
  <c r="M18" i="8"/>
  <c r="M6" i="8"/>
  <c r="M22" i="8"/>
  <c r="L20" i="8"/>
  <c r="M10" i="7"/>
  <c r="M9" i="7"/>
  <c r="M19" i="7"/>
  <c r="L11" i="7"/>
  <c r="I15" i="8"/>
  <c r="K15" i="8" s="1"/>
  <c r="M23" i="8"/>
  <c r="B5" i="7"/>
  <c r="M4" i="8"/>
  <c r="M8" i="8"/>
  <c r="M24" i="8"/>
  <c r="L15" i="7"/>
  <c r="M14" i="7"/>
  <c r="B11" i="7"/>
  <c r="M4" i="7"/>
  <c r="B27" i="8"/>
  <c r="B15" i="7"/>
  <c r="I27" i="8"/>
  <c r="K27" i="8" s="1"/>
  <c r="L27" i="8"/>
  <c r="L15" i="8"/>
  <c r="C27" i="8"/>
  <c r="L10" i="8"/>
  <c r="I10" i="8"/>
  <c r="K10" i="8" s="1"/>
  <c r="I20" i="8"/>
  <c r="K20" i="8" s="1"/>
  <c r="C10" i="8"/>
  <c r="C15" i="8"/>
  <c r="C20" i="8"/>
  <c r="M14" i="8"/>
  <c r="M3" i="8"/>
  <c r="M12" i="8"/>
  <c r="B20" i="8"/>
  <c r="B15" i="8"/>
  <c r="B10" i="8"/>
  <c r="M2" i="8"/>
  <c r="M11" i="8"/>
  <c r="M16" i="8"/>
  <c r="M2" i="7"/>
  <c r="L5" i="7"/>
  <c r="M17" i="7"/>
  <c r="C15" i="7"/>
  <c r="C11" i="7"/>
  <c r="M7" i="7"/>
  <c r="M12" i="7"/>
  <c r="M18" i="7"/>
  <c r="I11" i="7"/>
  <c r="K11" i="7" s="1"/>
  <c r="I5" i="7"/>
  <c r="K5" i="7" s="1"/>
  <c r="I15" i="7"/>
  <c r="K15" i="7" s="1"/>
  <c r="M3" i="7"/>
  <c r="C5" i="7"/>
  <c r="I21" i="8" l="1"/>
  <c r="K21" i="8" s="1"/>
  <c r="B21" i="8"/>
  <c r="C21" i="8"/>
  <c r="L21" i="8"/>
  <c r="C16" i="7"/>
  <c r="L16" i="7"/>
  <c r="I16" i="7"/>
  <c r="K16" i="7" s="1"/>
  <c r="B16" i="7"/>
  <c r="B20" i="7"/>
  <c r="B21" i="7" s="1"/>
  <c r="L20" i="7"/>
  <c r="L21" i="7" s="1"/>
  <c r="M11" i="7"/>
  <c r="M20" i="8"/>
  <c r="M15" i="7"/>
  <c r="C30" i="8"/>
  <c r="C31" i="8" s="1"/>
  <c r="M27" i="8"/>
  <c r="B30" i="8"/>
  <c r="B31" i="8" s="1"/>
  <c r="M15" i="8"/>
  <c r="M10" i="8"/>
  <c r="C20" i="7"/>
  <c r="C21" i="7" s="1"/>
  <c r="I20" i="7"/>
  <c r="K20" i="7" s="1"/>
  <c r="M5" i="7"/>
  <c r="I21" i="7" l="1"/>
  <c r="K21" i="7" s="1"/>
  <c r="M21" i="8"/>
  <c r="M16" i="7"/>
  <c r="M20" i="7"/>
  <c r="L28" i="8"/>
  <c r="L30" i="8" s="1"/>
  <c r="L31" i="8" s="1"/>
  <c r="J21" i="7" l="1"/>
  <c r="J17" i="7"/>
  <c r="M21" i="7"/>
  <c r="J13" i="7"/>
  <c r="J9" i="7"/>
  <c r="J10" i="7"/>
  <c r="J2" i="7"/>
  <c r="J5" i="7"/>
  <c r="J6" i="7"/>
  <c r="J8" i="7"/>
  <c r="J4" i="7"/>
  <c r="J12" i="7"/>
  <c r="J11" i="7"/>
  <c r="J3" i="7"/>
  <c r="J15" i="7"/>
  <c r="J14" i="7"/>
  <c r="J18" i="7"/>
  <c r="J7" i="7"/>
  <c r="J16" i="7"/>
  <c r="C5" i="10"/>
  <c r="C2" i="10"/>
  <c r="C10" i="10" l="1"/>
  <c r="C14" i="10" l="1"/>
  <c r="C16" i="10" s="1"/>
  <c r="E5" i="10" l="1"/>
  <c r="F5" i="10"/>
  <c r="D5" i="10"/>
  <c r="E2" i="10"/>
  <c r="F2" i="10"/>
  <c r="D2" i="10"/>
  <c r="E10" i="10" l="1"/>
  <c r="E14" i="10" s="1"/>
  <c r="E16" i="10" s="1"/>
  <c r="D10" i="10"/>
  <c r="D14" i="10" s="1"/>
  <c r="D16" i="10" s="1"/>
  <c r="F10" i="10"/>
  <c r="E54" i="2"/>
  <c r="E55" i="2" s="1"/>
  <c r="E59" i="2" s="1"/>
  <c r="C6" i="9" s="1"/>
  <c r="F54" i="2"/>
  <c r="F55" i="2" s="1"/>
  <c r="F59" i="2" s="1"/>
  <c r="F14" i="10" l="1"/>
  <c r="F16" i="10" l="1"/>
  <c r="Y47" i="2" l="1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19" i="2"/>
  <c r="Y18" i="2"/>
  <c r="Y17" i="2"/>
  <c r="Y13" i="2"/>
  <c r="Y12" i="2"/>
  <c r="Y11" i="2"/>
  <c r="Y10" i="2"/>
  <c r="Y9" i="2"/>
  <c r="Y8" i="2"/>
  <c r="Y7" i="2"/>
  <c r="Y6" i="2"/>
  <c r="Y5" i="2"/>
  <c r="Y4" i="2"/>
  <c r="Y3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19" i="2"/>
  <c r="G18" i="2"/>
  <c r="G17" i="2"/>
  <c r="G13" i="2"/>
  <c r="G11" i="2"/>
  <c r="G10" i="2"/>
  <c r="G9" i="2"/>
  <c r="G8" i="2"/>
  <c r="G7" i="2"/>
  <c r="G6" i="2"/>
  <c r="G5" i="2"/>
  <c r="G4" i="2"/>
  <c r="G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23" i="2"/>
  <c r="D4" i="2"/>
  <c r="D5" i="2"/>
  <c r="D6" i="2"/>
  <c r="D7" i="2"/>
  <c r="D8" i="2"/>
  <c r="D9" i="2"/>
  <c r="D10" i="2"/>
  <c r="D11" i="2"/>
  <c r="D13" i="2"/>
  <c r="D17" i="2"/>
  <c r="D18" i="2"/>
  <c r="D19" i="2"/>
  <c r="D3" i="2"/>
  <c r="I28" i="8" l="1"/>
  <c r="Y53" i="2" l="1"/>
  <c r="I29" i="8"/>
  <c r="K29" i="8" s="1"/>
  <c r="M28" i="8"/>
  <c r="Y49" i="2"/>
  <c r="Y52" i="2"/>
  <c r="Y51" i="2"/>
  <c r="Y50" i="2"/>
  <c r="Y48" i="2"/>
  <c r="Y16" i="2"/>
  <c r="Y14" i="2"/>
  <c r="Y15" i="2"/>
  <c r="I30" i="8" l="1"/>
  <c r="K30" i="8" s="1"/>
  <c r="M29" i="8"/>
  <c r="Y21" i="2"/>
  <c r="Y20" i="2"/>
  <c r="Y54" i="2"/>
  <c r="G12" i="2"/>
  <c r="D53" i="2"/>
  <c r="D52" i="2"/>
  <c r="Y55" i="2" l="1"/>
  <c r="W59" i="2"/>
  <c r="M30" i="8"/>
  <c r="I31" i="8"/>
  <c r="K31" i="8" s="1"/>
  <c r="X59" i="2"/>
  <c r="J23" i="8"/>
  <c r="G14" i="2"/>
  <c r="G15" i="2"/>
  <c r="G48" i="2"/>
  <c r="G49" i="2"/>
  <c r="G50" i="2"/>
  <c r="G51" i="2"/>
  <c r="G52" i="2"/>
  <c r="G53" i="2"/>
  <c r="D14" i="2"/>
  <c r="D16" i="2"/>
  <c r="D12" i="2"/>
  <c r="D49" i="2"/>
  <c r="D51" i="2"/>
  <c r="D15" i="2"/>
  <c r="D48" i="2"/>
  <c r="D50" i="2"/>
  <c r="C54" i="2"/>
  <c r="C55" i="2" s="1"/>
  <c r="C59" i="2" s="1"/>
  <c r="B54" i="2"/>
  <c r="K6" i="9" l="1"/>
  <c r="AA59" i="2"/>
  <c r="I6" i="9"/>
  <c r="J6" i="9" s="1"/>
  <c r="Z59" i="2"/>
  <c r="J24" i="8"/>
  <c r="J21" i="8"/>
  <c r="J17" i="8"/>
  <c r="J28" i="8"/>
  <c r="J10" i="8"/>
  <c r="J20" i="8"/>
  <c r="J19" i="8"/>
  <c r="J25" i="8"/>
  <c r="J5" i="8"/>
  <c r="J11" i="8"/>
  <c r="J26" i="8"/>
  <c r="M31" i="8"/>
  <c r="J13" i="8"/>
  <c r="J15" i="8"/>
  <c r="J12" i="8"/>
  <c r="J2" i="8"/>
  <c r="J16" i="8"/>
  <c r="J7" i="8"/>
  <c r="J14" i="8"/>
  <c r="J6" i="8"/>
  <c r="J8" i="8"/>
  <c r="J18" i="8"/>
  <c r="J27" i="8"/>
  <c r="J4" i="8"/>
  <c r="J22" i="8"/>
  <c r="J3" i="8"/>
  <c r="J9" i="8"/>
  <c r="J31" i="8"/>
  <c r="G20" i="2"/>
  <c r="G54" i="2"/>
  <c r="G16" i="2"/>
  <c r="D21" i="2"/>
  <c r="D20" i="2"/>
  <c r="B55" i="2"/>
  <c r="D54" i="2"/>
  <c r="D55" i="2" l="1"/>
  <c r="B59" i="2"/>
  <c r="B6" i="9" s="1"/>
  <c r="G21" i="2"/>
  <c r="G55" i="2"/>
</calcChain>
</file>

<file path=xl/sharedStrings.xml><?xml version="1.0" encoding="utf-8"?>
<sst xmlns="http://schemas.openxmlformats.org/spreadsheetml/2006/main" count="499" uniqueCount="368">
  <si>
    <t>Risultato di amministrazione (A)</t>
  </si>
  <si>
    <t>Parte accantonata (B)</t>
  </si>
  <si>
    <t>Parte vincolata (C)</t>
  </si>
  <si>
    <t>Parte destinata a investimenti (D)</t>
  </si>
  <si>
    <t>Parte disponibile (E=A-B-C-D)</t>
  </si>
  <si>
    <t>Saldo di cassa</t>
  </si>
  <si>
    <t>Residui attivi</t>
  </si>
  <si>
    <t>Residui passivi</t>
  </si>
  <si>
    <t>FPV per spese correnti</t>
  </si>
  <si>
    <t>FPV per spese in conto capitale</t>
  </si>
  <si>
    <t>Fondo crediti di dubbia esigibilità</t>
  </si>
  <si>
    <t>Fondo anticipazioni liquidità DL35/2013</t>
  </si>
  <si>
    <t>Fondo perdite società partecipate</t>
  </si>
  <si>
    <t>Fondo contenzioso</t>
  </si>
  <si>
    <t>Altri accantonamenti</t>
  </si>
  <si>
    <t>Vincoli da trasferimenti</t>
  </si>
  <si>
    <t>Vincoli da leggi e principi contabili</t>
  </si>
  <si>
    <t>Vincoli da contrazione di mutui</t>
  </si>
  <si>
    <t>Vincoli attribuiti dall'ente</t>
  </si>
  <si>
    <t>Altri vincoli</t>
  </si>
  <si>
    <t xml:space="preserve">  100 Entrate correnti di natura tributaria, contributiva e perequativa </t>
  </si>
  <si>
    <t xml:space="preserve">  200 Trasferimenti correnti </t>
  </si>
  <si>
    <t xml:space="preserve">  300 Entrate extratributarie </t>
  </si>
  <si>
    <t xml:space="preserve">  401 Tributi in conto capitale</t>
  </si>
  <si>
    <t xml:space="preserve">  402 Contributi agli investimenti </t>
  </si>
  <si>
    <t xml:space="preserve">  403 Altri trasferimenti in conto capitale </t>
  </si>
  <si>
    <t xml:space="preserve">  404 Entrate da alienazione di beni materiali e immateriali </t>
  </si>
  <si>
    <t xml:space="preserve">  405 Altre entrate in conto capitale </t>
  </si>
  <si>
    <t xml:space="preserve">  501 Alienazione di attività finanziarie </t>
  </si>
  <si>
    <t xml:space="preserve">  502_3 Riscossione di crediti </t>
  </si>
  <si>
    <t xml:space="preserve">  504 Altre entrate per riduzione di attività finanziarie </t>
  </si>
  <si>
    <t xml:space="preserve"> - Entrate correnti </t>
  </si>
  <si>
    <t xml:space="preserve"> - Entrate in conto capitale</t>
  </si>
  <si>
    <t xml:space="preserve"> - Entrate da riduzione attività finanziarie </t>
  </si>
  <si>
    <t xml:space="preserve"> - Accensione di prestiti </t>
  </si>
  <si>
    <t xml:space="preserve"> - Anticipazioni da istituto tesoriere/cassiere </t>
  </si>
  <si>
    <t xml:space="preserve"> - Entrate per conto terzi e partite di giro</t>
  </si>
  <si>
    <t>Totale Entrate</t>
  </si>
  <si>
    <t>Entrate nette</t>
  </si>
  <si>
    <t xml:space="preserve">101 REDDITI DA LAVORO DIPENDENTE </t>
  </si>
  <si>
    <t xml:space="preserve">102 IMPOSTE E TASSE A CARICO DELL'ENTE </t>
  </si>
  <si>
    <t xml:space="preserve">103 ACQUISTO DI BENI E SERVIZI </t>
  </si>
  <si>
    <t xml:space="preserve">104 TRASFERIMENTI CORRENTI </t>
  </si>
  <si>
    <t xml:space="preserve">107 INTERESSI PASSIVI </t>
  </si>
  <si>
    <t xml:space="preserve">108 ALTRE SPESE PER REDDITI DA CAPITALE </t>
  </si>
  <si>
    <t xml:space="preserve">109 RIMBORSI E POSTE CORRETTIVE DELLE ENTRATE </t>
  </si>
  <si>
    <t xml:space="preserve">110 ALTRE SPESE CORRENTI </t>
  </si>
  <si>
    <t>201 TRIBUTI IN CONTO CAPITALE A CARICO DELL?ENTE</t>
  </si>
  <si>
    <t xml:space="preserve">202 INVESTIMENTI FISSI LORDI E ACQUISTO DI TERRENI </t>
  </si>
  <si>
    <t xml:space="preserve">203 CONTRIBUTI AGLI INVESTIMENTI </t>
  </si>
  <si>
    <t xml:space="preserve">204ALTRI TRASFERIMENTI IN CONTO CAPITALE </t>
  </si>
  <si>
    <t xml:space="preserve">205ALTRE SPESE IN CONTO CAPITALE </t>
  </si>
  <si>
    <t xml:space="preserve">301 ACQUISIZIONI DI ATTIVITA' FINANZIARIE </t>
  </si>
  <si>
    <t xml:space="preserve">303 CONCESSIONE CREDITI DI MEDIO-LUNGO TERMINE </t>
  </si>
  <si>
    <t xml:space="preserve">304 ALTRE SPESE PER INCREMENTO DI ATTIVITA' FINANZIARIE </t>
  </si>
  <si>
    <t xml:space="preserve">401 RIMBORSO DI TITOLI OBBLIGAZIONARI </t>
  </si>
  <si>
    <t xml:space="preserve">402 RIMBORSO PRESTITI A BREVE TERMINE </t>
  </si>
  <si>
    <t xml:space="preserve">403 RIMBORSO MUTUI E ALTRI FINANZIAMENTI A MEDIO LUNGO TERMINE </t>
  </si>
  <si>
    <t xml:space="preserve">404 RIMBORSO DI ALTRE FORME DI INDEBITAMENTO </t>
  </si>
  <si>
    <t xml:space="preserve">405 FONDI PER RIMBORSO PRESTITI </t>
  </si>
  <si>
    <t xml:space="preserve">501 CHIUSURA ANTICIPAZIONI RICEVUTE DA ISTITUTO TESORIERE/CASSIERE </t>
  </si>
  <si>
    <t xml:space="preserve">701 USCITE PER PARTITE DI GIRO </t>
  </si>
  <si>
    <t xml:space="preserve">702 USCITE PER CONTO TERZI </t>
  </si>
  <si>
    <t>1 Spese correnti</t>
  </si>
  <si>
    <t>2 Spese in conto capitale</t>
  </si>
  <si>
    <t>3 Spese per incremento attività finanziaria</t>
  </si>
  <si>
    <t>4 Rimborso prestiti</t>
  </si>
  <si>
    <t>5 Chiusura anticipazioni ricevute tesoriere/cassiere</t>
  </si>
  <si>
    <t>7 Conto terzi e partite di giro</t>
  </si>
  <si>
    <t>Totale Uscite</t>
  </si>
  <si>
    <t>Uscite nette</t>
  </si>
  <si>
    <t>Saldo corrente</t>
  </si>
  <si>
    <t>Saldo in conto capitale</t>
  </si>
  <si>
    <t>Acc</t>
  </si>
  <si>
    <t>Risc</t>
  </si>
  <si>
    <t>Imp</t>
  </si>
  <si>
    <t>Pag</t>
  </si>
  <si>
    <t>Rigidità strutturale di bilancio</t>
  </si>
  <si>
    <t>1.1</t>
  </si>
  <si>
    <t>Incidenza spese rigide (ripiano disavanzo,personale e debito) su entrate correnti</t>
  </si>
  <si>
    <t>Entrate correnti</t>
  </si>
  <si>
    <t>2.1</t>
  </si>
  <si>
    <t>Incidenza degli accertamenti di parte corrente sulle previsioni iniziali di parte corrente</t>
  </si>
  <si>
    <t>2.2</t>
  </si>
  <si>
    <t>Incidenza degli accertamenti di parte corrente sulle previsioni definitive di parte corrente</t>
  </si>
  <si>
    <t>2.3</t>
  </si>
  <si>
    <t>Incidenza degli accertamenti delle entrate proprie sulle previsioni iniziali di parte corrente</t>
  </si>
  <si>
    <t>2.4</t>
  </si>
  <si>
    <t>Incidenza degli accertamenti delle entrate proprie sulle previsioni definitive di parte corrente</t>
  </si>
  <si>
    <t>2.5</t>
  </si>
  <si>
    <t>Incidenza degli incassi correnti sulle previsioni iniziali di parte corrente</t>
  </si>
  <si>
    <t>2.6</t>
  </si>
  <si>
    <t>Incidenza degli incassi correnti sulle previsioni definitive di parte corrente</t>
  </si>
  <si>
    <t>2.7</t>
  </si>
  <si>
    <t>Incidenza degli incassi delle entrate proprie sulle previsioni iniziali di parte corrente</t>
  </si>
  <si>
    <t>2.8</t>
  </si>
  <si>
    <t>Incidenza degli incassi delle entrate proprie sulle previsioni definitive di parte corrente</t>
  </si>
  <si>
    <t>Anticipazioni dell'Istituto tesoriere</t>
  </si>
  <si>
    <t>3.1</t>
  </si>
  <si>
    <t>Utilizzo medio Anticipazioni di tesoreria</t>
  </si>
  <si>
    <t>3.2</t>
  </si>
  <si>
    <t>Anticipazione chiuse solo contabilmente</t>
  </si>
  <si>
    <t>Spese di personale</t>
  </si>
  <si>
    <t>4.1</t>
  </si>
  <si>
    <t>Incidenza della spesa di personale sulla spesa corrente</t>
  </si>
  <si>
    <t>4.2</t>
  </si>
  <si>
    <t>Incidenza del salario accessorio ed incentivante rispetto al totale della spesa di personale</t>
  </si>
  <si>
    <t>4.3</t>
  </si>
  <si>
    <t>Incidenza spesa personale flessibile rispetto al totale della spesa di personale</t>
  </si>
  <si>
    <t>4.4</t>
  </si>
  <si>
    <t>Spesa di personale procapite</t>
  </si>
  <si>
    <t>Esternalizzazione dei servizi</t>
  </si>
  <si>
    <t>5.1</t>
  </si>
  <si>
    <t>Indicatore di esternalizzazione dei servizi</t>
  </si>
  <si>
    <t>Interessi passivi</t>
  </si>
  <si>
    <t>6.1</t>
  </si>
  <si>
    <t>Incidenza degli interessi passivi sulla spesa corrente</t>
  </si>
  <si>
    <t>6.2</t>
  </si>
  <si>
    <t>Incidenza degli interessi passivi sulle anticipazioni sul totale della spesa per interessi passivi</t>
  </si>
  <si>
    <t>6.3</t>
  </si>
  <si>
    <t>Incidenza interessi di mora sul totale della spesa per interessi passivi</t>
  </si>
  <si>
    <t>Investimenti</t>
  </si>
  <si>
    <t>7.1</t>
  </si>
  <si>
    <t>Incidenza investimenti sul totale della spesa corrente e in conto capitale</t>
  </si>
  <si>
    <t>7.2</t>
  </si>
  <si>
    <t>Investimenti diretti procapite</t>
  </si>
  <si>
    <t>7.3</t>
  </si>
  <si>
    <t>Contributi agli investimenti procapite</t>
  </si>
  <si>
    <t>7.4</t>
  </si>
  <si>
    <t>Investimenti complessivi procapite</t>
  </si>
  <si>
    <t>7.5</t>
  </si>
  <si>
    <t>Quota investimenti complessivi finanziati dal risparmio corrente</t>
  </si>
  <si>
    <t>7.6</t>
  </si>
  <si>
    <t>Quota investimenti complessivi finanziati dal saldo positivo delle partite finanziarie</t>
  </si>
  <si>
    <t>7.7</t>
  </si>
  <si>
    <t>Quota investimenti complessivi finanziati da debito</t>
  </si>
  <si>
    <t>Analisi dei residui</t>
  </si>
  <si>
    <t>8.1</t>
  </si>
  <si>
    <t>Incidenza nuovi residui passivi di parte corrente su stock residui passivi correnti</t>
  </si>
  <si>
    <t>8.2</t>
  </si>
  <si>
    <t>Incidenza nuovi residui passivi in c/capitale su stock residui passivi in conto capitale al 31/12</t>
  </si>
  <si>
    <t>8.3</t>
  </si>
  <si>
    <t>Incidenza nuovi residui passivi per incremento attività finanziarie su stock residui passivi per incremento attività finanziarie al 31/12</t>
  </si>
  <si>
    <t>8.4</t>
  </si>
  <si>
    <t>Incidenza nuovi residui attivi di parte corrente su stock residui attivi di parte corrente</t>
  </si>
  <si>
    <t>8.5</t>
  </si>
  <si>
    <t>Incidenza nuovi residui attivi in c/capitale su stock residui attivi in c/capitale</t>
  </si>
  <si>
    <t>8.6</t>
  </si>
  <si>
    <t>Incidenza nuovi residui attivi per riduzione di attività finanziarie su stock residui attivi per riduzione di attività finanziarie</t>
  </si>
  <si>
    <t>Smaltimento debiti non finanziari</t>
  </si>
  <si>
    <t>9.1</t>
  </si>
  <si>
    <t>Smaltimento debiti commerciali nati nell'esercizio</t>
  </si>
  <si>
    <t>9.2</t>
  </si>
  <si>
    <t>Smaltimento debiti commerciali nati negli esercizi precedenti</t>
  </si>
  <si>
    <t>9.3</t>
  </si>
  <si>
    <t>Smaltimento debiti verso altre amministrazioni pubbliche nati nell'esercizio</t>
  </si>
  <si>
    <t>9.4</t>
  </si>
  <si>
    <t>Smaltimento debiti verso altre amministrazioni pubbliche nati negli esercizi precedenti</t>
  </si>
  <si>
    <t>9.5</t>
  </si>
  <si>
    <t>Indicatore annuale di tempestività dei pagamenti</t>
  </si>
  <si>
    <t>Debiti finanziari</t>
  </si>
  <si>
    <t>10.1</t>
  </si>
  <si>
    <t>Incidenza estinzioni anticipate debiti finanziari</t>
  </si>
  <si>
    <t>10.2</t>
  </si>
  <si>
    <t>Incidenza estinzioni ordinarie debiti finanziari</t>
  </si>
  <si>
    <t>10.3</t>
  </si>
  <si>
    <t>Sostenibilità debiti finanziari</t>
  </si>
  <si>
    <t>10.4</t>
  </si>
  <si>
    <t>Indebitamento procapite</t>
  </si>
  <si>
    <t>Composizione dell'avanzo di amministrazione</t>
  </si>
  <si>
    <t>11.1</t>
  </si>
  <si>
    <t>Incidenza quota libera di parte corrente nell'avanzo</t>
  </si>
  <si>
    <t>11.2</t>
  </si>
  <si>
    <t>Incidenza quota libera in c/capitale nell'avanzo</t>
  </si>
  <si>
    <t>11.3</t>
  </si>
  <si>
    <t>Incidenza quota accantonata nell'avanzo</t>
  </si>
  <si>
    <t>11.4</t>
  </si>
  <si>
    <t>Incidenza quota vincolata nell'avanzo</t>
  </si>
  <si>
    <t>Disavanzo di amministrazione</t>
  </si>
  <si>
    <t>12.1</t>
  </si>
  <si>
    <t>Quota disavanzo ripianato nell'esercizio</t>
  </si>
  <si>
    <t>12.2</t>
  </si>
  <si>
    <t>Incremento del disavanzo rispetto all'esercizio precedente</t>
  </si>
  <si>
    <t>12.3</t>
  </si>
  <si>
    <t>Sostenibilità patrimoniale del disavanzo</t>
  </si>
  <si>
    <t>12.4</t>
  </si>
  <si>
    <t>Sostenibilità disavanzo effettivamente a carico dell'esercizio</t>
  </si>
  <si>
    <t>Debiti fuori bilancio</t>
  </si>
  <si>
    <t>13.1</t>
  </si>
  <si>
    <t>Debiti riconosciuti e finanziati</t>
  </si>
  <si>
    <t>13.2</t>
  </si>
  <si>
    <t>Debiti in corso di riconoscimento</t>
  </si>
  <si>
    <t>13.3</t>
  </si>
  <si>
    <t>Debiti riconosciuti e in corso di finanziamento</t>
  </si>
  <si>
    <t>Fondo pluriennale vincolato</t>
  </si>
  <si>
    <t>14.1</t>
  </si>
  <si>
    <t>Utilizzo del FPV</t>
  </si>
  <si>
    <t>Partite di giro e conto terzi</t>
  </si>
  <si>
    <t>15.1</t>
  </si>
  <si>
    <t>Incidenza partite di giro e conto terzi in entrata</t>
  </si>
  <si>
    <t>15.2</t>
  </si>
  <si>
    <t>Incidenza partite di giro e conto terzi in uscita</t>
  </si>
  <si>
    <t>Complessiva</t>
  </si>
  <si>
    <t>Crediti esigibili nell'esercizio</t>
  </si>
  <si>
    <t>Crediti esigibili negli esercizi precedenti</t>
  </si>
  <si>
    <t>Istruzione e diritto allo studio</t>
  </si>
  <si>
    <t>Trasporti e diritto alla mobilità</t>
  </si>
  <si>
    <t>Diritti sociali, politiche sociali e famiglia</t>
  </si>
  <si>
    <t>Capacità di pagamento</t>
  </si>
  <si>
    <t>Debiti da finanziamento (D1)</t>
  </si>
  <si>
    <t>Piano degli indicatori</t>
  </si>
  <si>
    <t>Soglia</t>
  </si>
  <si>
    <t>Crediti verso lo Stato e altre AP per Fondo dotazione (A)</t>
  </si>
  <si>
    <t>Immobilizzazioni immateriali (B1)</t>
  </si>
  <si>
    <t>Immobilizzazioni materiali (B2)</t>
  </si>
  <si>
    <t>Crediti (C2)</t>
  </si>
  <si>
    <t>Disponibilità liquide (C4)</t>
  </si>
  <si>
    <t>Ratei e risconti attivi (D)</t>
  </si>
  <si>
    <t>TOTALE ATTIVO</t>
  </si>
  <si>
    <t>Fondo di dotazione (A1)</t>
  </si>
  <si>
    <t>Riserve (A2)</t>
  </si>
  <si>
    <t>Risultato economico dell'esercizio (A3)</t>
  </si>
  <si>
    <t>Fondo rischi ed oneri (B)</t>
  </si>
  <si>
    <t>Debiti verso fornitori (D2)</t>
  </si>
  <si>
    <t>Debiti per trasferimenti e contributi (D4)</t>
  </si>
  <si>
    <t>Altri debiti (D5)</t>
  </si>
  <si>
    <t>Ratei e risconti passivi (E)</t>
  </si>
  <si>
    <t>TOTALE PASSIVO</t>
  </si>
  <si>
    <t>Immobilizzazioni finanziarie - partecipazioni (B3.1)</t>
  </si>
  <si>
    <t>Immobilizzazioni finanziarie - crediti (B3.2)</t>
  </si>
  <si>
    <t>Immobilizzazioni finanziarie - altri titoli (B3.3)</t>
  </si>
  <si>
    <t>Rimanenze (C1)</t>
  </si>
  <si>
    <t>Attività finanziarie che non costituiscono utilizzi (C3)</t>
  </si>
  <si>
    <t>Var. %</t>
  </si>
  <si>
    <t>%Risc</t>
  </si>
  <si>
    <t xml:space="preserve">       di cui permessi a costruire</t>
  </si>
  <si>
    <t>Proventi da tributi</t>
  </si>
  <si>
    <t>Proventi da fondi perequativi</t>
  </si>
  <si>
    <t>Proventi da trasferimenti e contributi</t>
  </si>
  <si>
    <t>Ricavi delle vendite e prestazioni e proventi da servizi pubblici</t>
  </si>
  <si>
    <t>Variazioni nelle rimanenze di prodotti in corso di lavorazione, etc. (+/-)</t>
  </si>
  <si>
    <t>Variazione dei lavori in corso su ordinazione</t>
  </si>
  <si>
    <t>Incrementi di immobilizzazioni per lavori interni</t>
  </si>
  <si>
    <t>Altri ricavi e proventi diversi</t>
  </si>
  <si>
    <t>Acquisto di materie prime e/o beni di consumo</t>
  </si>
  <si>
    <t>Prestazioni di servizi</t>
  </si>
  <si>
    <t>Utilizzo beni di terzi</t>
  </si>
  <si>
    <t>Trasferimenti e contributi</t>
  </si>
  <si>
    <t>Personale</t>
  </si>
  <si>
    <t>Ammortamenti e svalutazioni</t>
  </si>
  <si>
    <t>Variazioni nelle rimanenze di materie prime e/o beni di consumo (+/-)</t>
  </si>
  <si>
    <t>Accantonamenti per rischi</t>
  </si>
  <si>
    <t>Oneri diversi di gestione</t>
  </si>
  <si>
    <t>Proventi finanziari</t>
  </si>
  <si>
    <t>Oneri finanziari</t>
  </si>
  <si>
    <t>Rettifiche di valore</t>
  </si>
  <si>
    <t>Proventi straordinari</t>
  </si>
  <si>
    <t>Oneri straordinari</t>
  </si>
  <si>
    <t>Imposte</t>
  </si>
  <si>
    <t>Risultato dell'esercizio</t>
  </si>
  <si>
    <t>(+)</t>
  </si>
  <si>
    <t>(-)</t>
  </si>
  <si>
    <t>(=)</t>
  </si>
  <si>
    <t xml:space="preserve">302 CONCESSIONE CREDITI DI BREVE TERMINE </t>
  </si>
  <si>
    <t>COMPONENTI POSITIVI DELLA GESTIONE</t>
  </si>
  <si>
    <t>COMPONENTI NEGATIVI DELLA GESTIONE</t>
  </si>
  <si>
    <t>Diff.</t>
  </si>
  <si>
    <t>PATRIMONIO NETTO</t>
  </si>
  <si>
    <t>Incidenza spesa (al netto servizi per conto terzi)</t>
  </si>
  <si>
    <t>% Risc.</t>
  </si>
  <si>
    <t>101 Redditi da lavoro dipendente</t>
  </si>
  <si>
    <t>102 Imposte e tasse a carico dell'ente</t>
  </si>
  <si>
    <t>103 Acquisto di beni e servizi</t>
  </si>
  <si>
    <t>104 Trasferimenti correnti</t>
  </si>
  <si>
    <t>107 Interessi passivi</t>
  </si>
  <si>
    <t>108 Altre spese per redditi da capitale</t>
  </si>
  <si>
    <t>109 Rimborsi e poste correttive delle entrate</t>
  </si>
  <si>
    <t>110 Altre spese correnti</t>
  </si>
  <si>
    <t>202 Investimenti fissi lordi e acquisto di terreni</t>
  </si>
  <si>
    <t>203 Contributi agli investimenti</t>
  </si>
  <si>
    <t>204 Altri trasferimenti in conto capitale</t>
  </si>
  <si>
    <t>205 Altre spese in conto capitale</t>
  </si>
  <si>
    <t xml:space="preserve"> - Spese correnti </t>
  </si>
  <si>
    <t xml:space="preserve"> - Spese in conto capitale</t>
  </si>
  <si>
    <t>301 Acquisizioni di attività finanziarie</t>
  </si>
  <si>
    <t>302 Concessione crediti di breve termine</t>
  </si>
  <si>
    <t>303 Concessione crediti di medio-lungo termine</t>
  </si>
  <si>
    <t>304 Altre spese per incremento di attività finanziarie</t>
  </si>
  <si>
    <t xml:space="preserve"> - Spese per incremento attività finanziarie </t>
  </si>
  <si>
    <t>401 Rimborso di titoli obbligazionari</t>
  </si>
  <si>
    <t>402 Rimborso prestiti a breve termine</t>
  </si>
  <si>
    <t>403 Rimborso mutui e finanziamenti a medio-lungo termine</t>
  </si>
  <si>
    <t>404 Rimborso di altre forme di indebitamento</t>
  </si>
  <si>
    <t>405 Fondi per rimborso prestiti</t>
  </si>
  <si>
    <t xml:space="preserve"> - Rimborso prestiti </t>
  </si>
  <si>
    <t xml:space="preserve"> - Chiusura anticipazioni ricevute da tesoriere/cassiere </t>
  </si>
  <si>
    <t xml:space="preserve"> - Uscite per conto terzi e partite di giro</t>
  </si>
  <si>
    <t>Comp.% netta</t>
  </si>
  <si>
    <t xml:space="preserve">Saldo corrente </t>
  </si>
  <si>
    <t xml:space="preserve">Saldo finale </t>
  </si>
  <si>
    <t>Saldo netto</t>
  </si>
  <si>
    <t>Saldo riduzione/incremento attività finanziarie</t>
  </si>
  <si>
    <t>Capacità di riscossione</t>
  </si>
  <si>
    <t>Spesa per il personale (pro capite)</t>
  </si>
  <si>
    <t>Investimenti (pro capite)</t>
  </si>
  <si>
    <t>Entrate natura tributaria, contributiva e perequativa (Titolo 1)</t>
  </si>
  <si>
    <t>Media principali Comuni</t>
  </si>
  <si>
    <t>Saldo della gestione</t>
  </si>
  <si>
    <t>(Proventi - Oneri) finanziari</t>
  </si>
  <si>
    <t>(Proventi- Oneri) straordinari</t>
  </si>
  <si>
    <t>Saldo prima delle imposte</t>
  </si>
  <si>
    <t>Parametro</t>
  </si>
  <si>
    <t>Indicatore</t>
  </si>
  <si>
    <t>P.1</t>
  </si>
  <si>
    <t>P.2</t>
  </si>
  <si>
    <t>P.3</t>
  </si>
  <si>
    <t>P.4</t>
  </si>
  <si>
    <t>P.5</t>
  </si>
  <si>
    <t>P.6</t>
  </si>
  <si>
    <t>P.7</t>
  </si>
  <si>
    <t>P.8</t>
  </si>
  <si>
    <t>Incidenza spese rigide (ripiano disavanzo, personale e debito) su entrate correnti</t>
  </si>
  <si>
    <t>Descrizione</t>
  </si>
  <si>
    <t>13.2/3</t>
  </si>
  <si>
    <t>Anticipazione di tesoreria chiuse solo contabilmente</t>
  </si>
  <si>
    <t>Sostenibilità dei debiti finanziari</t>
  </si>
  <si>
    <t>Debiti in corso di riconoscimento o di finanziamento</t>
  </si>
  <si>
    <t>Effettiva capacità di riscossione (totale Entrate)</t>
  </si>
  <si>
    <t>&gt; 48</t>
  </si>
  <si>
    <t>&lt;22</t>
  </si>
  <si>
    <t>&gt;0</t>
  </si>
  <si>
    <t>&gt;16</t>
  </si>
  <si>
    <t>&gt;1,2</t>
  </si>
  <si>
    <t>&gt;1</t>
  </si>
  <si>
    <t>&gt;0,6</t>
  </si>
  <si>
    <t>&lt;47</t>
  </si>
  <si>
    <t>al 1° gennaio</t>
  </si>
  <si>
    <t>Comune</t>
  </si>
  <si>
    <t>Totale Entrate nette</t>
  </si>
  <si>
    <t>% Pag.</t>
  </si>
  <si>
    <t>Risc. - Pag.</t>
  </si>
  <si>
    <t xml:space="preserve">  -- di cui proventi da tributi</t>
  </si>
  <si>
    <t xml:space="preserve">  -- di cui proventi da trasferimenti</t>
  </si>
  <si>
    <t xml:space="preserve">  -- di cui prestazioni di servizi</t>
  </si>
  <si>
    <t xml:space="preserve">  -- di cui personale</t>
  </si>
  <si>
    <t xml:space="preserve">  -- di cui ammortamenti e svalutazioni</t>
  </si>
  <si>
    <t>Ricavi e proventi</t>
  </si>
  <si>
    <t>Costi</t>
  </si>
  <si>
    <t>Entrate finali</t>
  </si>
  <si>
    <t>Uscite finali</t>
  </si>
  <si>
    <t>Sviluppo sostenibile, tutela territ. e ambiente</t>
  </si>
  <si>
    <t>Città metro-politana</t>
  </si>
  <si>
    <t>Saldo naturale</t>
  </si>
  <si>
    <t>Saldo migratorio</t>
  </si>
  <si>
    <t>Verifica</t>
  </si>
  <si>
    <t/>
  </si>
  <si>
    <t>Cancellazione residui attivi</t>
  </si>
  <si>
    <t>Rapporto Fcde/Residui attivi (scala dx)</t>
  </si>
  <si>
    <t>Saldo entrate/uscite finali</t>
  </si>
  <si>
    <t>Saldo entrate/uscite nette</t>
  </si>
  <si>
    <t>Capacità riscossione entrate finali</t>
  </si>
  <si>
    <t>Capacità pagamento uscite finali</t>
  </si>
  <si>
    <t>Risultato economico di esercizi precedenti (A4)</t>
  </si>
  <si>
    <t>Riserve negative per beni indisponibili (A5)</t>
  </si>
  <si>
    <t>Saldo censuario</t>
  </si>
  <si>
    <t>Margine operativo lordo</t>
  </si>
  <si>
    <t>Riscossioni 2023</t>
  </si>
  <si>
    <t>Pagamenti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</si>
</sst>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-* #,##0.00_-;\-* #,##0.00_-;_-* &quot;-&quot;??_-;_-@_-"/>
    <numFmt numFmtId="165" formatCode="_-* #,##0_-;\-* #,##0_-;_-* &quot;-&quot;??_-;_-@_-"/>
    <numFmt numFmtId="166" formatCode="0.0"/>
    <numFmt numFmtId="167" formatCode="#,##0_ ;\-#,##0\ 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b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ont="0" applyBorder="0" applyProtection="0"/>
    <xf numFmtId="164" fontId="3" fillId="0" borderId="0" applyFont="0" applyFill="0" applyBorder="0" applyAlignment="0" applyProtection="0"/>
  </cellStyleXfs>
  <cellXfs count="160">
    <xf numFmtId="0" fontId="0" fillId="0" borderId="0" xfId="0"/>
    <xf numFmtId="3" fontId="0" fillId="0" borderId="0" xfId="0" applyNumberFormat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1" fillId="0" borderId="0" xfId="0" applyFont="1"/>
    <xf numFmtId="0" fontId="5" fillId="0" borderId="0" xfId="2" applyFont="1" applyFill="1" applyBorder="1" applyAlignment="1" applyProtection="1">
      <alignment vertical="center" readingOrder="1"/>
    </xf>
    <xf numFmtId="166" fontId="0" fillId="0" borderId="0" xfId="0" applyNumberFormat="1"/>
    <xf numFmtId="2" fontId="0" fillId="0" borderId="0" xfId="0" applyNumberFormat="1"/>
    <xf numFmtId="0" fontId="0" fillId="3" borderId="0" xfId="0" applyFill="1"/>
    <xf numFmtId="0" fontId="0" fillId="3" borderId="0" xfId="0" applyFill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/>
    <xf numFmtId="0" fontId="0" fillId="0" borderId="0" xfId="0" applyAlignment="1">
      <alignment horizontal="center"/>
    </xf>
    <xf numFmtId="0" fontId="5" fillId="0" borderId="1" xfId="2" applyFont="1" applyFill="1" applyBorder="1" applyAlignment="1" applyProtection="1">
      <alignment vertical="center" readingOrder="1"/>
    </xf>
    <xf numFmtId="165" fontId="0" fillId="0" borderId="1" xfId="0" applyNumberFormat="1" applyBorder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165" fontId="0" fillId="0" borderId="0" xfId="0" applyNumberFormat="1" applyBorder="1"/>
    <xf numFmtId="165" fontId="0" fillId="0" borderId="2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0" borderId="2" xfId="0" applyNumberFormat="1" applyBorder="1"/>
    <xf numFmtId="0" fontId="0" fillId="0" borderId="4" xfId="0" applyBorder="1" applyAlignment="1">
      <alignment horizontal="center"/>
    </xf>
    <xf numFmtId="165" fontId="0" fillId="0" borderId="4" xfId="0" applyNumberFormat="1" applyBorder="1"/>
    <xf numFmtId="165" fontId="0" fillId="0" borderId="5" xfId="0" applyNumberFormat="1" applyBorder="1"/>
    <xf numFmtId="0" fontId="0" fillId="0" borderId="0" xfId="0" quotePrefix="1" applyAlignment="1">
      <alignment horizontal="center"/>
    </xf>
    <xf numFmtId="165" fontId="0" fillId="0" borderId="0" xfId="1" applyNumberFormat="1" applyFont="1"/>
    <xf numFmtId="165" fontId="0" fillId="0" borderId="0" xfId="0" applyNumberFormat="1"/>
    <xf numFmtId="165" fontId="0" fillId="2" borderId="0" xfId="1" applyNumberFormat="1" applyFont="1" applyFill="1"/>
    <xf numFmtId="2" fontId="0" fillId="0" borderId="0" xfId="0" applyNumberFormat="1" applyFill="1"/>
    <xf numFmtId="0" fontId="0" fillId="0" borderId="0" xfId="0" applyFill="1"/>
    <xf numFmtId="0" fontId="0" fillId="0" borderId="0" xfId="0" applyBorder="1"/>
    <xf numFmtId="0" fontId="0" fillId="0" borderId="0" xfId="0" quotePrefix="1" applyBorder="1" applyAlignment="1">
      <alignment horizontal="center"/>
    </xf>
    <xf numFmtId="3" fontId="0" fillId="0" borderId="0" xfId="0" applyNumberFormat="1" applyBorder="1"/>
    <xf numFmtId="0" fontId="1" fillId="0" borderId="1" xfId="0" applyFont="1" applyFill="1" applyBorder="1"/>
    <xf numFmtId="0" fontId="1" fillId="0" borderId="1" xfId="0" quotePrefix="1" applyFont="1" applyBorder="1" applyAlignment="1">
      <alignment horizontal="center"/>
    </xf>
    <xf numFmtId="3" fontId="2" fillId="0" borderId="1" xfId="0" applyNumberFormat="1" applyFont="1" applyBorder="1"/>
    <xf numFmtId="0" fontId="2" fillId="0" borderId="1" xfId="0" applyFont="1" applyBorder="1"/>
    <xf numFmtId="0" fontId="1" fillId="0" borderId="0" xfId="0" applyFont="1" applyAlignment="1">
      <alignment horizontal="center"/>
    </xf>
    <xf numFmtId="165" fontId="0" fillId="0" borderId="0" xfId="0" applyNumberFormat="1" applyBorder="1" applyAlignment="1">
      <alignment horizontal="center"/>
    </xf>
    <xf numFmtId="0" fontId="0" fillId="0" borderId="6" xfId="0" applyBorder="1"/>
    <xf numFmtId="0" fontId="1" fillId="0" borderId="6" xfId="0" applyFont="1" applyBorder="1" applyAlignment="1">
      <alignment horizontal="center" vertical="center"/>
    </xf>
    <xf numFmtId="165" fontId="1" fillId="0" borderId="0" xfId="0" applyNumberFormat="1" applyFont="1"/>
    <xf numFmtId="165" fontId="1" fillId="0" borderId="0" xfId="0" applyNumberFormat="1" applyFont="1" applyBorder="1" applyAlignment="1">
      <alignment horizontal="center"/>
    </xf>
    <xf numFmtId="165" fontId="1" fillId="0" borderId="0" xfId="1" applyNumberFormat="1" applyFont="1"/>
    <xf numFmtId="0" fontId="6" fillId="0" borderId="0" xfId="0" applyFont="1"/>
    <xf numFmtId="165" fontId="6" fillId="0" borderId="0" xfId="0" applyNumberFormat="1" applyFont="1"/>
    <xf numFmtId="165" fontId="6" fillId="0" borderId="0" xfId="0" applyNumberFormat="1" applyFont="1" applyBorder="1" applyAlignment="1">
      <alignment horizontal="center"/>
    </xf>
    <xf numFmtId="165" fontId="2" fillId="0" borderId="1" xfId="0" applyNumberFormat="1" applyFont="1" applyBorder="1"/>
    <xf numFmtId="166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7" fillId="4" borderId="0" xfId="0" applyFont="1" applyFill="1"/>
    <xf numFmtId="165" fontId="0" fillId="4" borderId="0" xfId="0" applyNumberFormat="1" applyFill="1"/>
    <xf numFmtId="166" fontId="0" fillId="4" borderId="0" xfId="0" applyNumberFormat="1" applyFill="1" applyAlignment="1">
      <alignment horizontal="center"/>
    </xf>
    <xf numFmtId="165" fontId="0" fillId="4" borderId="0" xfId="0" applyNumberFormat="1" applyFill="1" applyBorder="1" applyAlignment="1">
      <alignment horizontal="center"/>
    </xf>
    <xf numFmtId="0" fontId="8" fillId="4" borderId="0" xfId="2" applyFont="1" applyFill="1" applyBorder="1" applyAlignment="1" applyProtection="1">
      <alignment vertical="center" readingOrder="1"/>
    </xf>
    <xf numFmtId="165" fontId="0" fillId="4" borderId="0" xfId="0" applyNumberFormat="1" applyFont="1" applyFill="1"/>
    <xf numFmtId="166" fontId="0" fillId="4" borderId="0" xfId="0" applyNumberFormat="1" applyFont="1" applyFill="1" applyAlignment="1">
      <alignment horizontal="center"/>
    </xf>
    <xf numFmtId="0" fontId="0" fillId="4" borderId="0" xfId="0" applyFont="1" applyFill="1"/>
    <xf numFmtId="0" fontId="0" fillId="0" borderId="0" xfId="0" applyFill="1" applyAlignment="1">
      <alignment horizontal="center"/>
    </xf>
    <xf numFmtId="167" fontId="0" fillId="4" borderId="0" xfId="0" applyNumberFormat="1" applyFont="1" applyFill="1"/>
    <xf numFmtId="167" fontId="3" fillId="4" borderId="0" xfId="1" applyNumberFormat="1" applyFont="1" applyFill="1"/>
    <xf numFmtId="167" fontId="6" fillId="0" borderId="0" xfId="0" applyNumberFormat="1" applyFont="1"/>
    <xf numFmtId="167" fontId="2" fillId="0" borderId="1" xfId="0" applyNumberFormat="1" applyFont="1" applyBorder="1"/>
    <xf numFmtId="0" fontId="0" fillId="5" borderId="0" xfId="0" applyFill="1"/>
    <xf numFmtId="0" fontId="9" fillId="0" borderId="1" xfId="0" applyFont="1" applyBorder="1"/>
    <xf numFmtId="0" fontId="0" fillId="4" borderId="0" xfId="0" applyFill="1"/>
    <xf numFmtId="0" fontId="1" fillId="0" borderId="0" xfId="0" applyFont="1" applyBorder="1"/>
    <xf numFmtId="0" fontId="1" fillId="0" borderId="6" xfId="0" applyFont="1" applyBorder="1"/>
    <xf numFmtId="0" fontId="1" fillId="0" borderId="6" xfId="0" applyFont="1" applyBorder="1" applyAlignment="1">
      <alignment vertical="center"/>
    </xf>
    <xf numFmtId="167" fontId="0" fillId="4" borderId="0" xfId="0" applyNumberFormat="1" applyFill="1" applyAlignment="1">
      <alignment horizontal="center" vertical="center"/>
    </xf>
    <xf numFmtId="167" fontId="0" fillId="6" borderId="0" xfId="0" applyNumberFormat="1" applyFill="1" applyAlignment="1">
      <alignment horizontal="center" vertical="center"/>
    </xf>
    <xf numFmtId="0" fontId="0" fillId="4" borderId="0" xfId="0" applyFill="1" applyAlignment="1">
      <alignment vertical="center" wrapText="1"/>
    </xf>
    <xf numFmtId="0" fontId="0" fillId="6" borderId="0" xfId="0" applyFill="1" applyAlignment="1">
      <alignment vertical="center" wrapText="1"/>
    </xf>
    <xf numFmtId="0" fontId="10" fillId="4" borderId="0" xfId="0" applyFont="1" applyFill="1" applyAlignment="1">
      <alignment vertical="center"/>
    </xf>
    <xf numFmtId="0" fontId="10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167" fontId="1" fillId="4" borderId="0" xfId="0" applyNumberFormat="1" applyFont="1" applyFill="1" applyAlignment="1">
      <alignment horizontal="center" vertical="center"/>
    </xf>
    <xf numFmtId="167" fontId="1" fillId="6" borderId="0" xfId="1" applyNumberFormat="1" applyFont="1" applyFill="1" applyAlignment="1">
      <alignment horizontal="center" vertical="center"/>
    </xf>
    <xf numFmtId="167" fontId="9" fillId="4" borderId="0" xfId="0" applyNumberFormat="1" applyFont="1" applyFill="1" applyAlignment="1">
      <alignment horizontal="center" vertical="center"/>
    </xf>
    <xf numFmtId="167" fontId="9" fillId="6" borderId="0" xfId="0" applyNumberFormat="1" applyFont="1" applyFill="1" applyAlignment="1">
      <alignment horizontal="center" vertical="center"/>
    </xf>
    <xf numFmtId="167" fontId="9" fillId="4" borderId="0" xfId="1" applyNumberFormat="1" applyFont="1" applyFill="1" applyAlignment="1">
      <alignment horizontal="center" vertical="center"/>
    </xf>
    <xf numFmtId="167" fontId="9" fillId="6" borderId="0" xfId="1" applyNumberFormat="1" applyFont="1" applyFill="1" applyAlignment="1">
      <alignment horizontal="center" vertical="center"/>
    </xf>
    <xf numFmtId="167" fontId="1" fillId="6" borderId="0" xfId="0" applyNumberFormat="1" applyFont="1" applyFill="1" applyAlignment="1">
      <alignment horizontal="center" vertical="center"/>
    </xf>
    <xf numFmtId="167" fontId="6" fillId="4" borderId="0" xfId="0" quotePrefix="1" applyNumberFormat="1" applyFont="1" applyFill="1" applyAlignment="1">
      <alignment horizontal="center" vertical="center"/>
    </xf>
    <xf numFmtId="167" fontId="6" fillId="6" borderId="0" xfId="1" quotePrefix="1" applyNumberFormat="1" applyFont="1" applyFill="1" applyAlignment="1">
      <alignment horizontal="center" vertical="center"/>
    </xf>
    <xf numFmtId="167" fontId="6" fillId="6" borderId="0" xfId="0" quotePrefix="1" applyNumberFormat="1" applyFont="1" applyFill="1" applyAlignment="1">
      <alignment horizontal="center" vertical="center"/>
    </xf>
    <xf numFmtId="167" fontId="6" fillId="4" borderId="0" xfId="1" quotePrefix="1" applyNumberFormat="1" applyFont="1" applyFill="1" applyAlignment="1">
      <alignment horizontal="center" vertical="center"/>
    </xf>
    <xf numFmtId="0" fontId="10" fillId="4" borderId="0" xfId="0" applyFont="1" applyFill="1" applyAlignment="1">
      <alignment vertical="center" wrapText="1"/>
    </xf>
    <xf numFmtId="3" fontId="1" fillId="0" borderId="1" xfId="0" applyNumberFormat="1" applyFont="1" applyFill="1" applyBorder="1"/>
    <xf numFmtId="3" fontId="0" fillId="0" borderId="0" xfId="0" applyNumberFormat="1" applyFill="1"/>
    <xf numFmtId="3" fontId="0" fillId="0" borderId="0" xfId="0" applyNumberFormat="1" applyFill="1" applyBorder="1"/>
    <xf numFmtId="3" fontId="2" fillId="0" borderId="1" xfId="0" applyNumberFormat="1" applyFont="1" applyFill="1" applyBorder="1"/>
    <xf numFmtId="167" fontId="0" fillId="0" borderId="0" xfId="0" applyNumberFormat="1"/>
    <xf numFmtId="0" fontId="0" fillId="0" borderId="0" xfId="0" applyAlignment="1">
      <alignment wrapText="1"/>
    </xf>
    <xf numFmtId="0" fontId="0" fillId="0" borderId="0" xfId="0" applyFill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167" fontId="3" fillId="0" borderId="0" xfId="1" applyNumberFormat="1" applyFont="1" applyFill="1"/>
    <xf numFmtId="0" fontId="0" fillId="0" borderId="2" xfId="0" applyBorder="1"/>
    <xf numFmtId="165" fontId="0" fillId="0" borderId="0" xfId="3" applyNumberFormat="1" applyFont="1"/>
    <xf numFmtId="165" fontId="0" fillId="0" borderId="0" xfId="0" applyNumberFormat="1"/>
    <xf numFmtId="165" fontId="0" fillId="2" borderId="0" xfId="3" applyNumberFormat="1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5" fontId="0" fillId="0" borderId="0" xfId="3" applyNumberFormat="1" applyFont="1"/>
    <xf numFmtId="165" fontId="0" fillId="0" borderId="0" xfId="0" applyNumberFormat="1"/>
    <xf numFmtId="165" fontId="0" fillId="2" borderId="0" xfId="3" applyNumberFormat="1" applyFont="1" applyFill="1"/>
    <xf numFmtId="0" fontId="0" fillId="0" borderId="0" xfId="0"/>
    <xf numFmtId="2" fontId="0" fillId="0" borderId="0" xfId="0" applyNumberFormat="1"/>
    <xf numFmtId="166" fontId="0" fillId="0" borderId="0" xfId="0" applyNumberFormat="1"/>
    <xf numFmtId="166" fontId="0" fillId="0" borderId="0" xfId="0" applyNumberFormat="1" applyAlignment="1">
      <alignment horizontal="center"/>
    </xf>
    <xf numFmtId="166" fontId="1" fillId="0" borderId="0" xfId="0" applyNumberFormat="1" applyFont="1" applyAlignment="1">
      <alignment horizontal="center"/>
    </xf>
    <xf numFmtId="166" fontId="0" fillId="0" borderId="1" xfId="0" applyNumberFormat="1" applyBorder="1" applyAlignment="1">
      <alignment horizontal="center"/>
    </xf>
    <xf numFmtId="2" fontId="0" fillId="0" borderId="0" xfId="0" applyNumberFormat="1" applyFill="1"/>
    <xf numFmtId="0" fontId="5" fillId="0" borderId="0" xfId="2" applyFont="1" applyFill="1" applyBorder="1" applyAlignment="1" applyProtection="1">
      <alignment vertical="center" readingOrder="1"/>
    </xf>
    <xf numFmtId="165" fontId="0" fillId="0" borderId="0" xfId="3" applyNumberFormat="1" applyFont="1"/>
    <xf numFmtId="165" fontId="0" fillId="0" borderId="0" xfId="0" applyNumberFormat="1"/>
    <xf numFmtId="165" fontId="0" fillId="2" borderId="0" xfId="3" applyNumberFormat="1" applyFont="1" applyFill="1"/>
    <xf numFmtId="0" fontId="0" fillId="0" borderId="0" xfId="0" applyAlignment="1">
      <alignment horizontal="center"/>
    </xf>
    <xf numFmtId="165" fontId="0" fillId="4" borderId="0" xfId="0" applyNumberFormat="1" applyFill="1"/>
    <xf numFmtId="165" fontId="0" fillId="0" borderId="0" xfId="0" applyNumberFormat="1" applyBorder="1"/>
    <xf numFmtId="0" fontId="6" fillId="0" borderId="0" xfId="0" applyFont="1"/>
    <xf numFmtId="166" fontId="6" fillId="0" borderId="0" xfId="0" applyNumberFormat="1" applyFont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164" fontId="0" fillId="2" borderId="0" xfId="3" applyNumberFormat="1" applyFont="1" applyFill="1"/>
    <xf numFmtId="0" fontId="0" fillId="0" borderId="0" xfId="0" applyAlignment="1"/>
    <xf numFmtId="3" fontId="0" fillId="0" borderId="0" xfId="0" applyNumberFormat="1" applyAlignment="1"/>
    <xf numFmtId="0" fontId="0" fillId="0" borderId="0" xfId="0" applyFill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165" fontId="0" fillId="2" borderId="0" xfId="0" applyNumberFormat="1" applyFill="1"/>
    <xf numFmtId="165" fontId="0" fillId="7" borderId="0" xfId="3" applyNumberFormat="1" applyFont="1" applyFill="1"/>
    <xf numFmtId="164" fontId="0" fillId="7" borderId="0" xfId="3" applyNumberFormat="1" applyFont="1" applyFill="1"/>
    <xf numFmtId="165" fontId="0" fillId="0" borderId="0" xfId="3" applyNumberFormat="1" applyFont="1" applyFill="1"/>
    <xf numFmtId="165" fontId="0" fillId="2" borderId="0" xfId="0" applyNumberFormat="1" applyFill="1" applyBorder="1"/>
    <xf numFmtId="0" fontId="0" fillId="0" borderId="0" xfId="0" applyFill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3" fontId="0" fillId="0" borderId="0" xfId="0" applyNumberFormat="1" applyAlignment="1">
      <alignment wrapText="1"/>
    </xf>
    <xf numFmtId="0" fontId="0" fillId="0" borderId="0" xfId="0" applyFill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quotePrefix="1" applyFont="1" applyBorder="1" applyAlignment="1">
      <alignment horizontal="center"/>
    </xf>
    <xf numFmtId="3" fontId="2" fillId="0" borderId="0" xfId="0" applyNumberFormat="1" applyFont="1" applyBorder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4">
    <cellStyle name="Migliaia" xfId="1" builtinId="3"/>
    <cellStyle name="Migliaia 2" xfId="3"/>
    <cellStyle name="Normal" xfId="2"/>
    <cellStyle name="Normale" xfId="0" builtinId="0"/>
  </cellStyles>
  <dxfs count="108"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06717062543118"/>
          <c:y val="5.4234059497589075E-2"/>
          <c:w val="0.80361249792401179"/>
          <c:h val="0.7809093903747869"/>
        </c:manualLayout>
      </c:layout>
      <c:lineChart>
        <c:grouping val="standard"/>
        <c:varyColors val="0"/>
        <c:ser>
          <c:idx val="0"/>
          <c:order val="0"/>
          <c:tx>
            <c:strRef>
              <c:f>Risultato_amministrazione!$A$3</c:f>
              <c:strCache>
                <c:ptCount val="1"/>
                <c:pt idx="0">
                  <c:v>Residui attivi</c:v>
                </c:pt>
              </c:strCache>
            </c:strRef>
          </c:tx>
          <c:marker>
            <c:symbol val="triangle"/>
            <c:size val="5"/>
          </c:marker>
          <c:cat>
            <c:numRef>
              <c:f>Risultato_amministrazione!$B$1:$K$1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Risultato_amministrazione!$B$3:$K$3</c:f>
              <c:numCache>
                <c:formatCode>#,##0</c:formatCode>
                <c:ptCount val="10"/>
                <c:pt idx="0">
                  <c:v>202767598.31999999</c:v>
                </c:pt>
                <c:pt idx="1">
                  <c:v>210169390.91</c:v>
                </c:pt>
                <c:pt idx="2">
                  <c:v>215663226.25</c:v>
                </c:pt>
                <c:pt idx="3">
                  <c:v>235080257.16</c:v>
                </c:pt>
                <c:pt idx="4">
                  <c:v>270957800.13999999</c:v>
                </c:pt>
                <c:pt idx="5">
                  <c:v>284052746.93000001</c:v>
                </c:pt>
                <c:pt idx="6">
                  <c:v>334196750.91000003</c:v>
                </c:pt>
                <c:pt idx="7">
                  <c:v>313046269.56999999</c:v>
                </c:pt>
                <c:pt idx="8">
                  <c:v>315760257.98000002</c:v>
                </c:pt>
                <c:pt idx="9">
                  <c:v>365193588.76999998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815-456D-8408-112A4369BD40}"/>
            </c:ext>
          </c:extLst>
        </c:ser>
        <c:ser>
          <c:idx val="1"/>
          <c:order val="1"/>
          <c:tx>
            <c:strRef>
              <c:f>Risultato_amministrazione!$A$4</c:f>
              <c:strCache>
                <c:ptCount val="1"/>
                <c:pt idx="0">
                  <c:v>Residui passivi</c:v>
                </c:pt>
              </c:strCache>
            </c:strRef>
          </c:tx>
          <c:marker>
            <c:symbol val="square"/>
            <c:size val="5"/>
          </c:marker>
          <c:cat>
            <c:numRef>
              <c:f>Risultato_amministrazione!$B$1:$K$1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Risultato_amministrazione!$B$4:$K$4</c:f>
              <c:numCache>
                <c:formatCode>#,##0</c:formatCode>
                <c:ptCount val="10"/>
                <c:pt idx="0">
                  <c:v>135853431.44</c:v>
                </c:pt>
                <c:pt idx="1">
                  <c:v>137607516.15000001</c:v>
                </c:pt>
                <c:pt idx="2">
                  <c:v>123802687.39</c:v>
                </c:pt>
                <c:pt idx="3">
                  <c:v>142231950.53</c:v>
                </c:pt>
                <c:pt idx="4">
                  <c:v>109674006.94</c:v>
                </c:pt>
                <c:pt idx="5">
                  <c:v>92137943.469999999</c:v>
                </c:pt>
                <c:pt idx="6">
                  <c:v>99645732.450000003</c:v>
                </c:pt>
                <c:pt idx="7">
                  <c:v>102193900.55</c:v>
                </c:pt>
                <c:pt idx="8">
                  <c:v>105344812.34999999</c:v>
                </c:pt>
                <c:pt idx="9">
                  <c:v>116276646.28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815-456D-8408-112A4369B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2532464"/>
        <c:axId val="1442530288"/>
      </c:lineChart>
      <c:catAx>
        <c:axId val="144253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442530288"/>
        <c:crosses val="autoZero"/>
        <c:auto val="1"/>
        <c:lblAlgn val="ctr"/>
        <c:lblOffset val="100"/>
        <c:noMultiLvlLbl val="0"/>
      </c:catAx>
      <c:valAx>
        <c:axId val="1442530288"/>
        <c:scaling>
          <c:orientation val="minMax"/>
          <c:max val="350000000"/>
          <c:min val="50000000"/>
        </c:scaling>
        <c:delete val="0"/>
        <c:axPos val="l"/>
        <c:numFmt formatCode="#,##0" sourceLinked="1"/>
        <c:majorTickMark val="none"/>
        <c:minorTickMark val="none"/>
        <c:tickLblPos val="nextTo"/>
        <c:crossAx val="1442532464"/>
        <c:crosses val="autoZero"/>
        <c:crossBetween val="between"/>
        <c:majorUnit val="50000000"/>
      </c:val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247043861785319E-2"/>
          <c:y val="6.093661258297705E-2"/>
          <c:w val="0.95679921453118666"/>
          <c:h val="0.752630805742473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Piano_indicatori!$B$31</c:f>
              <c:strCache>
                <c:ptCount val="1"/>
                <c:pt idx="0">
                  <c:v>Investimenti complessivi procapite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Piano_indicatori!$D$31:$K$31</c:f>
              <c:numCache>
                <c:formatCode>0.00</c:formatCode>
                <c:ptCount val="8"/>
                <c:pt idx="0">
                  <c:v>217.39</c:v>
                </c:pt>
                <c:pt idx="1">
                  <c:v>203.57</c:v>
                </c:pt>
                <c:pt idx="2">
                  <c:v>191.73</c:v>
                </c:pt>
                <c:pt idx="3">
                  <c:v>140.50485113472098</c:v>
                </c:pt>
                <c:pt idx="4">
                  <c:v>156.47999999999999</c:v>
                </c:pt>
                <c:pt idx="5">
                  <c:v>182.59</c:v>
                </c:pt>
                <c:pt idx="6">
                  <c:v>209.37</c:v>
                </c:pt>
                <c:pt idx="7">
                  <c:v>531.46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33-4A6E-8076-E1B5B866D10D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Piano_indicatori!$D$90:$K$90</c:f>
              <c:numCache>
                <c:formatCode>0.00</c:formatCode>
                <c:ptCount val="8"/>
                <c:pt idx="0">
                  <c:v>157.51675807997006</c:v>
                </c:pt>
                <c:pt idx="1">
                  <c:v>150.44420956890005</c:v>
                </c:pt>
                <c:pt idx="2">
                  <c:v>170.92035541980178</c:v>
                </c:pt>
                <c:pt idx="3">
                  <c:v>180.492157874811</c:v>
                </c:pt>
                <c:pt idx="4">
                  <c:v>204.57029658165237</c:v>
                </c:pt>
                <c:pt idx="5">
                  <c:v>209.21258224469867</c:v>
                </c:pt>
                <c:pt idx="6">
                  <c:v>229.38618194069946</c:v>
                </c:pt>
                <c:pt idx="7">
                  <c:v>334.14493954817681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533-4A6E-8076-E1B5B866D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2809328"/>
        <c:axId val="1012813680"/>
      </c:barChart>
      <c:catAx>
        <c:axId val="1012809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012813680"/>
        <c:crosses val="autoZero"/>
        <c:auto val="1"/>
        <c:lblAlgn val="ctr"/>
        <c:lblOffset val="100"/>
        <c:noMultiLvlLbl val="0"/>
      </c:catAx>
      <c:valAx>
        <c:axId val="1012813680"/>
        <c:scaling>
          <c:orientation val="minMax"/>
          <c:max val="54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1012809328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2604501756868032"/>
          <c:y val="0.91535004107865958"/>
          <c:w val="0.3636191867769108"/>
          <c:h val="8.4649958921340043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693E-2"/>
          <c:y val="3.6934441366574529E-3"/>
          <c:w val="0.95679921453118666"/>
          <c:h val="0.795100224660283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Piano_indicatori!$B$47</c:f>
              <c:strCache>
                <c:ptCount val="1"/>
                <c:pt idx="0">
                  <c:v>Indicatore annuale di tempestività dei pagamenti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Piano_indicatori!$D$47:$K$47</c:f>
              <c:numCache>
                <c:formatCode>0.00</c:formatCode>
                <c:ptCount val="8"/>
                <c:pt idx="0">
                  <c:v>25.12</c:v>
                </c:pt>
                <c:pt idx="1">
                  <c:v>22.11</c:v>
                </c:pt>
                <c:pt idx="2">
                  <c:v>20.67</c:v>
                </c:pt>
                <c:pt idx="3">
                  <c:v>11.66</c:v>
                </c:pt>
                <c:pt idx="4">
                  <c:v>-7</c:v>
                </c:pt>
                <c:pt idx="5">
                  <c:v>-13.95</c:v>
                </c:pt>
                <c:pt idx="6">
                  <c:v>-8.9600000000000009</c:v>
                </c:pt>
                <c:pt idx="7">
                  <c:v>-14.43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44-41B9-BDCF-288E48435941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Piano_indicatori!$D$91:$K$91</c:f>
              <c:numCache>
                <c:formatCode>0.00</c:formatCode>
                <c:ptCount val="8"/>
                <c:pt idx="0">
                  <c:v>30.939403225806455</c:v>
                </c:pt>
                <c:pt idx="1">
                  <c:v>36.337096774193533</c:v>
                </c:pt>
                <c:pt idx="2">
                  <c:v>36.521612903225808</c:v>
                </c:pt>
                <c:pt idx="3">
                  <c:v>24.474374999999998</c:v>
                </c:pt>
                <c:pt idx="4">
                  <c:v>18.420312500000001</c:v>
                </c:pt>
                <c:pt idx="5">
                  <c:v>10.619375</c:v>
                </c:pt>
                <c:pt idx="6">
                  <c:v>3.849687499999999</c:v>
                </c:pt>
                <c:pt idx="7">
                  <c:v>1.0896875000000004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44-41B9-BDCF-288E48435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2810416"/>
        <c:axId val="1012814768"/>
      </c:barChart>
      <c:catAx>
        <c:axId val="1012810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012814768"/>
        <c:crosses val="autoZero"/>
        <c:auto val="1"/>
        <c:lblAlgn val="ctr"/>
        <c:lblOffset val="100"/>
        <c:noMultiLvlLbl val="0"/>
      </c:catAx>
      <c:valAx>
        <c:axId val="1012814768"/>
        <c:scaling>
          <c:orientation val="minMax"/>
          <c:max val="40"/>
          <c:min val="-15"/>
        </c:scaling>
        <c:delete val="1"/>
        <c:axPos val="l"/>
        <c:numFmt formatCode="0" sourceLinked="0"/>
        <c:majorTickMark val="out"/>
        <c:minorTickMark val="none"/>
        <c:tickLblPos val="nextTo"/>
        <c:crossAx val="1012810416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693E-2"/>
          <c:y val="5.1708217913204124E-2"/>
          <c:w val="0.95679921453118666"/>
          <c:h val="0.750778895020395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Piano_indicatori!$B$52</c:f>
              <c:strCache>
                <c:ptCount val="1"/>
                <c:pt idx="0">
                  <c:v>Indebitamento procapite</c:v>
                </c:pt>
              </c:strCache>
            </c:strRef>
          </c:tx>
          <c:invertIfNegative val="0"/>
          <c:dLbls>
            <c:dLbl>
              <c:idx val="7"/>
              <c:layout>
                <c:manualLayout>
                  <c:x val="-1.1451474377326082E-2"/>
                  <c:y val="3.84689363339110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Piano_indicatori!$D$52:$K$52</c:f>
              <c:numCache>
                <c:formatCode>0.00</c:formatCode>
                <c:ptCount val="8"/>
                <c:pt idx="0">
                  <c:v>320.01</c:v>
                </c:pt>
                <c:pt idx="1">
                  <c:v>326.68</c:v>
                </c:pt>
                <c:pt idx="2">
                  <c:v>324.06</c:v>
                </c:pt>
                <c:pt idx="3">
                  <c:v>315.11924429722495</c:v>
                </c:pt>
                <c:pt idx="4">
                  <c:v>314.18</c:v>
                </c:pt>
                <c:pt idx="5">
                  <c:v>308.32</c:v>
                </c:pt>
                <c:pt idx="6">
                  <c:v>308.88</c:v>
                </c:pt>
                <c:pt idx="7">
                  <c:v>309.43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10-4DD5-8C34-963CC30C4CFD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Piano_indicatori!$D$92:$K$92</c:f>
              <c:numCache>
                <c:formatCode>0.00</c:formatCode>
                <c:ptCount val="8"/>
                <c:pt idx="0">
                  <c:v>1806.715247780151</c:v>
                </c:pt>
                <c:pt idx="1">
                  <c:v>1760.2223341478993</c:v>
                </c:pt>
                <c:pt idx="2">
                  <c:v>1723.4313709635639</c:v>
                </c:pt>
                <c:pt idx="3">
                  <c:v>1688.3834954123995</c:v>
                </c:pt>
                <c:pt idx="4">
                  <c:v>1744.0187221199872</c:v>
                </c:pt>
                <c:pt idx="5">
                  <c:v>1744.7789254873785</c:v>
                </c:pt>
                <c:pt idx="6">
                  <c:v>1726.9557160967668</c:v>
                </c:pt>
                <c:pt idx="7">
                  <c:v>1697.0701833805592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910-4DD5-8C34-963CC30C4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2812048"/>
        <c:axId val="1012813136"/>
      </c:barChart>
      <c:catAx>
        <c:axId val="1012812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012813136"/>
        <c:crosses val="autoZero"/>
        <c:auto val="1"/>
        <c:lblAlgn val="ctr"/>
        <c:lblOffset val="100"/>
        <c:noMultiLvlLbl val="0"/>
      </c:catAx>
      <c:valAx>
        <c:axId val="1012813136"/>
        <c:scaling>
          <c:orientation val="minMax"/>
          <c:max val="1850"/>
          <c:min val="0"/>
        </c:scaling>
        <c:delete val="1"/>
        <c:axPos val="l"/>
        <c:numFmt formatCode="0" sourceLinked="0"/>
        <c:majorTickMark val="none"/>
        <c:minorTickMark val="none"/>
        <c:tickLblPos val="none"/>
        <c:crossAx val="1012812048"/>
        <c:crosses val="autoZero"/>
        <c:crossBetween val="between"/>
        <c:majorUnit val="10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3675674124809"/>
          <c:y val="7.7745360071207401E-3"/>
          <c:w val="0.87944588737157492"/>
          <c:h val="0.9494655159537152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Popolazione!$A$1</c:f>
              <c:strCache>
                <c:ptCount val="1"/>
                <c:pt idx="0">
                  <c:v>al 1° gennaio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Popolazione!$A$2:$A$11</c:f>
              <c:numCache>
                <c:formatCode>General</c:formatCode>
                <c:ptCount val="10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  <c:pt idx="5">
                  <c:v>2019</c:v>
                </c:pt>
                <c:pt idx="6">
                  <c:v>2018</c:v>
                </c:pt>
                <c:pt idx="7">
                  <c:v>2017</c:v>
                </c:pt>
                <c:pt idx="8">
                  <c:v>2016</c:v>
                </c:pt>
                <c:pt idx="9">
                  <c:v>2015</c:v>
                </c:pt>
              </c:numCache>
            </c:numRef>
          </c:cat>
          <c:val>
            <c:numRef>
              <c:f>Popolazione!$B$2:$B$11</c:f>
              <c:numCache>
                <c:formatCode>#,##0</c:formatCode>
                <c:ptCount val="10"/>
                <c:pt idx="0">
                  <c:v>147378</c:v>
                </c:pt>
                <c:pt idx="1">
                  <c:v>148296</c:v>
                </c:pt>
                <c:pt idx="2">
                  <c:v>149092</c:v>
                </c:pt>
                <c:pt idx="3">
                  <c:v>149572</c:v>
                </c:pt>
                <c:pt idx="4">
                  <c:v>151005</c:v>
                </c:pt>
                <c:pt idx="5">
                  <c:v>151504</c:v>
                </c:pt>
                <c:pt idx="6">
                  <c:v>151171</c:v>
                </c:pt>
                <c:pt idx="7">
                  <c:v>151352</c:v>
                </c:pt>
                <c:pt idx="8">
                  <c:v>151865</c:v>
                </c:pt>
                <c:pt idx="9">
                  <c:v>151959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94-47EF-9023-381B80469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2810960"/>
        <c:axId val="1012816400"/>
      </c:barChart>
      <c:catAx>
        <c:axId val="1012810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0"/>
            </a:pPr>
            <a:endParaRPr lang="it-IT"/>
          </a:p>
        </c:txPr>
        <c:crossAx val="1012816400"/>
        <c:crosses val="autoZero"/>
        <c:auto val="1"/>
        <c:lblAlgn val="ctr"/>
        <c:lblOffset val="100"/>
        <c:noMultiLvlLbl val="0"/>
      </c:catAx>
      <c:valAx>
        <c:axId val="1012816400"/>
        <c:scaling>
          <c:orientation val="minMax"/>
          <c:max val="180000"/>
          <c:min val="0"/>
        </c:scaling>
        <c:delete val="1"/>
        <c:axPos val="b"/>
        <c:numFmt formatCode="#,##0" sourceLinked="1"/>
        <c:majorTickMark val="none"/>
        <c:minorTickMark val="none"/>
        <c:tickLblPos val="none"/>
        <c:crossAx val="1012810960"/>
        <c:crosses val="autoZero"/>
        <c:crossBetween val="between"/>
        <c:majorUnit val="1000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Risultato_amministrazione!$A$3</c:f>
              <c:strCache>
                <c:ptCount val="1"/>
                <c:pt idx="0">
                  <c:v>Residui attivi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Risultato_amministrazione!$B$1:$K$1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Risultato_amministrazione!$B$3:$K$3</c:f>
              <c:numCache>
                <c:formatCode>#,##0</c:formatCode>
                <c:ptCount val="10"/>
                <c:pt idx="0">
                  <c:v>202767598.31999999</c:v>
                </c:pt>
                <c:pt idx="1">
                  <c:v>210169390.91</c:v>
                </c:pt>
                <c:pt idx="2">
                  <c:v>215663226.25</c:v>
                </c:pt>
                <c:pt idx="3">
                  <c:v>235080257.16</c:v>
                </c:pt>
                <c:pt idx="4">
                  <c:v>270957800.13999999</c:v>
                </c:pt>
                <c:pt idx="5">
                  <c:v>284052746.93000001</c:v>
                </c:pt>
                <c:pt idx="6">
                  <c:v>334196750.91000003</c:v>
                </c:pt>
                <c:pt idx="7">
                  <c:v>313046269.56999999</c:v>
                </c:pt>
                <c:pt idx="8">
                  <c:v>315760257.98000002</c:v>
                </c:pt>
                <c:pt idx="9">
                  <c:v>365193588.76999998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570-4566-BAA9-AA8B82BC92A7}"/>
            </c:ext>
          </c:extLst>
        </c:ser>
        <c:ser>
          <c:idx val="1"/>
          <c:order val="1"/>
          <c:tx>
            <c:strRef>
              <c:f>Risultato_amministrazione!$A$8</c:f>
              <c:strCache>
                <c:ptCount val="1"/>
                <c:pt idx="0">
                  <c:v>Fondo crediti di dubbia esigibilità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Risultato_amministrazione!$B$1:$K$1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Risultato_amministrazione!$B$8:$K$8</c:f>
              <c:numCache>
                <c:formatCode>#,##0</c:formatCode>
                <c:ptCount val="10"/>
                <c:pt idx="0">
                  <c:v>52832531.030000001</c:v>
                </c:pt>
                <c:pt idx="1">
                  <c:v>76185332.719999999</c:v>
                </c:pt>
                <c:pt idx="2">
                  <c:v>93517996.5</c:v>
                </c:pt>
                <c:pt idx="3">
                  <c:v>117188982.55</c:v>
                </c:pt>
                <c:pt idx="4">
                  <c:v>140267242.68000001</c:v>
                </c:pt>
                <c:pt idx="5">
                  <c:v>167194677.44999999</c:v>
                </c:pt>
                <c:pt idx="6">
                  <c:v>187520633.27000001</c:v>
                </c:pt>
                <c:pt idx="7">
                  <c:v>178274350.94</c:v>
                </c:pt>
                <c:pt idx="8">
                  <c:v>186364313.81999999</c:v>
                </c:pt>
                <c:pt idx="9">
                  <c:v>192119620.08000001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570-4566-BAA9-AA8B82BC9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42530832"/>
        <c:axId val="1442531376"/>
      </c:barChart>
      <c:lineChart>
        <c:grouping val="standard"/>
        <c:varyColors val="0"/>
        <c:ser>
          <c:idx val="2"/>
          <c:order val="2"/>
          <c:tx>
            <c:strRef>
              <c:f>Risultato_amministrazione!$A$23</c:f>
              <c:strCache>
                <c:ptCount val="1"/>
                <c:pt idx="0">
                  <c:v>Rapporto Fcde/Residui attivi (scala dx)</c:v>
                </c:pt>
              </c:strCache>
            </c:strRef>
          </c:tx>
          <c:spPr>
            <a:ln w="444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/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Risultato_amministrazione!$B$1:$K$1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Risultato_amministrazione!$B$23:$K$23</c:f>
              <c:numCache>
                <c:formatCode>0.0</c:formatCode>
                <c:ptCount val="10"/>
                <c:pt idx="0">
                  <c:v>26.055706862307332</c:v>
                </c:pt>
                <c:pt idx="1">
                  <c:v>36.249490180339599</c:v>
                </c:pt>
                <c:pt idx="2">
                  <c:v>43.362977604532617</c:v>
                </c:pt>
                <c:pt idx="3">
                  <c:v>49.850627171229867</c:v>
                </c:pt>
                <c:pt idx="4">
                  <c:v>51.767191277581212</c:v>
                </c:pt>
                <c:pt idx="5">
                  <c:v>58.860433231861087</c:v>
                </c:pt>
                <c:pt idx="6">
                  <c:v>56.110848701967107</c:v>
                </c:pt>
                <c:pt idx="7">
                  <c:v>56.948243205350266</c:v>
                </c:pt>
                <c:pt idx="8">
                  <c:v>59.020826437190252</c:v>
                </c:pt>
                <c:pt idx="9">
                  <c:v>52.60761031623629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570-4566-BAA9-AA8B82BC9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4121840"/>
        <c:axId val="1442526480"/>
      </c:lineChart>
      <c:catAx>
        <c:axId val="144253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42531376"/>
        <c:crosses val="autoZero"/>
        <c:auto val="1"/>
        <c:lblAlgn val="ctr"/>
        <c:lblOffset val="100"/>
        <c:noMultiLvlLbl val="0"/>
      </c:catAx>
      <c:valAx>
        <c:axId val="1442531376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42530832"/>
        <c:crosses val="autoZero"/>
        <c:crossBetween val="between"/>
      </c:valAx>
      <c:valAx>
        <c:axId val="1442526480"/>
        <c:scaling>
          <c:orientation val="minMax"/>
          <c:min val="25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34121840"/>
        <c:crosses val="max"/>
        <c:crossBetween val="between"/>
      </c:valAx>
      <c:catAx>
        <c:axId val="17341218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44252648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723472155736403E-2"/>
          <c:y val="1.9227205294990446E-2"/>
          <c:w val="0.82659173347706838"/>
          <c:h val="0.9612494959869146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Conto_economico!$A$28</c:f>
              <c:strCache>
                <c:ptCount val="1"/>
                <c:pt idx="0">
                  <c:v>Risultato dell'esercizio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4452-41DC-B25A-48B8A55670DF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7F3D-4504-9509-BDB7B15096FC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3EF-4EE1-84EC-90209335CF23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9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>
              <c:idx val="0"/>
              <c:layout>
                <c:manualLayout>
                  <c:x val="5.1954174647088167E-2"/>
                  <c:y val="4.023335345001005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FF000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452-41DC-B25A-48B8A55670D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2252394126409876E-2"/>
                  <c:y val="4.02333534500085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FF000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452-41DC-B25A-48B8A55670D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4.9469958147123502E-2"/>
                  <c:y val="3.8646195176115961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FF000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3EF-4EE1-84EC-90209335CF23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335010727082795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3EF-4EE1-84EC-90209335CF23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FF000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5.5855855855855854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FF000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rgbClr val="0070C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Conto_economico!$C$1:$L$1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Conto_economico!$C$28:$L$28</c:f>
              <c:numCache>
                <c:formatCode>#,##0</c:formatCode>
                <c:ptCount val="10"/>
                <c:pt idx="0">
                  <c:v>-2054764.5599999949</c:v>
                </c:pt>
                <c:pt idx="1">
                  <c:v>-7942213.9099999629</c:v>
                </c:pt>
                <c:pt idx="2">
                  <c:v>23977025.009999998</c:v>
                </c:pt>
                <c:pt idx="3">
                  <c:v>-4337131.1000000704</c:v>
                </c:pt>
                <c:pt idx="4">
                  <c:v>1328767.4800000116</c:v>
                </c:pt>
                <c:pt idx="5">
                  <c:v>6637059.9700000361</c:v>
                </c:pt>
                <c:pt idx="6">
                  <c:v>31096788.309999976</c:v>
                </c:pt>
                <c:pt idx="7">
                  <c:v>-196940879.85999992</c:v>
                </c:pt>
                <c:pt idx="8">
                  <c:v>14252095.37000001</c:v>
                </c:pt>
                <c:pt idx="9">
                  <c:v>-370141.66000006674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452-41DC-B25A-48B8A5567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1269200"/>
        <c:axId val="1831269744"/>
      </c:barChart>
      <c:catAx>
        <c:axId val="18312692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1"/>
            </a:pPr>
            <a:endParaRPr lang="it-IT"/>
          </a:p>
        </c:txPr>
        <c:crossAx val="1831269744"/>
        <c:crosses val="autoZero"/>
        <c:auto val="1"/>
        <c:lblAlgn val="ctr"/>
        <c:lblOffset val="100"/>
        <c:noMultiLvlLbl val="0"/>
      </c:catAx>
      <c:valAx>
        <c:axId val="1831269744"/>
        <c:scaling>
          <c:orientation val="minMax"/>
          <c:max val="33000000"/>
          <c:min val="-200000000"/>
        </c:scaling>
        <c:delete val="0"/>
        <c:axPos val="b"/>
        <c:numFmt formatCode="#,##0" sourceLinked="1"/>
        <c:majorTickMark val="out"/>
        <c:minorTickMark val="none"/>
        <c:tickLblPos val="nextTo"/>
        <c:crossAx val="183126920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Stato_patrimoniale!$A$21</c:f>
              <c:strCache>
                <c:ptCount val="1"/>
                <c:pt idx="0">
                  <c:v>Debiti da finanziamento (D1)</c:v>
                </c:pt>
              </c:strCache>
            </c:strRef>
          </c:tx>
          <c:invertIfNegative val="0"/>
          <c:cat>
            <c:numRef>
              <c:f>Stato_patrimoniale!$B$1:$K$1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Stato_patrimoniale!$B$21:$K$21</c:f>
              <c:numCache>
                <c:formatCode>#,##0</c:formatCode>
                <c:ptCount val="10"/>
                <c:pt idx="0">
                  <c:v>50501178.029999994</c:v>
                </c:pt>
                <c:pt idx="1">
                  <c:v>49838514.629999995</c:v>
                </c:pt>
                <c:pt idx="2">
                  <c:v>51710507.850000001</c:v>
                </c:pt>
                <c:pt idx="3">
                  <c:v>51138586.939999998</c:v>
                </c:pt>
                <c:pt idx="4">
                  <c:v>49939350.420000002</c:v>
                </c:pt>
                <c:pt idx="5">
                  <c:v>48612500.460000001</c:v>
                </c:pt>
                <c:pt idx="6">
                  <c:v>48332153.270000003</c:v>
                </c:pt>
                <c:pt idx="7">
                  <c:v>47089668.530000001</c:v>
                </c:pt>
                <c:pt idx="8">
                  <c:v>46768434.039999999</c:v>
                </c:pt>
                <c:pt idx="9">
                  <c:v>46443962.18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78-494A-A3FF-551A6B06C6B4}"/>
            </c:ext>
          </c:extLst>
        </c:ser>
        <c:ser>
          <c:idx val="1"/>
          <c:order val="1"/>
          <c:tx>
            <c:strRef>
              <c:f>Stato_patrimoniale!$A$22</c:f>
              <c:strCache>
                <c:ptCount val="1"/>
                <c:pt idx="0">
                  <c:v>Debiti verso fornitori (D2)</c:v>
                </c:pt>
              </c:strCache>
            </c:strRef>
          </c:tx>
          <c:invertIfNegative val="0"/>
          <c:cat>
            <c:numRef>
              <c:f>Stato_patrimoniale!$B$1:$K$1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Stato_patrimoniale!$B$22:$K$22</c:f>
              <c:numCache>
                <c:formatCode>#,##0</c:formatCode>
                <c:ptCount val="10"/>
                <c:pt idx="0">
                  <c:v>57367958.390000001</c:v>
                </c:pt>
                <c:pt idx="1">
                  <c:v>68970974.700000003</c:v>
                </c:pt>
                <c:pt idx="2">
                  <c:v>53380785.840000004</c:v>
                </c:pt>
                <c:pt idx="3">
                  <c:v>93584029.829999998</c:v>
                </c:pt>
                <c:pt idx="4">
                  <c:v>68851900.400000006</c:v>
                </c:pt>
                <c:pt idx="5">
                  <c:v>56168556.240000002</c:v>
                </c:pt>
                <c:pt idx="6">
                  <c:v>58022498.859999999</c:v>
                </c:pt>
                <c:pt idx="7">
                  <c:v>52106106.270000003</c:v>
                </c:pt>
                <c:pt idx="8">
                  <c:v>58919970.630000003</c:v>
                </c:pt>
                <c:pt idx="9">
                  <c:v>69384401.5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78-494A-A3FF-551A6B06C6B4}"/>
            </c:ext>
          </c:extLst>
        </c:ser>
        <c:ser>
          <c:idx val="2"/>
          <c:order val="2"/>
          <c:tx>
            <c:strRef>
              <c:f>Stato_patrimoniale!$A$23</c:f>
              <c:strCache>
                <c:ptCount val="1"/>
                <c:pt idx="0">
                  <c:v>Debiti per trasferimenti e contributi (D4)</c:v>
                </c:pt>
              </c:strCache>
            </c:strRef>
          </c:tx>
          <c:invertIfNegative val="0"/>
          <c:cat>
            <c:numRef>
              <c:f>Stato_patrimoniale!$B$1:$K$1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Stato_patrimoniale!$B$23:$K$23</c:f>
              <c:numCache>
                <c:formatCode>#,##0</c:formatCode>
                <c:ptCount val="10"/>
                <c:pt idx="0">
                  <c:v>15191267.92</c:v>
                </c:pt>
                <c:pt idx="1">
                  <c:v>14905583.079999998</c:v>
                </c:pt>
                <c:pt idx="2">
                  <c:v>13631912.710000001</c:v>
                </c:pt>
                <c:pt idx="3">
                  <c:v>18790447.289999999</c:v>
                </c:pt>
                <c:pt idx="4">
                  <c:v>17231104.710000001</c:v>
                </c:pt>
                <c:pt idx="5">
                  <c:v>13022370.890000001</c:v>
                </c:pt>
                <c:pt idx="6">
                  <c:v>17423059.170000002</c:v>
                </c:pt>
                <c:pt idx="7">
                  <c:v>26618963.57</c:v>
                </c:pt>
                <c:pt idx="8">
                  <c:v>22770360.609999999</c:v>
                </c:pt>
                <c:pt idx="9">
                  <c:v>22290913.289999999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978-494A-A3FF-551A6B06C6B4}"/>
            </c:ext>
          </c:extLst>
        </c:ser>
        <c:ser>
          <c:idx val="3"/>
          <c:order val="3"/>
          <c:tx>
            <c:strRef>
              <c:f>Stato_patrimoniale!$A$24</c:f>
              <c:strCache>
                <c:ptCount val="1"/>
                <c:pt idx="0">
                  <c:v>Altri debiti (D5)</c:v>
                </c:pt>
              </c:strCache>
            </c:strRef>
          </c:tx>
          <c:invertIfNegative val="0"/>
          <c:cat>
            <c:numRef>
              <c:f>Stato_patrimoniale!$B$1:$K$1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Stato_patrimoniale!$B$24:$K$24</c:f>
              <c:numCache>
                <c:formatCode>#,##0</c:formatCode>
                <c:ptCount val="10"/>
                <c:pt idx="0">
                  <c:v>23875176.369999997</c:v>
                </c:pt>
                <c:pt idx="1">
                  <c:v>25258433.57</c:v>
                </c:pt>
                <c:pt idx="2">
                  <c:v>28023531.07</c:v>
                </c:pt>
                <c:pt idx="3">
                  <c:v>25430439.77</c:v>
                </c:pt>
                <c:pt idx="4">
                  <c:v>23231668.260000002</c:v>
                </c:pt>
                <c:pt idx="5">
                  <c:v>22941756.07</c:v>
                </c:pt>
                <c:pt idx="6">
                  <c:v>24194973.780000001</c:v>
                </c:pt>
                <c:pt idx="7">
                  <c:v>23466550.579999998</c:v>
                </c:pt>
                <c:pt idx="8">
                  <c:v>23397533.09</c:v>
                </c:pt>
                <c:pt idx="9">
                  <c:v>24111890.98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978-494A-A3FF-551A6B06C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31268656"/>
        <c:axId val="1831273008"/>
      </c:barChart>
      <c:catAx>
        <c:axId val="1831268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831273008"/>
        <c:crosses val="autoZero"/>
        <c:auto val="1"/>
        <c:lblAlgn val="ctr"/>
        <c:lblOffset val="100"/>
        <c:noMultiLvlLbl val="0"/>
      </c:catAx>
      <c:valAx>
        <c:axId val="1831273008"/>
        <c:scaling>
          <c:orientation val="minMax"/>
          <c:max val="200000000"/>
          <c:min val="0"/>
        </c:scaling>
        <c:delete val="0"/>
        <c:axPos val="l"/>
        <c:numFmt formatCode="#,##0" sourceLinked="1"/>
        <c:majorTickMark val="none"/>
        <c:minorTickMark val="none"/>
        <c:tickLblPos val="nextTo"/>
        <c:crossAx val="1831268656"/>
        <c:crosses val="autoZero"/>
        <c:crossBetween val="between"/>
        <c:majorUnit val="50000000"/>
      </c:valAx>
      <c:spPr>
        <a:noFill/>
        <a:ln>
          <a:noFill/>
        </a:ln>
      </c:spPr>
    </c:plotArea>
    <c:legend>
      <c:legendPos val="b"/>
      <c:layout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13998250218722E-2"/>
          <c:y val="2.4747474747474747E-2"/>
          <c:w val="0.85667982447076541"/>
          <c:h val="0.832514197089000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Stato_patrimoniale!$A$14</c:f>
              <c:strCache>
                <c:ptCount val="1"/>
                <c:pt idx="0">
                  <c:v>Fondo di dotazione (A1)</c:v>
                </c:pt>
              </c:strCache>
            </c:strRef>
          </c:tx>
          <c:invertIfNegative val="0"/>
          <c:cat>
            <c:numRef>
              <c:f>Stato_patrimoniale!$B$1:$K$1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Stato_patrimoniale!$B$14:$K$14</c:f>
              <c:numCache>
                <c:formatCode>#,##0</c:formatCode>
                <c:ptCount val="10"/>
                <c:pt idx="0">
                  <c:v>911975231.75999999</c:v>
                </c:pt>
                <c:pt idx="1">
                  <c:v>911975231.75999999</c:v>
                </c:pt>
                <c:pt idx="2">
                  <c:v>911975231.75999999</c:v>
                </c:pt>
                <c:pt idx="3">
                  <c:v>36643864.829999998</c:v>
                </c:pt>
                <c:pt idx="4">
                  <c:v>36643864.829999998</c:v>
                </c:pt>
                <c:pt idx="5">
                  <c:v>36643864.829999998</c:v>
                </c:pt>
                <c:pt idx="6">
                  <c:v>36643864.829999998</c:v>
                </c:pt>
                <c:pt idx="7">
                  <c:v>36643864.829999998</c:v>
                </c:pt>
                <c:pt idx="8">
                  <c:v>36643864.829999998</c:v>
                </c:pt>
                <c:pt idx="9">
                  <c:v>36643864.829999998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74-44E8-A59E-6B7D2C2D3CAD}"/>
            </c:ext>
          </c:extLst>
        </c:ser>
        <c:ser>
          <c:idx val="1"/>
          <c:order val="1"/>
          <c:tx>
            <c:strRef>
              <c:f>Stato_patrimoniale!$A$15</c:f>
              <c:strCache>
                <c:ptCount val="1"/>
                <c:pt idx="0">
                  <c:v>Riserve (A2)</c:v>
                </c:pt>
              </c:strCache>
            </c:strRef>
          </c:tx>
          <c:invertIfNegative val="0"/>
          <c:cat>
            <c:numRef>
              <c:f>Stato_patrimoniale!$B$1:$K$1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Stato_patrimoniale!$B$15:$K$15</c:f>
              <c:numCache>
                <c:formatCode>#,##0</c:formatCode>
                <c:ptCount val="10"/>
                <c:pt idx="0">
                  <c:v>46143920.590000004</c:v>
                </c:pt>
                <c:pt idx="1">
                  <c:v>49631236.829999998</c:v>
                </c:pt>
                <c:pt idx="2">
                  <c:v>46663404.520000003</c:v>
                </c:pt>
                <c:pt idx="3">
                  <c:v>1250848075.6199999</c:v>
                </c:pt>
                <c:pt idx="4">
                  <c:v>1256677071.49</c:v>
                </c:pt>
                <c:pt idx="5">
                  <c:v>1260411527.71</c:v>
                </c:pt>
                <c:pt idx="6">
                  <c:v>1129587369.3499999</c:v>
                </c:pt>
                <c:pt idx="7">
                  <c:v>1137374324.4100001</c:v>
                </c:pt>
                <c:pt idx="8">
                  <c:v>1141918395.6099999</c:v>
                </c:pt>
                <c:pt idx="9">
                  <c:v>1149410341.99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374-44E8-A59E-6B7D2C2D3CAD}"/>
            </c:ext>
          </c:extLst>
        </c:ser>
        <c:ser>
          <c:idx val="2"/>
          <c:order val="2"/>
          <c:tx>
            <c:strRef>
              <c:f>Stato_patrimoniale!$A$17</c:f>
              <c:strCache>
                <c:ptCount val="1"/>
                <c:pt idx="0">
                  <c:v>Risultato economico dell'esercizio (A3)</c:v>
                </c:pt>
              </c:strCache>
            </c:strRef>
          </c:tx>
          <c:invertIfNegative val="0"/>
          <c:cat>
            <c:numRef>
              <c:f>Stato_patrimoniale!$B$1:$K$1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Stato_patrimoniale!$B$17:$K$17</c:f>
              <c:numCache>
                <c:formatCode>#,##0</c:formatCode>
                <c:ptCount val="10"/>
                <c:pt idx="0">
                  <c:v>-2054764.56</c:v>
                </c:pt>
                <c:pt idx="1">
                  <c:v>-7942214.9100000001</c:v>
                </c:pt>
                <c:pt idx="2">
                  <c:v>23977025.010000002</c:v>
                </c:pt>
                <c:pt idx="3">
                  <c:v>-4337131.0999999996</c:v>
                </c:pt>
                <c:pt idx="4">
                  <c:v>1328767.48</c:v>
                </c:pt>
                <c:pt idx="5">
                  <c:v>6637059.9699999997</c:v>
                </c:pt>
                <c:pt idx="6">
                  <c:v>31096788.309999999</c:v>
                </c:pt>
                <c:pt idx="7">
                  <c:v>-196940879.86000001</c:v>
                </c:pt>
                <c:pt idx="8">
                  <c:v>14252095.300000001</c:v>
                </c:pt>
                <c:pt idx="9">
                  <c:v>-370141.66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374-44E8-A59E-6B7D2C2D3C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31270832"/>
        <c:axId val="1831271376"/>
      </c:barChart>
      <c:catAx>
        <c:axId val="18312708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it-IT"/>
          </a:p>
        </c:txPr>
        <c:crossAx val="1831271376"/>
        <c:crosses val="autoZero"/>
        <c:auto val="1"/>
        <c:lblAlgn val="ctr"/>
        <c:lblOffset val="100"/>
        <c:noMultiLvlLbl val="0"/>
      </c:catAx>
      <c:valAx>
        <c:axId val="1831271376"/>
        <c:scaling>
          <c:orientation val="minMax"/>
          <c:max val="1800000000"/>
          <c:min val="-500000000"/>
        </c:scaling>
        <c:delete val="0"/>
        <c:axPos val="b"/>
        <c:numFmt formatCode="#,##0" sourceLinked="0"/>
        <c:majorTickMark val="none"/>
        <c:minorTickMark val="none"/>
        <c:tickLblPos val="nextTo"/>
        <c:crossAx val="1831270832"/>
        <c:crosses val="autoZero"/>
        <c:crossBetween val="between"/>
        <c:majorUnit val="500000000"/>
      </c:val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133228191836882E-2"/>
          <c:y val="3.0301278829508272E-2"/>
          <c:w val="0.91226637907374508"/>
          <c:h val="0.68340956050706358"/>
        </c:manualLayout>
      </c:layout>
      <c:lineChart>
        <c:grouping val="standard"/>
        <c:varyColors val="0"/>
        <c:ser>
          <c:idx val="0"/>
          <c:order val="0"/>
          <c:tx>
            <c:strRef>
              <c:f>Piano_indicatori!$A$72</c:f>
              <c:strCache>
                <c:ptCount val="1"/>
                <c:pt idx="0">
                  <c:v>Entrate natura tributaria, contributiva e perequativa (Titolo 1)</c:v>
                </c:pt>
              </c:strCache>
            </c:strRef>
          </c:tx>
          <c:marker>
            <c:symbol val="triangl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Piano_indicatori!$D$73:$K$73</c:f>
              <c:numCache>
                <c:formatCode>0.00</c:formatCode>
                <c:ptCount val="8"/>
                <c:pt idx="0">
                  <c:v>55.82</c:v>
                </c:pt>
                <c:pt idx="1">
                  <c:v>51.14</c:v>
                </c:pt>
                <c:pt idx="2">
                  <c:v>48.67</c:v>
                </c:pt>
                <c:pt idx="3">
                  <c:v>45.08</c:v>
                </c:pt>
                <c:pt idx="4">
                  <c:v>39.49</c:v>
                </c:pt>
                <c:pt idx="5">
                  <c:v>43.35</c:v>
                </c:pt>
                <c:pt idx="6">
                  <c:v>45.062799928791328</c:v>
                </c:pt>
                <c:pt idx="7">
                  <c:v>45.075823110419783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3F0-4554-BA49-E20421A575FC}"/>
            </c:ext>
          </c:extLst>
        </c:ser>
        <c:ser>
          <c:idx val="1"/>
          <c:order val="1"/>
          <c:tx>
            <c:strRef>
              <c:f>Piano_indicatori!$A$76</c:f>
              <c:strCache>
                <c:ptCount val="1"/>
                <c:pt idx="0">
                  <c:v>Totale Entrate</c:v>
                </c:pt>
              </c:strCache>
            </c:strRef>
          </c:tx>
          <c:marker>
            <c:symbol val="squar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Piano_indicatori!$D$76:$K$76</c:f>
              <c:numCache>
                <c:formatCode>0.00</c:formatCode>
                <c:ptCount val="8"/>
                <c:pt idx="0">
                  <c:v>54.029444977436611</c:v>
                </c:pt>
                <c:pt idx="1">
                  <c:v>53.737113851454453</c:v>
                </c:pt>
                <c:pt idx="2">
                  <c:v>50.556662867001236</c:v>
                </c:pt>
                <c:pt idx="3">
                  <c:v>52.333828538091268</c:v>
                </c:pt>
                <c:pt idx="4">
                  <c:v>45.115243927803874</c:v>
                </c:pt>
                <c:pt idx="5">
                  <c:v>46.098489837010192</c:v>
                </c:pt>
                <c:pt idx="6">
                  <c:v>49.195674787655605</c:v>
                </c:pt>
                <c:pt idx="7">
                  <c:v>47.215526184068231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3F0-4554-BA49-E20421A575FC}"/>
            </c:ext>
          </c:extLst>
        </c:ser>
        <c:ser>
          <c:idx val="2"/>
          <c:order val="2"/>
          <c:tx>
            <c:strRef>
              <c:f>Piano_indicatori!$A$77</c:f>
              <c:strCache>
                <c:ptCount val="1"/>
                <c:pt idx="0">
                  <c:v>Totale Entrate nette</c:v>
                </c:pt>
              </c:strCache>
            </c:strRef>
          </c:tx>
          <c:marker>
            <c:symbol val="diamond"/>
            <c:size val="7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Piano_indicatori!$D$77:$K$77</c:f>
              <c:numCache>
                <c:formatCode>0.00</c:formatCode>
                <c:ptCount val="8"/>
                <c:pt idx="0">
                  <c:v>51.160103671872271</c:v>
                </c:pt>
                <c:pt idx="1">
                  <c:v>51.402507113387408</c:v>
                </c:pt>
                <c:pt idx="2">
                  <c:v>48.169464714243915</c:v>
                </c:pt>
                <c:pt idx="3">
                  <c:v>47.605462990508542</c:v>
                </c:pt>
                <c:pt idx="4">
                  <c:v>43.108059948702738</c:v>
                </c:pt>
                <c:pt idx="5">
                  <c:v>43.32112583473954</c:v>
                </c:pt>
                <c:pt idx="6">
                  <c:v>46.920238184484973</c:v>
                </c:pt>
                <c:pt idx="7">
                  <c:v>43.102236018213937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3F0-4554-BA49-E20421A57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1266480"/>
        <c:axId val="1831273552"/>
      </c:lineChart>
      <c:catAx>
        <c:axId val="1831266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831273552"/>
        <c:crosses val="autoZero"/>
        <c:auto val="1"/>
        <c:lblAlgn val="ctr"/>
        <c:lblOffset val="100"/>
        <c:noMultiLvlLbl val="0"/>
      </c:catAx>
      <c:valAx>
        <c:axId val="1831273552"/>
        <c:scaling>
          <c:orientation val="minMax"/>
          <c:max val="60"/>
          <c:min val="40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1831266480"/>
        <c:crosses val="autoZero"/>
        <c:crossBetween val="between"/>
        <c:majorUnit val="5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5626467744163592E-2"/>
          <c:y val="0.82043195398447955"/>
          <c:w val="0.96177967444791523"/>
          <c:h val="0.1795680460155259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78781011404414E-2"/>
          <c:y val="4.1350142172088745E-2"/>
          <c:w val="0.9029842635309353"/>
          <c:h val="0.7082680342714501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Piano_indicatori!$B$79</c:f>
              <c:strCache>
                <c:ptCount val="1"/>
                <c:pt idx="0">
                  <c:v>Istruzione e diritto allo studio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Piano_indicatori!$D$79:$K$79</c:f>
              <c:numCache>
                <c:formatCode>0.00</c:formatCode>
                <c:ptCount val="8"/>
                <c:pt idx="0">
                  <c:v>6.1051256937642835</c:v>
                </c:pt>
                <c:pt idx="1">
                  <c:v>6.8718644244431317</c:v>
                </c:pt>
                <c:pt idx="2">
                  <c:v>6.7388043711163483</c:v>
                </c:pt>
                <c:pt idx="3">
                  <c:v>6.8370165745856362</c:v>
                </c:pt>
                <c:pt idx="4">
                  <c:v>6.840285282040198</c:v>
                </c:pt>
                <c:pt idx="5">
                  <c:v>7.3287077189939289</c:v>
                </c:pt>
                <c:pt idx="6">
                  <c:v>6.3087393323971046</c:v>
                </c:pt>
                <c:pt idx="7">
                  <c:v>6.6331096196867998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AA-4FC4-8050-8C2A7299C75D}"/>
            </c:ext>
          </c:extLst>
        </c:ser>
        <c:ser>
          <c:idx val="1"/>
          <c:order val="1"/>
          <c:tx>
            <c:strRef>
              <c:f>Piano_indicatori!$B$80</c:f>
              <c:strCache>
                <c:ptCount val="1"/>
                <c:pt idx="0">
                  <c:v>Sviluppo sostenibile, tutela territ. e ambiente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Piano_indicatori!$D$80:$K$80</c:f>
              <c:numCache>
                <c:formatCode>0.00</c:formatCode>
                <c:ptCount val="8"/>
                <c:pt idx="0">
                  <c:v>20.644248558058546</c:v>
                </c:pt>
                <c:pt idx="1">
                  <c:v>21.822673510860007</c:v>
                </c:pt>
                <c:pt idx="2">
                  <c:v>20.473537604456823</c:v>
                </c:pt>
                <c:pt idx="3">
                  <c:v>20.741252302025785</c:v>
                </c:pt>
                <c:pt idx="4">
                  <c:v>20.769397017505941</c:v>
                </c:pt>
                <c:pt idx="5">
                  <c:v>20.912836079791848</c:v>
                </c:pt>
                <c:pt idx="6">
                  <c:v>20.708652911310363</c:v>
                </c:pt>
                <c:pt idx="7">
                  <c:v>22.058165548098433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AA-4FC4-8050-8C2A7299C75D}"/>
            </c:ext>
          </c:extLst>
        </c:ser>
        <c:ser>
          <c:idx val="2"/>
          <c:order val="2"/>
          <c:tx>
            <c:strRef>
              <c:f>Piano_indicatori!$B$81</c:f>
              <c:strCache>
                <c:ptCount val="1"/>
                <c:pt idx="0">
                  <c:v>Trasporti e diritto alla mobilità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Piano_indicatori!$D$81:$K$81</c:f>
              <c:numCache>
                <c:formatCode>0.00</c:formatCode>
                <c:ptCount val="8"/>
                <c:pt idx="0">
                  <c:v>13.73381216672108</c:v>
                </c:pt>
                <c:pt idx="1">
                  <c:v>12.728561158055204</c:v>
                </c:pt>
                <c:pt idx="2">
                  <c:v>14.913220484251125</c:v>
                </c:pt>
                <c:pt idx="3">
                  <c:v>13.179097605893187</c:v>
                </c:pt>
                <c:pt idx="4">
                  <c:v>9.3256969958936669</c:v>
                </c:pt>
                <c:pt idx="5">
                  <c:v>13.573287077189939</c:v>
                </c:pt>
                <c:pt idx="6">
                  <c:v>15.318137625580642</c:v>
                </c:pt>
                <c:pt idx="7">
                  <c:v>16.275167785234899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AA-4FC4-8050-8C2A7299C75D}"/>
            </c:ext>
          </c:extLst>
        </c:ser>
        <c:ser>
          <c:idx val="3"/>
          <c:order val="3"/>
          <c:tx>
            <c:strRef>
              <c:f>Piano_indicatori!$B$82</c:f>
              <c:strCache>
                <c:ptCount val="1"/>
                <c:pt idx="0">
                  <c:v>Diritti sociali, politiche sociali e famiglia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Piano_indicatori!$D$82:$K$82</c:f>
              <c:numCache>
                <c:formatCode>0.00</c:formatCode>
                <c:ptCount val="8"/>
                <c:pt idx="0">
                  <c:v>16.639460224181086</c:v>
                </c:pt>
                <c:pt idx="1">
                  <c:v>17.203752998360695</c:v>
                </c:pt>
                <c:pt idx="2">
                  <c:v>15.888150846368115</c:v>
                </c:pt>
                <c:pt idx="3">
                  <c:v>15.999079189686928</c:v>
                </c:pt>
                <c:pt idx="4">
                  <c:v>20.239896261076289</c:v>
                </c:pt>
                <c:pt idx="5">
                  <c:v>18.104943625325241</c:v>
                </c:pt>
                <c:pt idx="6">
                  <c:v>18.81819163875986</c:v>
                </c:pt>
                <c:pt idx="7">
                  <c:v>16.185682326621922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3AA-4FC4-8050-8C2A7299C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31267024"/>
        <c:axId val="1831267568"/>
      </c:barChart>
      <c:catAx>
        <c:axId val="1831267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it-IT"/>
          </a:p>
        </c:txPr>
        <c:crossAx val="1831267568"/>
        <c:crosses val="autoZero"/>
        <c:auto val="1"/>
        <c:lblAlgn val="ctr"/>
        <c:lblOffset val="100"/>
        <c:noMultiLvlLbl val="0"/>
      </c:catAx>
      <c:valAx>
        <c:axId val="1831267568"/>
        <c:scaling>
          <c:orientation val="minMax"/>
          <c:max val="65"/>
          <c:min val="0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it-IT"/>
          </a:p>
        </c:txPr>
        <c:crossAx val="1831267024"/>
        <c:crosses val="autoZero"/>
        <c:crossBetween val="between"/>
        <c:majorUnit val="2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4972222222222232E-2"/>
          <c:y val="0.83670972494627494"/>
          <c:w val="0.95561111111111163"/>
          <c:h val="0.13551275795084503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133073571989068E-2"/>
          <c:y val="3.0301278829508276E-2"/>
          <c:w val="0.9122665336936"/>
          <c:h val="0.72979616909588463"/>
        </c:manualLayout>
      </c:layout>
      <c:lineChart>
        <c:grouping val="standard"/>
        <c:varyColors val="0"/>
        <c:ser>
          <c:idx val="0"/>
          <c:order val="0"/>
          <c:tx>
            <c:strRef>
              <c:f>Piano_indicatori!$B$84</c:f>
              <c:strCache>
                <c:ptCount val="1"/>
                <c:pt idx="0">
                  <c:v>Istruzione e diritto allo studio</c:v>
                </c:pt>
              </c:strCache>
            </c:strRef>
          </c:tx>
          <c:marker>
            <c:symbol val="triangle"/>
            <c:size val="5"/>
            <c:spPr>
              <a:solidFill>
                <a:srgbClr val="4BACC6">
                  <a:lumMod val="40000"/>
                  <a:lumOff val="60000"/>
                </a:srgbClr>
              </a:solidFill>
            </c:spPr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Piano_indicatori!$D$84:$K$84</c:f>
              <c:numCache>
                <c:formatCode>0.00</c:formatCode>
                <c:ptCount val="8"/>
                <c:pt idx="0">
                  <c:v>62.53</c:v>
                </c:pt>
                <c:pt idx="1">
                  <c:v>58.15</c:v>
                </c:pt>
                <c:pt idx="2">
                  <c:v>64</c:v>
                </c:pt>
                <c:pt idx="3">
                  <c:v>65.849999999999994</c:v>
                </c:pt>
                <c:pt idx="4">
                  <c:v>54.94</c:v>
                </c:pt>
                <c:pt idx="5">
                  <c:v>68.180000000000007</c:v>
                </c:pt>
                <c:pt idx="6">
                  <c:v>63.377573888754355</c:v>
                </c:pt>
                <c:pt idx="7">
                  <c:v>69.55937422920401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73A-469B-84B2-5562AE3617E1}"/>
            </c:ext>
          </c:extLst>
        </c:ser>
        <c:ser>
          <c:idx val="1"/>
          <c:order val="1"/>
          <c:tx>
            <c:strRef>
              <c:f>Piano_indicatori!$B$85</c:f>
              <c:strCache>
                <c:ptCount val="1"/>
                <c:pt idx="0">
                  <c:v>Sviluppo sostenibile, tutela territ. e ambiente</c:v>
                </c:pt>
              </c:strCache>
            </c:strRef>
          </c:tx>
          <c:marker>
            <c:symbol val="squar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Piano_indicatori!$D$85:$K$85</c:f>
              <c:numCache>
                <c:formatCode>0.00</c:formatCode>
                <c:ptCount val="8"/>
                <c:pt idx="0">
                  <c:v>66.58</c:v>
                </c:pt>
                <c:pt idx="1">
                  <c:v>52.94</c:v>
                </c:pt>
                <c:pt idx="2">
                  <c:v>64.42</c:v>
                </c:pt>
                <c:pt idx="3">
                  <c:v>68.069999999999993</c:v>
                </c:pt>
                <c:pt idx="4">
                  <c:v>69.430000000000007</c:v>
                </c:pt>
                <c:pt idx="5">
                  <c:v>76</c:v>
                </c:pt>
                <c:pt idx="6">
                  <c:v>71.356814540392094</c:v>
                </c:pt>
                <c:pt idx="7">
                  <c:v>73.293360105981904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73A-469B-84B2-5562AE3617E1}"/>
            </c:ext>
          </c:extLst>
        </c:ser>
        <c:ser>
          <c:idx val="2"/>
          <c:order val="2"/>
          <c:tx>
            <c:strRef>
              <c:f>Piano_indicatori!$B$86</c:f>
              <c:strCache>
                <c:ptCount val="1"/>
                <c:pt idx="0">
                  <c:v>Trasporti e diritto alla mobilità</c:v>
                </c:pt>
              </c:strCache>
            </c:strRef>
          </c:tx>
          <c:marker>
            <c:symbol val="diamond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Piano_indicatori!$D$86:$K$86</c:f>
              <c:numCache>
                <c:formatCode>0.00</c:formatCode>
                <c:ptCount val="8"/>
                <c:pt idx="0">
                  <c:v>69.37</c:v>
                </c:pt>
                <c:pt idx="1">
                  <c:v>55.16</c:v>
                </c:pt>
                <c:pt idx="2">
                  <c:v>63.84</c:v>
                </c:pt>
                <c:pt idx="3">
                  <c:v>71.86</c:v>
                </c:pt>
                <c:pt idx="4">
                  <c:v>69.64</c:v>
                </c:pt>
                <c:pt idx="5">
                  <c:v>60.55</c:v>
                </c:pt>
                <c:pt idx="6">
                  <c:v>66.496716750786419</c:v>
                </c:pt>
                <c:pt idx="7">
                  <c:v>74.746999744583974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73A-469B-84B2-5562AE3617E1}"/>
            </c:ext>
          </c:extLst>
        </c:ser>
        <c:ser>
          <c:idx val="3"/>
          <c:order val="3"/>
          <c:tx>
            <c:strRef>
              <c:f>Piano_indicatori!$B$87</c:f>
              <c:strCache>
                <c:ptCount val="1"/>
                <c:pt idx="0">
                  <c:v>Diritti sociali, politiche sociali e famiglia</c:v>
                </c:pt>
              </c:strCache>
            </c:strRef>
          </c:tx>
          <c:marker>
            <c:symbol val="circl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Piano_indicatori!$D$87:$K$87</c:f>
              <c:numCache>
                <c:formatCode>0.00</c:formatCode>
                <c:ptCount val="8"/>
                <c:pt idx="0">
                  <c:v>76.34</c:v>
                </c:pt>
                <c:pt idx="1">
                  <c:v>77.849999999999994</c:v>
                </c:pt>
                <c:pt idx="2">
                  <c:v>77.16</c:v>
                </c:pt>
                <c:pt idx="3">
                  <c:v>79.900000000000006</c:v>
                </c:pt>
                <c:pt idx="4">
                  <c:v>76.86</c:v>
                </c:pt>
                <c:pt idx="5">
                  <c:v>74.239999999999995</c:v>
                </c:pt>
                <c:pt idx="6">
                  <c:v>70.640150511782494</c:v>
                </c:pt>
                <c:pt idx="7">
                  <c:v>75.951951274697848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73A-469B-84B2-5562AE361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1270288"/>
        <c:axId val="1831271920"/>
      </c:lineChart>
      <c:catAx>
        <c:axId val="183127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831271920"/>
        <c:crosses val="autoZero"/>
        <c:auto val="1"/>
        <c:lblAlgn val="ctr"/>
        <c:lblOffset val="100"/>
        <c:noMultiLvlLbl val="0"/>
      </c:catAx>
      <c:valAx>
        <c:axId val="1831271920"/>
        <c:scaling>
          <c:orientation val="minMax"/>
          <c:max val="80"/>
          <c:min val="50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1831270288"/>
        <c:crosses val="autoZero"/>
        <c:crossBetween val="between"/>
        <c:majorUnit val="5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7.9534903497887523E-3"/>
          <c:y val="0.86298514547383764"/>
          <c:w val="0.97653411880215957"/>
          <c:h val="0.10961746802926231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527736867943053E-2"/>
          <c:y val="7.5096513108971599E-2"/>
          <c:w val="0.95679921453118599"/>
          <c:h val="0.745857849707620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Piano_indicatori!$B$20</c:f>
              <c:strCache>
                <c:ptCount val="1"/>
                <c:pt idx="0">
                  <c:v>Spesa di personale procapite</c:v>
                </c:pt>
              </c:strCache>
            </c:strRef>
          </c:tx>
          <c:invertIfNegative val="0"/>
          <c:dLbls>
            <c:dLbl>
              <c:idx val="6"/>
              <c:layout>
                <c:manualLayout>
                  <c:x val="-1.3360053440213761E-2"/>
                  <c:y val="7.69378726678205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145147437732622E-2"/>
                  <c:y val="1.15406809001731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Piano_indicatori!$D$20:$K$20</c:f>
              <c:numCache>
                <c:formatCode>0.00</c:formatCode>
                <c:ptCount val="8"/>
                <c:pt idx="0">
                  <c:v>341.47</c:v>
                </c:pt>
                <c:pt idx="1">
                  <c:v>301.67</c:v>
                </c:pt>
                <c:pt idx="2">
                  <c:v>337.52</c:v>
                </c:pt>
                <c:pt idx="3">
                  <c:v>322.05942348074439</c:v>
                </c:pt>
                <c:pt idx="4">
                  <c:v>319.94</c:v>
                </c:pt>
                <c:pt idx="5">
                  <c:v>308.42</c:v>
                </c:pt>
                <c:pt idx="6">
                  <c:v>325.39999999999998</c:v>
                </c:pt>
                <c:pt idx="7">
                  <c:v>367.48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31-4E19-98D9-D92F9A6181BB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Piano_indicatori!$D$89:$K$89</c:f>
              <c:numCache>
                <c:formatCode>0.00</c:formatCode>
                <c:ptCount val="8"/>
                <c:pt idx="0">
                  <c:v>367.13226833883101</c:v>
                </c:pt>
                <c:pt idx="1">
                  <c:v>350.14826884227551</c:v>
                </c:pt>
                <c:pt idx="2">
                  <c:v>362.58510068602214</c:v>
                </c:pt>
                <c:pt idx="3">
                  <c:v>355.01394750014094</c:v>
                </c:pt>
                <c:pt idx="4">
                  <c:v>354.72657825926274</c:v>
                </c:pt>
                <c:pt idx="5">
                  <c:v>352.25227220007974</c:v>
                </c:pt>
                <c:pt idx="6">
                  <c:v>369.77947768871218</c:v>
                </c:pt>
                <c:pt idx="7">
                  <c:v>368.56431741147844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31-4E19-98D9-D92F9A618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1268112"/>
        <c:axId val="1831272464"/>
      </c:barChart>
      <c:catAx>
        <c:axId val="1831268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831272464"/>
        <c:crosses val="autoZero"/>
        <c:auto val="1"/>
        <c:lblAlgn val="ctr"/>
        <c:lblOffset val="100"/>
        <c:noMultiLvlLbl val="0"/>
      </c:catAx>
      <c:valAx>
        <c:axId val="1831272464"/>
        <c:scaling>
          <c:orientation val="minMax"/>
          <c:max val="380"/>
          <c:min val="0"/>
        </c:scaling>
        <c:delete val="1"/>
        <c:axPos val="l"/>
        <c:numFmt formatCode="0" sourceLinked="0"/>
        <c:majorTickMark val="none"/>
        <c:minorTickMark val="none"/>
        <c:tickLblPos val="none"/>
        <c:crossAx val="1831268112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845821</xdr:colOff>
      <xdr:row>23</xdr:row>
      <xdr:rowOff>175260</xdr:rowOff>
    </xdr:from>
    <xdr:to>
      <xdr:col>9</xdr:col>
      <xdr:colOff>548641</xdr:colOff>
      <xdr:row>47</xdr:row>
      <xdr:rowOff>108584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1242060</xdr:colOff>
      <xdr:row>49</xdr:row>
      <xdr:rowOff>0</xdr:rowOff>
    </xdr:from>
    <xdr:to>
      <xdr:col>10</xdr:col>
      <xdr:colOff>22860</xdr:colOff>
      <xdr:row>71</xdr:row>
      <xdr:rowOff>47625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76201</xdr:colOff>
      <xdr:row>31</xdr:row>
      <xdr:rowOff>95249</xdr:rowOff>
    </xdr:from>
    <xdr:to>
      <xdr:col>11</xdr:col>
      <xdr:colOff>175261</xdr:colOff>
      <xdr:row>48</xdr:row>
      <xdr:rowOff>142874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419099</xdr:colOff>
      <xdr:row>29</xdr:row>
      <xdr:rowOff>38100</xdr:rowOff>
    </xdr:from>
    <xdr:to>
      <xdr:col>8</xdr:col>
      <xdr:colOff>182881</xdr:colOff>
      <xdr:row>50</xdr:row>
      <xdr:rowOff>167640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647700</xdr:colOff>
      <xdr:row>52</xdr:row>
      <xdr:rowOff>85725</xdr:rowOff>
    </xdr:from>
    <xdr:to>
      <xdr:col>8</xdr:col>
      <xdr:colOff>769620</xdr:colOff>
      <xdr:row>74</xdr:row>
      <xdr:rowOff>85725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178</xdr:row>
      <xdr:rowOff>28576</xdr:rowOff>
    </xdr:from>
    <xdr:to>
      <xdr:col>2</xdr:col>
      <xdr:colOff>752475</xdr:colOff>
      <xdr:row>196</xdr:row>
      <xdr:rowOff>180976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552449</xdr:colOff>
      <xdr:row>198</xdr:row>
      <xdr:rowOff>123823</xdr:rowOff>
    </xdr:from>
    <xdr:to>
      <xdr:col>3</xdr:col>
      <xdr:colOff>85724</xdr:colOff>
      <xdr:row>216</xdr:row>
      <xdr:rowOff>104775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218</xdr:row>
      <xdr:rowOff>0</xdr:rowOff>
    </xdr:from>
    <xdr:to>
      <xdr:col>3</xdr:col>
      <xdr:colOff>123825</xdr:colOff>
      <xdr:row>236</xdr:row>
      <xdr:rowOff>152400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94</xdr:row>
      <xdr:rowOff>161924</xdr:rowOff>
    </xdr:from>
    <xdr:to>
      <xdr:col>3</xdr:col>
      <xdr:colOff>123825</xdr:colOff>
      <xdr:row>112</xdr:row>
      <xdr:rowOff>171449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115</xdr:row>
      <xdr:rowOff>142875</xdr:rowOff>
    </xdr:from>
    <xdr:to>
      <xdr:col>3</xdr:col>
      <xdr:colOff>123825</xdr:colOff>
      <xdr:row>133</xdr:row>
      <xdr:rowOff>152400</xdr:rowOff>
    </xdr:to>
    <xdr:graphicFrame macro="">
      <xdr:nvGraphicFramePr>
        <xdr:cNvPr id="10" name="Gra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136</xdr:row>
      <xdr:rowOff>0</xdr:rowOff>
    </xdr:from>
    <xdr:to>
      <xdr:col>3</xdr:col>
      <xdr:colOff>123825</xdr:colOff>
      <xdr:row>154</xdr:row>
      <xdr:rowOff>9525</xdr:rowOff>
    </xdr:to>
    <xdr:graphicFrame macro="">
      <xdr:nvGraphicFramePr>
        <xdr:cNvPr id="12" name="Gra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157</xdr:row>
      <xdr:rowOff>0</xdr:rowOff>
    </xdr:from>
    <xdr:to>
      <xdr:col>3</xdr:col>
      <xdr:colOff>123825</xdr:colOff>
      <xdr:row>175</xdr:row>
      <xdr:rowOff>9525</xdr:rowOff>
    </xdr:to>
    <xdr:graphicFrame macro="">
      <xdr:nvGraphicFramePr>
        <xdr:cNvPr id="13" name="Gra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57148</xdr:colOff>
      <xdr:row>12</xdr:row>
      <xdr:rowOff>19049</xdr:rowOff>
    </xdr:from>
    <xdr:to>
      <xdr:col>10</xdr:col>
      <xdr:colOff>419100</xdr:colOff>
      <xdr:row>29</xdr:row>
      <xdr:rowOff>47625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workbookViewId="0">
      <pane xSplit="1" ySplit="2" topLeftCell="S3" activePane="bottomRight" state="frozen"/>
      <selection pane="topRight" activeCell="B1" sqref="B1"/>
      <selection pane="bottomLeft" activeCell="A3" sqref="A3"/>
      <selection pane="bottomRight" activeCell="W3" sqref="W3:X55"/>
    </sheetView>
  </sheetViews>
  <sheetFormatPr defaultRowHeight="14.4" x14ac:dyDescent="0.3"/>
  <cols>
    <col min="1" max="1" width="60.6640625" bestFit="1" customWidth="1"/>
    <col min="2" max="3" width="15.33203125" bestFit="1" customWidth="1"/>
    <col min="4" max="4" width="7.109375" customWidth="1"/>
    <col min="5" max="6" width="15.33203125" bestFit="1" customWidth="1"/>
    <col min="7" max="7" width="7.109375" customWidth="1"/>
    <col min="8" max="9" width="15.33203125" bestFit="1" customWidth="1"/>
    <col min="10" max="10" width="7.109375" customWidth="1"/>
    <col min="11" max="12" width="15.33203125" style="112" bestFit="1" customWidth="1"/>
    <col min="13" max="13" width="7.109375" style="112" customWidth="1"/>
    <col min="14" max="15" width="15.33203125" style="112" bestFit="1" customWidth="1"/>
    <col min="16" max="16" width="7.109375" style="112" customWidth="1"/>
    <col min="17" max="18" width="15.33203125" style="112" bestFit="1" customWidth="1"/>
    <col min="19" max="19" width="7.109375" style="112" customWidth="1"/>
    <col min="20" max="21" width="15.33203125" style="112" bestFit="1" customWidth="1"/>
    <col min="22" max="22" width="7.109375" style="112" customWidth="1"/>
    <col min="23" max="24" width="15.33203125" bestFit="1" customWidth="1"/>
    <col min="25" max="25" width="7.109375" customWidth="1"/>
    <col min="26" max="27" width="8.88671875" style="112"/>
  </cols>
  <sheetData>
    <row r="1" spans="1:27" x14ac:dyDescent="0.3">
      <c r="B1" s="154">
        <v>2016</v>
      </c>
      <c r="C1" s="154"/>
      <c r="D1" s="155"/>
      <c r="E1" s="156">
        <v>2017</v>
      </c>
      <c r="F1" s="157"/>
      <c r="G1" s="158"/>
      <c r="H1" s="156">
        <v>2018</v>
      </c>
      <c r="I1" s="157"/>
      <c r="J1" s="158"/>
      <c r="K1" s="156">
        <v>2019</v>
      </c>
      <c r="L1" s="157"/>
      <c r="M1" s="158"/>
      <c r="N1" s="156">
        <v>2020</v>
      </c>
      <c r="O1" s="157"/>
      <c r="P1" s="158"/>
      <c r="Q1" s="156">
        <v>2021</v>
      </c>
      <c r="R1" s="157"/>
      <c r="S1" s="158"/>
      <c r="T1" s="156">
        <v>2022</v>
      </c>
      <c r="U1" s="157"/>
      <c r="V1" s="158"/>
      <c r="W1" s="156">
        <v>2023</v>
      </c>
      <c r="X1" s="157"/>
      <c r="Y1" s="158"/>
      <c r="Z1" s="153" t="s">
        <v>233</v>
      </c>
      <c r="AA1" s="153"/>
    </row>
    <row r="2" spans="1:27" x14ac:dyDescent="0.3">
      <c r="B2" s="15" t="s">
        <v>73</v>
      </c>
      <c r="C2" s="15" t="s">
        <v>74</v>
      </c>
      <c r="D2" s="16" t="s">
        <v>234</v>
      </c>
      <c r="E2" s="21" t="s">
        <v>73</v>
      </c>
      <c r="F2" s="15" t="s">
        <v>74</v>
      </c>
      <c r="G2" s="16" t="s">
        <v>234</v>
      </c>
      <c r="H2" s="21" t="s">
        <v>73</v>
      </c>
      <c r="I2" s="100" t="s">
        <v>74</v>
      </c>
      <c r="J2" s="101" t="s">
        <v>234</v>
      </c>
      <c r="K2" s="21" t="s">
        <v>73</v>
      </c>
      <c r="L2" s="134" t="s">
        <v>74</v>
      </c>
      <c r="M2" s="135" t="s">
        <v>234</v>
      </c>
      <c r="N2" s="21" t="s">
        <v>73</v>
      </c>
      <c r="O2" s="142" t="s">
        <v>74</v>
      </c>
      <c r="P2" s="143" t="s">
        <v>234</v>
      </c>
      <c r="Q2" s="21" t="s">
        <v>73</v>
      </c>
      <c r="R2" s="146" t="s">
        <v>74</v>
      </c>
      <c r="S2" s="147" t="s">
        <v>234</v>
      </c>
      <c r="T2" s="21" t="s">
        <v>73</v>
      </c>
      <c r="U2" s="150" t="s">
        <v>74</v>
      </c>
      <c r="V2" s="151" t="s">
        <v>234</v>
      </c>
      <c r="W2" s="21" t="s">
        <v>73</v>
      </c>
      <c r="X2" s="15" t="s">
        <v>74</v>
      </c>
      <c r="Y2" s="16" t="s">
        <v>234</v>
      </c>
      <c r="Z2" s="123" t="s">
        <v>73</v>
      </c>
      <c r="AA2" s="123" t="s">
        <v>74</v>
      </c>
    </row>
    <row r="3" spans="1:27" x14ac:dyDescent="0.3">
      <c r="A3" t="s">
        <v>20</v>
      </c>
      <c r="B3" s="26">
        <v>131647509.54000001</v>
      </c>
      <c r="C3" s="26">
        <v>96243627.540000007</v>
      </c>
      <c r="D3" s="18">
        <f>IF(B3&gt;0,C3/B3*100,"-")</f>
        <v>73.107062850100618</v>
      </c>
      <c r="E3" s="110">
        <v>159819733.5</v>
      </c>
      <c r="F3" s="110">
        <v>99678305.280000001</v>
      </c>
      <c r="G3" s="18">
        <f>IF(E3&gt;0,F3/E3*100,"-")</f>
        <v>62.369210045016118</v>
      </c>
      <c r="H3" s="105">
        <v>152747407.13999999</v>
      </c>
      <c r="I3" s="105">
        <v>100376783.45999999</v>
      </c>
      <c r="J3" s="18">
        <f>IF(H3&gt;0,I3/H3*100,"-")</f>
        <v>65.714230663175883</v>
      </c>
      <c r="K3" s="121">
        <v>152162994.66</v>
      </c>
      <c r="L3" s="121">
        <v>98948791.159999996</v>
      </c>
      <c r="M3" s="18">
        <f>IF(K3&gt;0,L3/K3*100,"-")</f>
        <v>65.028157063480336</v>
      </c>
      <c r="N3" s="121">
        <v>148849530.80000001</v>
      </c>
      <c r="O3" s="121">
        <v>93215655.180000007</v>
      </c>
      <c r="P3" s="18">
        <f>IF(N3&gt;0,O3/N3*100,"-")</f>
        <v>62.624083985355774</v>
      </c>
      <c r="Q3" s="121">
        <v>147723813.74000001</v>
      </c>
      <c r="R3" s="121">
        <v>96484659.129999995</v>
      </c>
      <c r="S3" s="18">
        <f>IF(Q3&gt;0,R3/Q3*100,"-")</f>
        <v>65.314221645954092</v>
      </c>
      <c r="T3" s="1">
        <v>150269064.06999999</v>
      </c>
      <c r="U3" s="1">
        <v>100342013.23</v>
      </c>
      <c r="V3" s="18">
        <f>IF(T3&gt;0,U3/T3*100,"-")</f>
        <v>66.774897315696052</v>
      </c>
      <c r="W3" s="1">
        <v>153429674.86000001</v>
      </c>
      <c r="X3" s="1">
        <v>99810596.359999999</v>
      </c>
      <c r="Y3" s="18">
        <f>IF(W3&gt;0,X3/W3*100,"-")</f>
        <v>65.05299346496966</v>
      </c>
      <c r="Z3" s="115">
        <f>IF(T3&gt;0,W3/T3*100-100,"-")</f>
        <v>2.1033010417418296</v>
      </c>
      <c r="AA3" s="115">
        <f>IF(U3&gt;0,X3/U3*100-100,"-")</f>
        <v>-0.5296055489557574</v>
      </c>
    </row>
    <row r="4" spans="1:27" x14ac:dyDescent="0.3">
      <c r="A4" t="s">
        <v>21</v>
      </c>
      <c r="B4" s="26">
        <v>59342590.689999998</v>
      </c>
      <c r="C4" s="26">
        <v>49497900.490000002</v>
      </c>
      <c r="D4" s="18">
        <f t="shared" ref="D4:D21" si="0">IF(B4&gt;0,C4/B4*100,"-")</f>
        <v>83.41041386037945</v>
      </c>
      <c r="E4" s="110">
        <v>60006857.390000001</v>
      </c>
      <c r="F4" s="110">
        <v>51707799.369999997</v>
      </c>
      <c r="G4" s="18">
        <f t="shared" ref="G4:G21" si="1">IF(E4&gt;0,F4/E4*100,"-")</f>
        <v>86.169817282611078</v>
      </c>
      <c r="H4" s="105">
        <v>64962726.140000001</v>
      </c>
      <c r="I4" s="105">
        <v>61176988.689999998</v>
      </c>
      <c r="J4" s="18">
        <f t="shared" ref="J4:J13" si="2">IF(H4&gt;0,I4/H4*100,"-")</f>
        <v>94.172446763023103</v>
      </c>
      <c r="K4" s="121">
        <v>73825447</v>
      </c>
      <c r="L4" s="121">
        <v>65770764.789999999</v>
      </c>
      <c r="M4" s="18">
        <f t="shared" ref="M4:M13" si="3">IF(K4&gt;0,L4/K4*100,"-")</f>
        <v>89.08955849600207</v>
      </c>
      <c r="N4" s="121">
        <v>99636692.569999993</v>
      </c>
      <c r="O4" s="121">
        <v>86982788.319999993</v>
      </c>
      <c r="P4" s="18">
        <f t="shared" ref="P4:P13" si="4">IF(N4&gt;0,O4/N4*100,"-")</f>
        <v>87.299955544881243</v>
      </c>
      <c r="Q4" s="121">
        <v>79110137.810000002</v>
      </c>
      <c r="R4" s="121">
        <v>70374003.609999999</v>
      </c>
      <c r="S4" s="18">
        <f t="shared" ref="S4:S13" si="5">IF(Q4&gt;0,R4/Q4*100,"-")</f>
        <v>88.956997874303156</v>
      </c>
      <c r="T4" s="1">
        <v>88210297.209999993</v>
      </c>
      <c r="U4" s="1">
        <v>71065750.150000006</v>
      </c>
      <c r="V4" s="18">
        <f t="shared" ref="V4:V13" si="6">IF(T4&gt;0,U4/T4*100,"-")</f>
        <v>80.564007148525533</v>
      </c>
      <c r="W4" s="1">
        <v>100524370.38</v>
      </c>
      <c r="X4" s="1">
        <v>71152135.189999998</v>
      </c>
      <c r="Y4" s="18">
        <f t="shared" ref="Y4:Y21" si="7">IF(W4&gt;0,X4/W4*100,"-")</f>
        <v>70.78098069257463</v>
      </c>
      <c r="Z4" s="115">
        <f t="shared" ref="Z4:AA55" si="8">IF(T4&gt;0,W4/T4*100-100,"-")</f>
        <v>13.959904409667971</v>
      </c>
      <c r="AA4" s="115">
        <f t="shared" si="8"/>
        <v>0.12155650199660784</v>
      </c>
    </row>
    <row r="5" spans="1:27" x14ac:dyDescent="0.3">
      <c r="A5" t="s">
        <v>22</v>
      </c>
      <c r="B5" s="26">
        <v>33418641.829999998</v>
      </c>
      <c r="C5" s="26">
        <v>19034908.43</v>
      </c>
      <c r="D5" s="18">
        <f t="shared" si="0"/>
        <v>56.958952810919783</v>
      </c>
      <c r="E5" s="110">
        <v>43232562.280000001</v>
      </c>
      <c r="F5" s="110">
        <v>25132859.16</v>
      </c>
      <c r="G5" s="18">
        <f t="shared" si="1"/>
        <v>58.134095770739961</v>
      </c>
      <c r="H5" s="105">
        <v>38044903.240000002</v>
      </c>
      <c r="I5" s="105">
        <v>17906869.149999999</v>
      </c>
      <c r="J5" s="18">
        <f t="shared" si="2"/>
        <v>47.067721626304227</v>
      </c>
      <c r="K5" s="121">
        <v>40629915.909999996</v>
      </c>
      <c r="L5" s="121">
        <v>19903914.059999999</v>
      </c>
      <c r="M5" s="18">
        <f t="shared" si="3"/>
        <v>48.988322063204585</v>
      </c>
      <c r="N5" s="121">
        <v>28543054.300000001</v>
      </c>
      <c r="O5" s="121">
        <v>15207066.9</v>
      </c>
      <c r="P5" s="18">
        <f t="shared" si="4"/>
        <v>53.2776441517683</v>
      </c>
      <c r="Q5" s="121">
        <v>40431468.280000001</v>
      </c>
      <c r="R5" s="121">
        <v>18904449.91</v>
      </c>
      <c r="S5" s="18">
        <f t="shared" si="5"/>
        <v>46.756773162629258</v>
      </c>
      <c r="T5" s="1">
        <v>41120329.5</v>
      </c>
      <c r="U5" s="1">
        <v>24422538.16</v>
      </c>
      <c r="V5" s="18">
        <f t="shared" si="6"/>
        <v>59.392856178353334</v>
      </c>
      <c r="W5" s="1">
        <v>44315456.780000001</v>
      </c>
      <c r="X5" s="1">
        <v>26121418.649999999</v>
      </c>
      <c r="Y5" s="18">
        <f t="shared" si="7"/>
        <v>58.944261321004475</v>
      </c>
      <c r="Z5" s="115">
        <f t="shared" si="8"/>
        <v>7.7701889037635254</v>
      </c>
      <c r="AA5" s="115">
        <f t="shared" si="8"/>
        <v>6.9561995517013031</v>
      </c>
    </row>
    <row r="6" spans="1:27" x14ac:dyDescent="0.3">
      <c r="A6" t="s">
        <v>23</v>
      </c>
      <c r="B6" s="26">
        <v>13412.16</v>
      </c>
      <c r="C6" s="26">
        <v>10838.91</v>
      </c>
      <c r="D6" s="18">
        <f t="shared" si="0"/>
        <v>80.814052322668388</v>
      </c>
      <c r="E6" s="110">
        <v>117099.9</v>
      </c>
      <c r="F6" s="110">
        <v>102934.83</v>
      </c>
      <c r="G6" s="18">
        <f t="shared" si="1"/>
        <v>87.903431172870356</v>
      </c>
      <c r="H6" s="105">
        <v>125496.55</v>
      </c>
      <c r="I6" s="105">
        <v>114927.89</v>
      </c>
      <c r="J6" s="18">
        <f t="shared" si="2"/>
        <v>91.578525465441075</v>
      </c>
      <c r="K6" s="121">
        <v>75182.45</v>
      </c>
      <c r="L6" s="121">
        <v>62997.53</v>
      </c>
      <c r="M6" s="18">
        <f t="shared" si="3"/>
        <v>83.792866553298012</v>
      </c>
      <c r="N6" s="121">
        <v>71274.070000000007</v>
      </c>
      <c r="O6" s="121">
        <v>68749.84</v>
      </c>
      <c r="P6" s="18">
        <f t="shared" si="4"/>
        <v>96.458417486190967</v>
      </c>
      <c r="Q6" s="121">
        <v>61960.08</v>
      </c>
      <c r="R6" s="121">
        <v>61508.6</v>
      </c>
      <c r="S6" s="18">
        <f t="shared" si="5"/>
        <v>99.271337286846617</v>
      </c>
      <c r="T6" s="1">
        <v>134286.73000000001</v>
      </c>
      <c r="U6" s="1">
        <v>67897.62</v>
      </c>
      <c r="V6" s="18">
        <f t="shared" si="6"/>
        <v>50.561675006904991</v>
      </c>
      <c r="W6" s="1">
        <v>48649.17</v>
      </c>
      <c r="X6" s="1">
        <v>47318.47</v>
      </c>
      <c r="Y6" s="18">
        <f t="shared" si="7"/>
        <v>97.264701535504102</v>
      </c>
      <c r="Z6" s="115">
        <f t="shared" si="8"/>
        <v>-63.772168702000563</v>
      </c>
      <c r="AA6" s="115">
        <f t="shared" si="8"/>
        <v>-30.309088890008212</v>
      </c>
    </row>
    <row r="7" spans="1:27" x14ac:dyDescent="0.3">
      <c r="A7" t="s">
        <v>24</v>
      </c>
      <c r="B7" s="26">
        <v>11625238.970000001</v>
      </c>
      <c r="C7" s="26">
        <v>2605706.85</v>
      </c>
      <c r="D7" s="18">
        <f t="shared" si="0"/>
        <v>22.41422182136872</v>
      </c>
      <c r="E7" s="110">
        <v>11738146.439999999</v>
      </c>
      <c r="F7" s="110">
        <v>7427419.2999999998</v>
      </c>
      <c r="G7" s="18">
        <f t="shared" si="1"/>
        <v>63.275912751349182</v>
      </c>
      <c r="H7" s="105">
        <v>32406730.010000002</v>
      </c>
      <c r="I7" s="105">
        <v>6858667.1299999999</v>
      </c>
      <c r="J7" s="18">
        <f t="shared" si="2"/>
        <v>21.164329532426031</v>
      </c>
      <c r="K7" s="121">
        <v>11740934.449999999</v>
      </c>
      <c r="L7" s="121">
        <v>8455191.0800000001</v>
      </c>
      <c r="M7" s="18">
        <f t="shared" si="3"/>
        <v>72.014634916899652</v>
      </c>
      <c r="N7" s="121">
        <v>25613540.48</v>
      </c>
      <c r="O7" s="121">
        <v>4187127.01</v>
      </c>
      <c r="P7" s="18">
        <f t="shared" si="4"/>
        <v>16.347318377439713</v>
      </c>
      <c r="Q7" s="121">
        <v>8360750.8700000001</v>
      </c>
      <c r="R7" s="121">
        <v>2134925.5299999998</v>
      </c>
      <c r="S7" s="18">
        <f t="shared" si="5"/>
        <v>25.535093237385265</v>
      </c>
      <c r="T7" s="1">
        <v>33251814.43</v>
      </c>
      <c r="U7" s="1">
        <v>24940271.920000002</v>
      </c>
      <c r="V7" s="18">
        <f t="shared" si="6"/>
        <v>75.004243670681404</v>
      </c>
      <c r="W7" s="1">
        <v>51857239.689999998</v>
      </c>
      <c r="X7" s="1">
        <v>14731773.109999999</v>
      </c>
      <c r="Y7" s="18">
        <f t="shared" si="7"/>
        <v>28.408324851198806</v>
      </c>
      <c r="Z7" s="115">
        <f t="shared" si="8"/>
        <v>55.953112871982313</v>
      </c>
      <c r="AA7" s="115">
        <f t="shared" si="8"/>
        <v>-40.931786320315311</v>
      </c>
    </row>
    <row r="8" spans="1:27" x14ac:dyDescent="0.3">
      <c r="A8" t="s">
        <v>25</v>
      </c>
      <c r="B8" s="26">
        <v>212172.95</v>
      </c>
      <c r="C8" s="26">
        <v>12403.88</v>
      </c>
      <c r="D8" s="18">
        <f t="shared" si="0"/>
        <v>5.8461175187506225</v>
      </c>
      <c r="E8" s="110">
        <v>121238.8</v>
      </c>
      <c r="F8" s="110">
        <v>17939.68</v>
      </c>
      <c r="G8" s="18">
        <f t="shared" si="1"/>
        <v>14.796979184881407</v>
      </c>
      <c r="H8" s="105">
        <v>16412.759999999998</v>
      </c>
      <c r="I8" s="105">
        <v>15341.26</v>
      </c>
      <c r="J8" s="18">
        <f t="shared" si="2"/>
        <v>93.471542872740486</v>
      </c>
      <c r="K8" s="121">
        <v>70909.69</v>
      </c>
      <c r="L8" s="121">
        <v>42950.99</v>
      </c>
      <c r="M8" s="18">
        <f t="shared" si="3"/>
        <v>60.571397223708068</v>
      </c>
      <c r="N8" s="121">
        <v>1021738.3</v>
      </c>
      <c r="O8" s="121">
        <v>1008126.83</v>
      </c>
      <c r="P8" s="18">
        <f t="shared" si="4"/>
        <v>98.66781249171143</v>
      </c>
      <c r="Q8" s="121">
        <v>894413.7</v>
      </c>
      <c r="R8" s="121">
        <v>855129.78</v>
      </c>
      <c r="S8" s="18">
        <f t="shared" si="5"/>
        <v>95.607857974447413</v>
      </c>
      <c r="T8" s="1">
        <v>198296.92</v>
      </c>
      <c r="U8" s="1">
        <v>195318.26</v>
      </c>
      <c r="V8" s="18">
        <f t="shared" si="6"/>
        <v>98.497878837452447</v>
      </c>
      <c r="W8" s="1">
        <v>261460.39</v>
      </c>
      <c r="X8" s="1">
        <v>89136.28</v>
      </c>
      <c r="Y8" s="18">
        <f t="shared" si="7"/>
        <v>34.091695495443879</v>
      </c>
      <c r="Z8" s="115">
        <f t="shared" si="8"/>
        <v>31.852975830386072</v>
      </c>
      <c r="AA8" s="115">
        <f t="shared" si="8"/>
        <v>-54.363570513069284</v>
      </c>
    </row>
    <row r="9" spans="1:27" x14ac:dyDescent="0.3">
      <c r="A9" t="s">
        <v>26</v>
      </c>
      <c r="B9" s="26">
        <v>1271136.3899999999</v>
      </c>
      <c r="C9" s="26">
        <v>1189605.1399999999</v>
      </c>
      <c r="D9" s="18">
        <f t="shared" si="0"/>
        <v>93.585955791887926</v>
      </c>
      <c r="E9" s="110">
        <v>892822.64</v>
      </c>
      <c r="F9" s="110">
        <v>784358.24</v>
      </c>
      <c r="G9" s="18">
        <f t="shared" si="1"/>
        <v>87.851517743770472</v>
      </c>
      <c r="H9" s="105">
        <v>3557317.65</v>
      </c>
      <c r="I9" s="105">
        <v>3400303.56</v>
      </c>
      <c r="J9" s="18">
        <f t="shared" si="2"/>
        <v>95.586166166521565</v>
      </c>
      <c r="K9" s="121">
        <v>1246099.1599999999</v>
      </c>
      <c r="L9" s="121">
        <v>1098795.31</v>
      </c>
      <c r="M9" s="18">
        <f t="shared" si="3"/>
        <v>88.178801918139499</v>
      </c>
      <c r="N9" s="121">
        <v>960994.23</v>
      </c>
      <c r="O9" s="121">
        <v>897760.45</v>
      </c>
      <c r="P9" s="18">
        <f t="shared" si="4"/>
        <v>93.419962573552596</v>
      </c>
      <c r="Q9" s="121">
        <v>1140308.8400000001</v>
      </c>
      <c r="R9" s="121">
        <v>1034632.12</v>
      </c>
      <c r="S9" s="18">
        <f t="shared" si="5"/>
        <v>90.73262292696073</v>
      </c>
      <c r="T9" s="1">
        <v>876989.23</v>
      </c>
      <c r="U9" s="1">
        <v>782920.51</v>
      </c>
      <c r="V9" s="18">
        <f t="shared" si="6"/>
        <v>89.273674432695145</v>
      </c>
      <c r="W9" s="1">
        <v>1982907.68</v>
      </c>
      <c r="X9" s="1">
        <v>1770309</v>
      </c>
      <c r="Y9" s="18">
        <f t="shared" si="7"/>
        <v>89.278437814109438</v>
      </c>
      <c r="Z9" s="115">
        <f t="shared" si="8"/>
        <v>126.103994458404</v>
      </c>
      <c r="AA9" s="115">
        <f t="shared" si="8"/>
        <v>126.11605870435048</v>
      </c>
    </row>
    <row r="10" spans="1:27" x14ac:dyDescent="0.3">
      <c r="A10" t="s">
        <v>27</v>
      </c>
      <c r="B10" s="26">
        <v>2272912.09</v>
      </c>
      <c r="C10" s="26">
        <v>1884892.42</v>
      </c>
      <c r="D10" s="18">
        <f t="shared" si="0"/>
        <v>82.928522765700109</v>
      </c>
      <c r="E10" s="110">
        <v>2491611.61</v>
      </c>
      <c r="F10" s="110">
        <v>1989084.65</v>
      </c>
      <c r="G10" s="18">
        <f t="shared" si="1"/>
        <v>79.831248257829401</v>
      </c>
      <c r="H10" s="105">
        <v>3217919.26</v>
      </c>
      <c r="I10" s="105">
        <v>2701755.61</v>
      </c>
      <c r="J10" s="18">
        <f t="shared" si="2"/>
        <v>83.95970786414324</v>
      </c>
      <c r="K10" s="121">
        <v>2533488.94</v>
      </c>
      <c r="L10" s="121">
        <v>1916343.56</v>
      </c>
      <c r="M10" s="18">
        <f t="shared" si="3"/>
        <v>75.640494408473728</v>
      </c>
      <c r="N10" s="121">
        <v>2818716.75</v>
      </c>
      <c r="O10" s="121">
        <v>2396819.2799999998</v>
      </c>
      <c r="P10" s="18">
        <f t="shared" si="4"/>
        <v>85.03228570235018</v>
      </c>
      <c r="Q10" s="121">
        <v>2247458.3199999998</v>
      </c>
      <c r="R10" s="121">
        <v>1872217.53</v>
      </c>
      <c r="S10" s="18">
        <f t="shared" si="5"/>
        <v>83.303770901522228</v>
      </c>
      <c r="T10" s="1">
        <v>2509663.2200000002</v>
      </c>
      <c r="U10" s="1">
        <v>2279713.81</v>
      </c>
      <c r="V10" s="18">
        <f t="shared" si="6"/>
        <v>90.837439535014568</v>
      </c>
      <c r="W10" s="1">
        <v>2243082.2799999998</v>
      </c>
      <c r="X10" s="1">
        <v>1962627.73</v>
      </c>
      <c r="Y10" s="18">
        <f t="shared" si="7"/>
        <v>87.496912061558447</v>
      </c>
      <c r="Z10" s="115">
        <f t="shared" si="8"/>
        <v>-10.622179815824069</v>
      </c>
      <c r="AA10" s="115">
        <f t="shared" si="8"/>
        <v>-13.909030098826321</v>
      </c>
    </row>
    <row r="11" spans="1:27" x14ac:dyDescent="0.3">
      <c r="A11" t="s">
        <v>28</v>
      </c>
      <c r="B11" s="26">
        <v>0</v>
      </c>
      <c r="C11" s="26">
        <v>0</v>
      </c>
      <c r="D11" s="18" t="str">
        <f t="shared" si="0"/>
        <v>-</v>
      </c>
      <c r="E11" s="110">
        <v>0</v>
      </c>
      <c r="F11" s="110">
        <v>0</v>
      </c>
      <c r="G11" s="18" t="str">
        <f t="shared" si="1"/>
        <v>-</v>
      </c>
      <c r="H11" s="105">
        <v>0</v>
      </c>
      <c r="I11" s="105">
        <v>0</v>
      </c>
      <c r="J11" s="18" t="str">
        <f t="shared" si="2"/>
        <v>-</v>
      </c>
      <c r="K11" s="121">
        <v>0</v>
      </c>
      <c r="L11" s="121">
        <v>0</v>
      </c>
      <c r="M11" s="18" t="str">
        <f t="shared" si="3"/>
        <v>-</v>
      </c>
      <c r="N11" s="121">
        <v>0</v>
      </c>
      <c r="O11" s="121">
        <v>0</v>
      </c>
      <c r="P11" s="18" t="str">
        <f t="shared" si="4"/>
        <v>-</v>
      </c>
      <c r="Q11" s="121">
        <v>0</v>
      </c>
      <c r="R11" s="121">
        <v>0</v>
      </c>
      <c r="S11" s="18" t="str">
        <f t="shared" si="5"/>
        <v>-</v>
      </c>
      <c r="T11" s="121">
        <v>0</v>
      </c>
      <c r="U11" s="121">
        <v>0</v>
      </c>
      <c r="V11" s="18" t="str">
        <f t="shared" si="6"/>
        <v>-</v>
      </c>
      <c r="W11" s="121">
        <v>0</v>
      </c>
      <c r="X11" s="121">
        <v>0</v>
      </c>
      <c r="Y11" s="18" t="str">
        <f t="shared" si="7"/>
        <v>-</v>
      </c>
      <c r="Z11" s="115" t="str">
        <f t="shared" si="8"/>
        <v>-</v>
      </c>
      <c r="AA11" s="115" t="str">
        <f t="shared" si="8"/>
        <v>-</v>
      </c>
    </row>
    <row r="12" spans="1:27" x14ac:dyDescent="0.3">
      <c r="A12" t="s">
        <v>29</v>
      </c>
      <c r="B12" s="26">
        <v>0</v>
      </c>
      <c r="C12" s="26">
        <v>0</v>
      </c>
      <c r="D12" s="18" t="str">
        <f t="shared" si="0"/>
        <v>-</v>
      </c>
      <c r="E12" s="110">
        <v>335949.37</v>
      </c>
      <c r="F12" s="110">
        <v>335949.37</v>
      </c>
      <c r="G12" s="18">
        <f t="shared" si="1"/>
        <v>100</v>
      </c>
      <c r="H12" s="105">
        <v>896082.14</v>
      </c>
      <c r="I12" s="105">
        <v>896082.14</v>
      </c>
      <c r="J12" s="18">
        <f t="shared" si="2"/>
        <v>100</v>
      </c>
      <c r="K12" s="121">
        <v>1105784.1399999999</v>
      </c>
      <c r="L12" s="121">
        <v>1105784.1399999999</v>
      </c>
      <c r="M12" s="18">
        <f t="shared" si="3"/>
        <v>100</v>
      </c>
      <c r="N12" s="121">
        <v>2125725.84</v>
      </c>
      <c r="O12" s="121">
        <v>2125725.84</v>
      </c>
      <c r="P12" s="18">
        <f t="shared" si="4"/>
        <v>100</v>
      </c>
      <c r="Q12" s="121">
        <v>1595995.77</v>
      </c>
      <c r="R12" s="121">
        <v>1595995.77</v>
      </c>
      <c r="S12" s="18">
        <f t="shared" si="5"/>
        <v>100</v>
      </c>
      <c r="T12" s="1">
        <v>2687646.69</v>
      </c>
      <c r="U12" s="1">
        <v>2687646.69</v>
      </c>
      <c r="V12" s="18">
        <f t="shared" si="6"/>
        <v>100</v>
      </c>
      <c r="W12" s="1">
        <v>2661527.0499999998</v>
      </c>
      <c r="X12" s="1">
        <v>2661527.0499999998</v>
      </c>
      <c r="Y12" s="18">
        <f t="shared" si="7"/>
        <v>100</v>
      </c>
      <c r="Z12" s="115">
        <f t="shared" si="8"/>
        <v>-0.97184053607880116</v>
      </c>
      <c r="AA12" s="115">
        <f t="shared" si="8"/>
        <v>-0.97184053607880116</v>
      </c>
    </row>
    <row r="13" spans="1:27" x14ac:dyDescent="0.3">
      <c r="A13" t="s">
        <v>30</v>
      </c>
      <c r="B13" s="26">
        <v>0</v>
      </c>
      <c r="C13" s="26">
        <v>0</v>
      </c>
      <c r="D13" s="18" t="str">
        <f t="shared" si="0"/>
        <v>-</v>
      </c>
      <c r="E13" s="110">
        <v>0</v>
      </c>
      <c r="F13" s="110">
        <v>0</v>
      </c>
      <c r="G13" s="18" t="str">
        <f t="shared" si="1"/>
        <v>-</v>
      </c>
      <c r="H13" s="105">
        <v>0</v>
      </c>
      <c r="I13" s="105">
        <v>0</v>
      </c>
      <c r="J13" s="18" t="str">
        <f t="shared" si="2"/>
        <v>-</v>
      </c>
      <c r="K13" s="121">
        <v>0</v>
      </c>
      <c r="L13" s="121">
        <v>0</v>
      </c>
      <c r="M13" s="18" t="str">
        <f t="shared" si="3"/>
        <v>-</v>
      </c>
      <c r="N13" s="121">
        <v>0</v>
      </c>
      <c r="O13" s="121">
        <v>0</v>
      </c>
      <c r="P13" s="18" t="str">
        <f t="shared" si="4"/>
        <v>-</v>
      </c>
      <c r="Q13" s="121">
        <v>0</v>
      </c>
      <c r="R13" s="121">
        <v>0</v>
      </c>
      <c r="S13" s="18" t="str">
        <f t="shared" si="5"/>
        <v>-</v>
      </c>
      <c r="T13" s="121">
        <v>0</v>
      </c>
      <c r="U13" s="121">
        <v>0</v>
      </c>
      <c r="V13" s="18" t="str">
        <f t="shared" si="6"/>
        <v>-</v>
      </c>
      <c r="W13" s="121">
        <v>0</v>
      </c>
      <c r="X13" s="121">
        <v>0</v>
      </c>
      <c r="Y13" s="18" t="str">
        <f t="shared" si="7"/>
        <v>-</v>
      </c>
      <c r="Z13" s="115" t="str">
        <f t="shared" si="8"/>
        <v>-</v>
      </c>
      <c r="AA13" s="115" t="str">
        <f t="shared" si="8"/>
        <v>-</v>
      </c>
    </row>
    <row r="14" spans="1:27" x14ac:dyDescent="0.3">
      <c r="A14" t="s">
        <v>31</v>
      </c>
      <c r="B14" s="26">
        <f>SUM(B3:B5)</f>
        <v>224408742.06</v>
      </c>
      <c r="C14" s="26">
        <f>SUM(C3:C5)</f>
        <v>164776436.46000001</v>
      </c>
      <c r="D14" s="18">
        <f>IF(B14&gt;0,C14/B14*100,"-")</f>
        <v>73.426923990306875</v>
      </c>
      <c r="E14" s="110">
        <v>263059153.16999999</v>
      </c>
      <c r="F14" s="110">
        <v>176518963.81</v>
      </c>
      <c r="G14" s="18">
        <f>IF(E14&gt;0,F14/E14*100,"-")</f>
        <v>67.102384267133246</v>
      </c>
      <c r="H14" s="105">
        <v>255755036.51999998</v>
      </c>
      <c r="I14" s="105">
        <v>179460641.29999998</v>
      </c>
      <c r="J14" s="18">
        <f t="shared" ref="J14:J21" si="9">IF(H14&gt;0,I14/H14*100,"-")</f>
        <v>70.168956882288498</v>
      </c>
      <c r="K14" s="121">
        <v>266618357.56999999</v>
      </c>
      <c r="L14" s="121">
        <v>184623470.00999999</v>
      </c>
      <c r="M14" s="18">
        <f>IF(K14&gt;0,L14/K14*100,"-")</f>
        <v>69.246345860309916</v>
      </c>
      <c r="N14" s="121">
        <f t="shared" ref="N14:O14" si="10">SUM(N3:N5)</f>
        <v>277029277.67000002</v>
      </c>
      <c r="O14" s="121">
        <f t="shared" si="10"/>
        <v>195405510.40000001</v>
      </c>
      <c r="P14" s="18">
        <f>IF(N14&gt;0,O14/N14*100,"-")</f>
        <v>70.53605021226997</v>
      </c>
      <c r="Q14" s="121">
        <f t="shared" ref="Q14:R14" si="11">SUM(Q3:Q5)</f>
        <v>267265419.83000001</v>
      </c>
      <c r="R14" s="121">
        <f t="shared" si="11"/>
        <v>185763112.65000001</v>
      </c>
      <c r="S14" s="18">
        <f>IF(Q14&gt;0,R14/Q14*100,"-")</f>
        <v>69.505105736521642</v>
      </c>
      <c r="T14" s="121">
        <f t="shared" ref="T14:U14" si="12">SUM(T3:T5)</f>
        <v>279599690.77999997</v>
      </c>
      <c r="U14" s="121">
        <f t="shared" si="12"/>
        <v>195830301.53999999</v>
      </c>
      <c r="V14" s="18">
        <f>IF(T14&gt;0,U14/T14*100,"-")</f>
        <v>70.039527223256826</v>
      </c>
      <c r="W14" s="121">
        <v>298269502.01999998</v>
      </c>
      <c r="X14" s="121">
        <v>197084150.20000002</v>
      </c>
      <c r="Y14" s="18">
        <f>IF(W14&gt;0,X14/W14*100,"-")</f>
        <v>66.075863896666462</v>
      </c>
      <c r="Z14" s="115">
        <f t="shared" si="8"/>
        <v>6.6773361543844345</v>
      </c>
      <c r="AA14" s="115">
        <f t="shared" si="8"/>
        <v>0.64027305791792344</v>
      </c>
    </row>
    <row r="15" spans="1:27" x14ac:dyDescent="0.3">
      <c r="A15" t="s">
        <v>32</v>
      </c>
      <c r="B15" s="25">
        <f>SUM(B6:B10)</f>
        <v>15394872.560000001</v>
      </c>
      <c r="C15" s="25">
        <f>SUM(C6:C10)</f>
        <v>5703447.2000000002</v>
      </c>
      <c r="D15" s="18">
        <f>IF(B15&gt;0,C15/B15*100,"-")</f>
        <v>37.04770648650306</v>
      </c>
      <c r="E15" s="109">
        <v>15360919.390000001</v>
      </c>
      <c r="F15" s="109">
        <v>10321736.699999999</v>
      </c>
      <c r="G15" s="18">
        <f>IF(E15&gt;0,F15/E15*100,"-")</f>
        <v>67.194784621547313</v>
      </c>
      <c r="H15" s="104">
        <v>39323876.230000004</v>
      </c>
      <c r="I15" s="104">
        <v>13090995.449999999</v>
      </c>
      <c r="J15" s="18">
        <f t="shared" si="9"/>
        <v>33.290195944653441</v>
      </c>
      <c r="K15" s="120">
        <v>15666614.689999998</v>
      </c>
      <c r="L15" s="120">
        <v>11576278.470000001</v>
      </c>
      <c r="M15" s="18">
        <f>IF(K15&gt;0,L15/K15*100,"-")</f>
        <v>73.89138431667142</v>
      </c>
      <c r="N15" s="120">
        <f t="shared" ref="N15:O15" si="13">SUM(N6:N10)</f>
        <v>30486263.830000002</v>
      </c>
      <c r="O15" s="120">
        <f t="shared" si="13"/>
        <v>8558583.4100000001</v>
      </c>
      <c r="P15" s="18">
        <f>IF(N15&gt;0,O15/N15*100,"-")</f>
        <v>28.07357260215641</v>
      </c>
      <c r="Q15" s="120">
        <f t="shared" ref="Q15:R15" si="14">SUM(Q6:Q10)</f>
        <v>12704891.809999999</v>
      </c>
      <c r="R15" s="120">
        <f t="shared" si="14"/>
        <v>5958413.5600000005</v>
      </c>
      <c r="S15" s="18">
        <f>IF(Q15&gt;0,R15/Q15*100,"-")</f>
        <v>46.898577721930252</v>
      </c>
      <c r="T15" s="120">
        <f t="shared" ref="T15:U15" si="15">SUM(T6:T10)</f>
        <v>36971050.529999994</v>
      </c>
      <c r="U15" s="120">
        <f t="shared" si="15"/>
        <v>28266122.120000005</v>
      </c>
      <c r="V15" s="18">
        <f>IF(T15&gt;0,U15/T15*100,"-")</f>
        <v>76.45474422498107</v>
      </c>
      <c r="W15" s="120">
        <v>56393339.210000001</v>
      </c>
      <c r="X15" s="120">
        <v>18601164.59</v>
      </c>
      <c r="Y15" s="18">
        <f>IF(W15&gt;0,X15/W15*100,"-")</f>
        <v>32.984683742050038</v>
      </c>
      <c r="Z15" s="115">
        <f t="shared" si="8"/>
        <v>52.533775485335156</v>
      </c>
      <c r="AA15" s="115">
        <f t="shared" si="8"/>
        <v>-34.192725443443322</v>
      </c>
    </row>
    <row r="16" spans="1:27" x14ac:dyDescent="0.3">
      <c r="A16" t="s">
        <v>33</v>
      </c>
      <c r="B16" s="26">
        <f>SUM(B11:B13)</f>
        <v>0</v>
      </c>
      <c r="C16" s="26">
        <f>SUM(C11:C13)</f>
        <v>0</v>
      </c>
      <c r="D16" s="18" t="str">
        <f t="shared" si="0"/>
        <v>-</v>
      </c>
      <c r="E16" s="110">
        <v>335949.37</v>
      </c>
      <c r="F16" s="110">
        <v>335949.37</v>
      </c>
      <c r="G16" s="18">
        <f t="shared" si="1"/>
        <v>100</v>
      </c>
      <c r="H16" s="105">
        <v>896082.14</v>
      </c>
      <c r="I16" s="105">
        <v>896082.14</v>
      </c>
      <c r="J16" s="18">
        <f t="shared" si="9"/>
        <v>100</v>
      </c>
      <c r="K16" s="121">
        <v>1105784.1399999999</v>
      </c>
      <c r="L16" s="121">
        <v>1105784.1399999999</v>
      </c>
      <c r="M16" s="18">
        <f t="shared" ref="M16:M21" si="16">IF(K16&gt;0,L16/K16*100,"-")</f>
        <v>100</v>
      </c>
      <c r="N16" s="121">
        <f t="shared" ref="N16:O16" si="17">SUM(N11:N13)</f>
        <v>2125725.84</v>
      </c>
      <c r="O16" s="121">
        <f t="shared" si="17"/>
        <v>2125725.84</v>
      </c>
      <c r="P16" s="18">
        <f t="shared" ref="P16:P21" si="18">IF(N16&gt;0,O16/N16*100,"-")</f>
        <v>100</v>
      </c>
      <c r="Q16" s="121">
        <f t="shared" ref="Q16:R16" si="19">SUM(Q11:Q13)</f>
        <v>1595995.77</v>
      </c>
      <c r="R16" s="121">
        <f t="shared" si="19"/>
        <v>1595995.77</v>
      </c>
      <c r="S16" s="18">
        <f t="shared" ref="S16:S21" si="20">IF(Q16&gt;0,R16/Q16*100,"-")</f>
        <v>100</v>
      </c>
      <c r="T16" s="121">
        <f t="shared" ref="T16:U16" si="21">SUM(T11:T13)</f>
        <v>2687646.69</v>
      </c>
      <c r="U16" s="121">
        <f t="shared" si="21"/>
        <v>2687646.69</v>
      </c>
      <c r="V16" s="18">
        <f t="shared" ref="V16:V21" si="22">IF(T16&gt;0,U16/T16*100,"-")</f>
        <v>100</v>
      </c>
      <c r="W16" s="121">
        <v>2661527.0499999998</v>
      </c>
      <c r="X16" s="121">
        <v>2661527.0499999998</v>
      </c>
      <c r="Y16" s="18">
        <f t="shared" si="7"/>
        <v>100</v>
      </c>
      <c r="Z16" s="115">
        <f t="shared" si="8"/>
        <v>-0.97184053607880116</v>
      </c>
      <c r="AA16" s="115">
        <f t="shared" si="8"/>
        <v>-0.97184053607880116</v>
      </c>
    </row>
    <row r="17" spans="1:27" x14ac:dyDescent="0.3">
      <c r="A17" t="s">
        <v>34</v>
      </c>
      <c r="B17" s="26">
        <v>0</v>
      </c>
      <c r="C17" s="26">
        <v>0</v>
      </c>
      <c r="D17" s="18" t="str">
        <f t="shared" si="0"/>
        <v>-</v>
      </c>
      <c r="E17" s="110">
        <v>2565000</v>
      </c>
      <c r="F17" s="110">
        <v>2565000</v>
      </c>
      <c r="G17" s="18">
        <f t="shared" si="1"/>
        <v>100</v>
      </c>
      <c r="H17" s="105">
        <v>0</v>
      </c>
      <c r="I17" s="105">
        <v>0</v>
      </c>
      <c r="J17" s="18" t="str">
        <f t="shared" si="9"/>
        <v>-</v>
      </c>
      <c r="K17" s="121">
        <v>2901966.83</v>
      </c>
      <c r="L17" s="121">
        <v>2901966.83</v>
      </c>
      <c r="M17" s="18">
        <f t="shared" si="16"/>
        <v>100</v>
      </c>
      <c r="N17" s="121">
        <v>0</v>
      </c>
      <c r="O17" s="121">
        <v>0</v>
      </c>
      <c r="P17" s="18" t="str">
        <f t="shared" si="18"/>
        <v>-</v>
      </c>
      <c r="Q17" s="121">
        <v>0</v>
      </c>
      <c r="R17" s="121">
        <v>0</v>
      </c>
      <c r="S17" s="18" t="str">
        <f t="shared" si="20"/>
        <v>-</v>
      </c>
      <c r="T17" s="121">
        <v>0</v>
      </c>
      <c r="U17" s="121">
        <v>0</v>
      </c>
      <c r="V17" s="18" t="str">
        <f t="shared" si="22"/>
        <v>-</v>
      </c>
      <c r="W17" s="121">
        <v>0</v>
      </c>
      <c r="X17" s="121">
        <v>0</v>
      </c>
      <c r="Y17" s="18" t="str">
        <f t="shared" si="7"/>
        <v>-</v>
      </c>
      <c r="Z17" s="115" t="str">
        <f t="shared" si="8"/>
        <v>-</v>
      </c>
      <c r="AA17" s="115" t="str">
        <f t="shared" si="8"/>
        <v>-</v>
      </c>
    </row>
    <row r="18" spans="1:27" x14ac:dyDescent="0.3">
      <c r="A18" t="s">
        <v>35</v>
      </c>
      <c r="B18" s="26">
        <v>0</v>
      </c>
      <c r="C18" s="26">
        <v>0</v>
      </c>
      <c r="D18" s="18" t="str">
        <f t="shared" si="0"/>
        <v>-</v>
      </c>
      <c r="E18" s="110">
        <v>0</v>
      </c>
      <c r="F18" s="110">
        <v>0</v>
      </c>
      <c r="G18" s="18" t="str">
        <f t="shared" si="1"/>
        <v>-</v>
      </c>
      <c r="H18" s="105">
        <v>0</v>
      </c>
      <c r="I18" s="105">
        <v>0</v>
      </c>
      <c r="J18" s="18" t="str">
        <f t="shared" si="9"/>
        <v>-</v>
      </c>
      <c r="K18" s="121">
        <v>0</v>
      </c>
      <c r="L18" s="121">
        <v>0</v>
      </c>
      <c r="M18" s="18" t="str">
        <f t="shared" si="16"/>
        <v>-</v>
      </c>
      <c r="N18" s="121">
        <v>0</v>
      </c>
      <c r="O18" s="121">
        <v>0</v>
      </c>
      <c r="P18" s="18" t="str">
        <f t="shared" si="18"/>
        <v>-</v>
      </c>
      <c r="Q18" s="121">
        <v>0</v>
      </c>
      <c r="R18" s="121">
        <v>0</v>
      </c>
      <c r="S18" s="18" t="str">
        <f t="shared" si="20"/>
        <v>-</v>
      </c>
      <c r="T18" s="121">
        <v>0</v>
      </c>
      <c r="U18" s="121">
        <v>0</v>
      </c>
      <c r="V18" s="18" t="str">
        <f t="shared" si="22"/>
        <v>-</v>
      </c>
      <c r="W18" s="121">
        <v>0</v>
      </c>
      <c r="X18" s="121">
        <v>0</v>
      </c>
      <c r="Y18" s="18" t="str">
        <f t="shared" si="7"/>
        <v>-</v>
      </c>
      <c r="Z18" s="115" t="str">
        <f t="shared" si="8"/>
        <v>-</v>
      </c>
      <c r="AA18" s="115" t="str">
        <f t="shared" si="8"/>
        <v>-</v>
      </c>
    </row>
    <row r="19" spans="1:27" x14ac:dyDescent="0.3">
      <c r="A19" t="s">
        <v>36</v>
      </c>
      <c r="B19" s="26">
        <v>30898661.510000002</v>
      </c>
      <c r="C19" s="26">
        <v>29460287.109999999</v>
      </c>
      <c r="D19" s="18">
        <f t="shared" si="0"/>
        <v>95.344865020983221</v>
      </c>
      <c r="E19" s="110">
        <v>30151031.309999999</v>
      </c>
      <c r="F19" s="110">
        <v>28461249.809999999</v>
      </c>
      <c r="G19" s="18">
        <f t="shared" si="1"/>
        <v>94.395609614058003</v>
      </c>
      <c r="H19" s="105">
        <v>30791299.079999998</v>
      </c>
      <c r="I19" s="105">
        <v>29094525.300000001</v>
      </c>
      <c r="J19" s="18">
        <f t="shared" si="9"/>
        <v>94.489437501186472</v>
      </c>
      <c r="K19" s="121">
        <v>58209610.68</v>
      </c>
      <c r="L19" s="121">
        <v>56657480.990000002</v>
      </c>
      <c r="M19" s="18">
        <f t="shared" si="16"/>
        <v>97.333550814258771</v>
      </c>
      <c r="N19" s="121">
        <v>27267528.02</v>
      </c>
      <c r="O19" s="121">
        <v>24825232.77</v>
      </c>
      <c r="P19" s="18">
        <f t="shared" si="18"/>
        <v>91.043209900770464</v>
      </c>
      <c r="Q19" s="121">
        <v>30827166.710000001</v>
      </c>
      <c r="R19" s="121">
        <v>29670149.960000001</v>
      </c>
      <c r="S19" s="18">
        <f t="shared" si="20"/>
        <v>96.24676260103827</v>
      </c>
      <c r="T19" s="1">
        <v>31887073.289999999</v>
      </c>
      <c r="U19" s="1">
        <v>30170093.350000001</v>
      </c>
      <c r="V19" s="18">
        <f t="shared" si="22"/>
        <v>94.615435777423784</v>
      </c>
      <c r="W19" s="1">
        <v>53902070.700000003</v>
      </c>
      <c r="X19" s="1">
        <v>52445820.5</v>
      </c>
      <c r="Y19" s="18">
        <f t="shared" si="7"/>
        <v>97.298340896577102</v>
      </c>
      <c r="Z19" s="115">
        <f t="shared" si="8"/>
        <v>69.04050807605492</v>
      </c>
      <c r="AA19" s="115">
        <f t="shared" si="8"/>
        <v>73.833802539427666</v>
      </c>
    </row>
    <row r="20" spans="1:27" x14ac:dyDescent="0.3">
      <c r="A20" t="s">
        <v>37</v>
      </c>
      <c r="B20" s="26">
        <f>B14+B15+B16+B17+B18+B19</f>
        <v>270702276.13</v>
      </c>
      <c r="C20" s="26">
        <f>C14+C15+C16+C17+C18+C19</f>
        <v>199940170.76999998</v>
      </c>
      <c r="D20" s="18">
        <f t="shared" si="0"/>
        <v>73.859804072715747</v>
      </c>
      <c r="E20" s="110">
        <v>311472053.24000001</v>
      </c>
      <c r="F20" s="110">
        <v>218202899.69</v>
      </c>
      <c r="G20" s="18">
        <f t="shared" si="1"/>
        <v>70.055370111124262</v>
      </c>
      <c r="H20" s="105">
        <v>326766293.96999997</v>
      </c>
      <c r="I20" s="105">
        <v>222542244.18999997</v>
      </c>
      <c r="J20" s="18">
        <f t="shared" si="9"/>
        <v>68.104406206116025</v>
      </c>
      <c r="K20" s="121">
        <v>344502333.90999997</v>
      </c>
      <c r="L20" s="121">
        <v>256864980.44</v>
      </c>
      <c r="M20" s="18">
        <f t="shared" si="16"/>
        <v>74.561172786453483</v>
      </c>
      <c r="N20" s="121">
        <f t="shared" ref="N20:O20" si="23">N14+N15+N16+N17+N18+N19</f>
        <v>336908795.35999995</v>
      </c>
      <c r="O20" s="121">
        <f t="shared" si="23"/>
        <v>230915052.42000002</v>
      </c>
      <c r="P20" s="18">
        <f t="shared" si="18"/>
        <v>68.539336342721015</v>
      </c>
      <c r="Q20" s="121">
        <f t="shared" ref="Q20:R20" si="24">Q14+Q15+Q16+Q17+Q18+Q19</f>
        <v>312393474.11999995</v>
      </c>
      <c r="R20" s="121">
        <f t="shared" si="24"/>
        <v>222987671.94000003</v>
      </c>
      <c r="S20" s="18">
        <f t="shared" si="20"/>
        <v>71.380387368253281</v>
      </c>
      <c r="T20" s="121">
        <f t="shared" ref="T20:U20" si="25">T14+T15+T16+T17+T18+T19</f>
        <v>351145461.28999996</v>
      </c>
      <c r="U20" s="121">
        <f t="shared" si="25"/>
        <v>256954163.69999999</v>
      </c>
      <c r="V20" s="18">
        <f t="shared" si="22"/>
        <v>73.175988878235756</v>
      </c>
      <c r="W20" s="121">
        <v>411226438.97999996</v>
      </c>
      <c r="X20" s="121">
        <v>270792662.34000003</v>
      </c>
      <c r="Y20" s="18">
        <f t="shared" si="7"/>
        <v>65.850012711164723</v>
      </c>
      <c r="Z20" s="115">
        <f t="shared" si="8"/>
        <v>17.109996942372831</v>
      </c>
      <c r="AA20" s="115">
        <f t="shared" si="8"/>
        <v>5.3855903483847953</v>
      </c>
    </row>
    <row r="21" spans="1:27" x14ac:dyDescent="0.3">
      <c r="A21" t="s">
        <v>38</v>
      </c>
      <c r="B21" s="26">
        <f>B20-B19</f>
        <v>239803614.62</v>
      </c>
      <c r="C21" s="26">
        <f>C20-C19</f>
        <v>170479883.65999997</v>
      </c>
      <c r="D21" s="18">
        <f t="shared" si="0"/>
        <v>71.091457036687075</v>
      </c>
      <c r="E21" s="110">
        <v>281321021.93000001</v>
      </c>
      <c r="F21" s="110">
        <v>189741649.88</v>
      </c>
      <c r="G21" s="18">
        <f t="shared" si="1"/>
        <v>67.446665939956901</v>
      </c>
      <c r="H21" s="105">
        <v>295974994.88999999</v>
      </c>
      <c r="I21" s="105">
        <v>193447718.88999996</v>
      </c>
      <c r="J21" s="18">
        <f t="shared" si="9"/>
        <v>65.359480439182164</v>
      </c>
      <c r="K21" s="121">
        <v>286292723.22999996</v>
      </c>
      <c r="L21" s="121">
        <v>200207499.44999999</v>
      </c>
      <c r="M21" s="18">
        <f t="shared" si="16"/>
        <v>69.931047213225398</v>
      </c>
      <c r="N21" s="121">
        <f t="shared" ref="N21:O21" si="26">N20-N19</f>
        <v>309641267.33999997</v>
      </c>
      <c r="O21" s="121">
        <f t="shared" si="26"/>
        <v>206089819.65000001</v>
      </c>
      <c r="P21" s="18">
        <f t="shared" si="18"/>
        <v>66.557607589076355</v>
      </c>
      <c r="Q21" s="121">
        <f t="shared" ref="Q21:R21" si="27">Q20-Q19</f>
        <v>281566307.40999997</v>
      </c>
      <c r="R21" s="121">
        <f t="shared" si="27"/>
        <v>193317521.98000002</v>
      </c>
      <c r="S21" s="18">
        <f t="shared" si="20"/>
        <v>68.657902913967135</v>
      </c>
      <c r="T21" s="121">
        <f t="shared" ref="T21:U21" si="28">T20-T19</f>
        <v>319258387.99999994</v>
      </c>
      <c r="U21" s="121">
        <f t="shared" si="28"/>
        <v>226784070.34999999</v>
      </c>
      <c r="V21" s="18">
        <f t="shared" si="22"/>
        <v>71.034647443624891</v>
      </c>
      <c r="W21" s="121">
        <v>357324368.27999997</v>
      </c>
      <c r="X21" s="121">
        <v>218346841.84000003</v>
      </c>
      <c r="Y21" s="18">
        <f t="shared" si="7"/>
        <v>61.106059710123958</v>
      </c>
      <c r="Z21" s="115">
        <f t="shared" si="8"/>
        <v>11.923251419787292</v>
      </c>
      <c r="AA21" s="115">
        <f t="shared" si="8"/>
        <v>-3.7203796972947174</v>
      </c>
    </row>
    <row r="22" spans="1:27" x14ac:dyDescent="0.3">
      <c r="B22" s="12" t="s">
        <v>75</v>
      </c>
      <c r="C22" s="12" t="s">
        <v>76</v>
      </c>
      <c r="D22" s="16"/>
      <c r="E22" s="108" t="s">
        <v>75</v>
      </c>
      <c r="F22" s="108" t="s">
        <v>76</v>
      </c>
      <c r="G22" s="16"/>
      <c r="H22" s="107" t="s">
        <v>75</v>
      </c>
      <c r="I22" s="107" t="s">
        <v>76</v>
      </c>
      <c r="J22" s="101"/>
      <c r="K22" s="123" t="s">
        <v>75</v>
      </c>
      <c r="L22" s="123" t="s">
        <v>76</v>
      </c>
      <c r="M22" s="135"/>
      <c r="N22" s="123" t="s">
        <v>75</v>
      </c>
      <c r="O22" s="123" t="s">
        <v>76</v>
      </c>
      <c r="P22" s="143"/>
      <c r="Q22" s="123" t="s">
        <v>75</v>
      </c>
      <c r="R22" s="123" t="s">
        <v>76</v>
      </c>
      <c r="S22" s="147"/>
      <c r="T22" s="123" t="s">
        <v>75</v>
      </c>
      <c r="U22" s="123" t="s">
        <v>76</v>
      </c>
      <c r="V22" s="151"/>
      <c r="W22" s="123" t="s">
        <v>75</v>
      </c>
      <c r="X22" s="123" t="s">
        <v>76</v>
      </c>
      <c r="Y22" s="16"/>
    </row>
    <row r="23" spans="1:27" x14ac:dyDescent="0.3">
      <c r="A23" s="5" t="s">
        <v>39</v>
      </c>
      <c r="B23" s="25">
        <v>50155051.880000003</v>
      </c>
      <c r="C23" s="25">
        <v>46656735.619999997</v>
      </c>
      <c r="D23" s="18">
        <f>IF(B23&gt;0,C23/B23*100,"-")</f>
        <v>93.024997225862691</v>
      </c>
      <c r="E23" s="109">
        <v>46653630.619999997</v>
      </c>
      <c r="F23" s="109">
        <v>44192141.18</v>
      </c>
      <c r="G23" s="18">
        <f>IF(E23&gt;0,F23/E23*100,"-")</f>
        <v>94.72390592695956</v>
      </c>
      <c r="H23" s="104">
        <v>48619164.619999997</v>
      </c>
      <c r="I23" s="104">
        <v>45204106.979999997</v>
      </c>
      <c r="J23" s="18">
        <f>IF(H23&gt;0,I23/H23*100,"-")</f>
        <v>92.975902266746928</v>
      </c>
      <c r="K23" s="120">
        <v>47200400.039999999</v>
      </c>
      <c r="L23" s="120">
        <v>44159898.270000003</v>
      </c>
      <c r="M23" s="18">
        <f>IF(K23&gt;0,L23/K23*100,"-")</f>
        <v>93.558313557886535</v>
      </c>
      <c r="N23" s="120">
        <v>45805104.780000001</v>
      </c>
      <c r="O23" s="122">
        <v>0</v>
      </c>
      <c r="P23" s="18">
        <f>IF(N23&gt;0,O23/N23*100,"-")</f>
        <v>0</v>
      </c>
      <c r="Q23" s="120">
        <v>44262276.289999999</v>
      </c>
      <c r="R23" s="136">
        <v>0</v>
      </c>
      <c r="S23" s="18">
        <f>IF(Q23&gt;0,R23/Q23*100,"-")</f>
        <v>0</v>
      </c>
      <c r="T23" s="1">
        <v>47005497.219999999</v>
      </c>
      <c r="U23" s="1">
        <v>44293032.439999998</v>
      </c>
      <c r="V23" s="18">
        <f>IF(T23&gt;0,U23/T23*100,"-")</f>
        <v>94.229473273509186</v>
      </c>
      <c r="W23" s="1">
        <v>51584061.609999999</v>
      </c>
      <c r="X23" s="1">
        <v>48273307.600000001</v>
      </c>
      <c r="Y23" s="18">
        <f>IF(W23&gt;0,X23/W23*100,"-")</f>
        <v>93.581827590407926</v>
      </c>
      <c r="Z23" s="115">
        <f t="shared" si="8"/>
        <v>9.7404870936072143</v>
      </c>
      <c r="AA23" s="115">
        <f t="shared" si="8"/>
        <v>8.986233140374253</v>
      </c>
    </row>
    <row r="24" spans="1:27" x14ac:dyDescent="0.3">
      <c r="A24" s="5" t="s">
        <v>40</v>
      </c>
      <c r="B24" s="25">
        <v>3280511.48</v>
      </c>
      <c r="C24" s="25">
        <v>2653808.2200000002</v>
      </c>
      <c r="D24" s="18">
        <f t="shared" ref="D24:D55" si="29">IF(B24&gt;0,C24/B24*100,"-")</f>
        <v>80.896172324932706</v>
      </c>
      <c r="E24" s="109">
        <v>3241220.44</v>
      </c>
      <c r="F24" s="109">
        <v>2810436.69</v>
      </c>
      <c r="G24" s="18">
        <f t="shared" ref="G24:G55" si="30">IF(E24&gt;0,F24/E24*100,"-")</f>
        <v>86.709211607958395</v>
      </c>
      <c r="H24" s="104">
        <v>3136923.98</v>
      </c>
      <c r="I24" s="104">
        <v>2662807.75</v>
      </c>
      <c r="J24" s="18">
        <f t="shared" ref="J24:J55" si="31">IF(H24&gt;0,I24/H24*100,"-")</f>
        <v>84.885950918071018</v>
      </c>
      <c r="K24" s="120">
        <v>3248933.61</v>
      </c>
      <c r="L24" s="120">
        <v>2540596.09</v>
      </c>
      <c r="M24" s="18">
        <f t="shared" ref="M24:M55" si="32">IF(K24&gt;0,L24/K24*100,"-")</f>
        <v>78.197845661733908</v>
      </c>
      <c r="N24" s="120">
        <v>3201325.49</v>
      </c>
      <c r="O24" s="122">
        <v>0</v>
      </c>
      <c r="P24" s="18">
        <f t="shared" ref="P24:P55" si="33">IF(N24&gt;0,O24/N24*100,"-")</f>
        <v>0</v>
      </c>
      <c r="Q24" s="120">
        <v>3016839.8</v>
      </c>
      <c r="R24" s="136">
        <v>0</v>
      </c>
      <c r="S24" s="18">
        <f t="shared" ref="S24:S55" si="34">IF(Q24&gt;0,R24/Q24*100,"-")</f>
        <v>0</v>
      </c>
      <c r="T24" s="1">
        <v>3210713.93</v>
      </c>
      <c r="U24" s="1">
        <v>2830117.78</v>
      </c>
      <c r="V24" s="18">
        <f t="shared" ref="V24:V55" si="35">IF(T24&gt;0,U24/T24*100,"-")</f>
        <v>88.146058530975992</v>
      </c>
      <c r="W24" s="1">
        <v>3622029.72</v>
      </c>
      <c r="X24" s="1">
        <v>3082880.49</v>
      </c>
      <c r="Y24" s="18">
        <f t="shared" ref="Y24:Y55" si="36">IF(W24&gt;0,X24/W24*100,"-")</f>
        <v>85.114720980257445</v>
      </c>
      <c r="Z24" s="115">
        <f t="shared" si="8"/>
        <v>12.810726803057165</v>
      </c>
      <c r="AA24" s="115">
        <f t="shared" si="8"/>
        <v>8.9311728220724547</v>
      </c>
    </row>
    <row r="25" spans="1:27" x14ac:dyDescent="0.3">
      <c r="A25" s="5" t="s">
        <v>41</v>
      </c>
      <c r="B25" s="25">
        <v>109302337.78</v>
      </c>
      <c r="C25" s="25">
        <v>75284591.170000002</v>
      </c>
      <c r="D25" s="18">
        <f t="shared" si="29"/>
        <v>68.877384234480189</v>
      </c>
      <c r="E25" s="109">
        <v>115187680.04000001</v>
      </c>
      <c r="F25" s="109">
        <v>71628870.060000002</v>
      </c>
      <c r="G25" s="18">
        <f t="shared" si="30"/>
        <v>62.184488857772116</v>
      </c>
      <c r="H25" s="104">
        <v>117574944.59999999</v>
      </c>
      <c r="I25" s="104">
        <v>78651242.579999998</v>
      </c>
      <c r="J25" s="18">
        <f t="shared" si="31"/>
        <v>66.894560612023454</v>
      </c>
      <c r="K25" s="120">
        <v>112323461.08</v>
      </c>
      <c r="L25" s="120">
        <v>79574154.359999999</v>
      </c>
      <c r="M25" s="18">
        <f t="shared" si="32"/>
        <v>70.843752137698999</v>
      </c>
      <c r="N25" s="120">
        <v>110759652.11</v>
      </c>
      <c r="O25" s="122">
        <v>0</v>
      </c>
      <c r="P25" s="18">
        <f t="shared" si="33"/>
        <v>0</v>
      </c>
      <c r="Q25" s="120">
        <v>122459719.3</v>
      </c>
      <c r="R25" s="136">
        <v>0</v>
      </c>
      <c r="S25" s="18">
        <f t="shared" si="34"/>
        <v>0</v>
      </c>
      <c r="T25" s="1">
        <v>134536848.74000001</v>
      </c>
      <c r="U25" s="1">
        <v>95919158.670000002</v>
      </c>
      <c r="V25" s="18">
        <f t="shared" si="35"/>
        <v>71.295826807545609</v>
      </c>
      <c r="W25" s="1">
        <v>145383452.59999999</v>
      </c>
      <c r="X25" s="1">
        <v>107123053.78</v>
      </c>
      <c r="Y25" s="18">
        <f t="shared" si="36"/>
        <v>73.683113080779876</v>
      </c>
      <c r="Z25" s="115">
        <f t="shared" si="8"/>
        <v>8.0621807048280516</v>
      </c>
      <c r="AA25" s="115">
        <f t="shared" si="8"/>
        <v>11.680560239843047</v>
      </c>
    </row>
    <row r="26" spans="1:27" x14ac:dyDescent="0.3">
      <c r="A26" s="5" t="s">
        <v>42</v>
      </c>
      <c r="B26" s="25">
        <v>31452949.190000001</v>
      </c>
      <c r="C26" s="25">
        <v>22109992.879999999</v>
      </c>
      <c r="D26" s="18">
        <f t="shared" si="29"/>
        <v>70.295452252946575</v>
      </c>
      <c r="E26" s="109">
        <v>36189794.649999999</v>
      </c>
      <c r="F26" s="109">
        <v>23201438.25</v>
      </c>
      <c r="G26" s="18">
        <f t="shared" si="30"/>
        <v>64.110444600160235</v>
      </c>
      <c r="H26" s="104">
        <v>37164055.359999999</v>
      </c>
      <c r="I26" s="104">
        <v>24988390.940000001</v>
      </c>
      <c r="J26" s="18">
        <f t="shared" si="31"/>
        <v>67.238062956109005</v>
      </c>
      <c r="K26" s="120">
        <v>29525730.489999998</v>
      </c>
      <c r="L26" s="120">
        <v>21084294.420000002</v>
      </c>
      <c r="M26" s="18">
        <f t="shared" si="32"/>
        <v>71.409899332180771</v>
      </c>
      <c r="N26" s="120">
        <v>43345348.689999998</v>
      </c>
      <c r="O26" s="122">
        <v>0</v>
      </c>
      <c r="P26" s="18">
        <f t="shared" si="33"/>
        <v>0</v>
      </c>
      <c r="Q26" s="120">
        <v>41326554.939999998</v>
      </c>
      <c r="R26" s="136">
        <v>0</v>
      </c>
      <c r="S26" s="18">
        <f t="shared" si="34"/>
        <v>0</v>
      </c>
      <c r="T26" s="1">
        <v>39267298.030000001</v>
      </c>
      <c r="U26" s="1">
        <v>22929995.91</v>
      </c>
      <c r="V26" s="18">
        <f t="shared" si="35"/>
        <v>58.39463640325242</v>
      </c>
      <c r="W26" s="1">
        <v>41994323.590000004</v>
      </c>
      <c r="X26" s="1">
        <v>29333247.359999999</v>
      </c>
      <c r="Y26" s="18">
        <f t="shared" si="36"/>
        <v>69.850505621633701</v>
      </c>
      <c r="Z26" s="115">
        <f t="shared" si="8"/>
        <v>6.9447751610425712</v>
      </c>
      <c r="AA26" s="115">
        <f t="shared" si="8"/>
        <v>27.925218456787775</v>
      </c>
    </row>
    <row r="27" spans="1:27" x14ac:dyDescent="0.3">
      <c r="A27" s="5" t="s">
        <v>43</v>
      </c>
      <c r="B27" s="25">
        <v>1520395.48</v>
      </c>
      <c r="C27" s="25">
        <v>1512462.38</v>
      </c>
      <c r="D27" s="18">
        <f t="shared" si="29"/>
        <v>99.478221284898837</v>
      </c>
      <c r="E27" s="109">
        <v>1500045.23</v>
      </c>
      <c r="F27" s="109">
        <v>1490683</v>
      </c>
      <c r="G27" s="18">
        <f t="shared" si="30"/>
        <v>99.375870152928655</v>
      </c>
      <c r="H27" s="104">
        <v>1326891.73</v>
      </c>
      <c r="I27" s="104">
        <v>1325448.3999999999</v>
      </c>
      <c r="J27" s="18">
        <f t="shared" si="31"/>
        <v>99.891224734666167</v>
      </c>
      <c r="K27" s="120">
        <v>1200332.53</v>
      </c>
      <c r="L27" s="120">
        <v>1199807.44</v>
      </c>
      <c r="M27" s="18">
        <f t="shared" si="32"/>
        <v>99.956254622208732</v>
      </c>
      <c r="N27" s="120">
        <v>1043322.7</v>
      </c>
      <c r="O27" s="122">
        <v>0</v>
      </c>
      <c r="P27" s="18">
        <f t="shared" si="33"/>
        <v>0</v>
      </c>
      <c r="Q27" s="120">
        <v>939187.08</v>
      </c>
      <c r="R27" s="136">
        <v>0</v>
      </c>
      <c r="S27" s="18">
        <f t="shared" si="34"/>
        <v>0</v>
      </c>
      <c r="T27" s="1">
        <v>858586.33</v>
      </c>
      <c r="U27" s="1">
        <v>857337.85</v>
      </c>
      <c r="V27" s="18">
        <f t="shared" si="35"/>
        <v>99.854588879839255</v>
      </c>
      <c r="W27" s="1">
        <v>2034415.79</v>
      </c>
      <c r="X27" s="1">
        <v>2024452.15</v>
      </c>
      <c r="Y27" s="18">
        <f t="shared" si="36"/>
        <v>99.510245641575551</v>
      </c>
      <c r="Z27" s="115">
        <f t="shared" si="8"/>
        <v>136.94947367727136</v>
      </c>
      <c r="AA27" s="115">
        <f t="shared" si="8"/>
        <v>136.13236602116658</v>
      </c>
    </row>
    <row r="28" spans="1:27" x14ac:dyDescent="0.3">
      <c r="A28" s="5" t="s">
        <v>44</v>
      </c>
      <c r="B28" s="25">
        <v>0</v>
      </c>
      <c r="C28" s="25">
        <v>0</v>
      </c>
      <c r="D28" s="18" t="str">
        <f t="shared" si="29"/>
        <v>-</v>
      </c>
      <c r="E28" s="109">
        <v>0</v>
      </c>
      <c r="F28" s="109">
        <v>0</v>
      </c>
      <c r="G28" s="18" t="str">
        <f t="shared" si="30"/>
        <v>-</v>
      </c>
      <c r="H28" s="104">
        <v>0</v>
      </c>
      <c r="I28" s="104">
        <v>0</v>
      </c>
      <c r="J28" s="18" t="str">
        <f t="shared" si="31"/>
        <v>-</v>
      </c>
      <c r="K28" s="120">
        <v>0</v>
      </c>
      <c r="L28" s="120">
        <v>0</v>
      </c>
      <c r="M28" s="18" t="str">
        <f t="shared" si="32"/>
        <v>-</v>
      </c>
      <c r="N28" s="120">
        <v>0</v>
      </c>
      <c r="O28" s="122">
        <v>0</v>
      </c>
      <c r="P28" s="18" t="str">
        <f t="shared" si="33"/>
        <v>-</v>
      </c>
      <c r="Q28" s="120">
        <v>0</v>
      </c>
      <c r="R28" s="136">
        <v>0</v>
      </c>
      <c r="S28" s="18" t="str">
        <f t="shared" si="34"/>
        <v>-</v>
      </c>
      <c r="T28" s="120">
        <v>0</v>
      </c>
      <c r="U28" s="120">
        <v>0</v>
      </c>
      <c r="V28" s="18" t="str">
        <f t="shared" si="35"/>
        <v>-</v>
      </c>
      <c r="W28" s="120">
        <v>0</v>
      </c>
      <c r="X28" s="120">
        <v>0</v>
      </c>
      <c r="Y28" s="18" t="str">
        <f t="shared" si="36"/>
        <v>-</v>
      </c>
      <c r="Z28" s="115" t="str">
        <f t="shared" si="8"/>
        <v>-</v>
      </c>
      <c r="AA28" s="115" t="str">
        <f t="shared" si="8"/>
        <v>-</v>
      </c>
    </row>
    <row r="29" spans="1:27" x14ac:dyDescent="0.3">
      <c r="A29" s="5" t="s">
        <v>45</v>
      </c>
      <c r="B29" s="25">
        <v>0</v>
      </c>
      <c r="C29" s="25">
        <v>0</v>
      </c>
      <c r="D29" s="18" t="str">
        <f t="shared" si="29"/>
        <v>-</v>
      </c>
      <c r="E29" s="109">
        <v>433675.75</v>
      </c>
      <c r="F29" s="109">
        <v>299165.34000000003</v>
      </c>
      <c r="G29" s="18">
        <f t="shared" si="30"/>
        <v>68.983645038949035</v>
      </c>
      <c r="H29" s="104">
        <v>591434.19999999995</v>
      </c>
      <c r="I29" s="104">
        <v>577002.38</v>
      </c>
      <c r="J29" s="18">
        <f t="shared" si="31"/>
        <v>97.559860420652043</v>
      </c>
      <c r="K29" s="120">
        <v>852629.04</v>
      </c>
      <c r="L29" s="120">
        <v>396191.44</v>
      </c>
      <c r="M29" s="18">
        <f t="shared" si="32"/>
        <v>46.467035652456779</v>
      </c>
      <c r="N29" s="120">
        <v>1324103.5</v>
      </c>
      <c r="O29" s="122">
        <v>0</v>
      </c>
      <c r="P29" s="18">
        <f t="shared" si="33"/>
        <v>0</v>
      </c>
      <c r="Q29" s="120">
        <v>924275.04</v>
      </c>
      <c r="R29" s="136">
        <v>0</v>
      </c>
      <c r="S29" s="18">
        <f t="shared" si="34"/>
        <v>0</v>
      </c>
      <c r="T29" s="1">
        <v>1621166.72</v>
      </c>
      <c r="U29" s="1">
        <v>916818.57</v>
      </c>
      <c r="V29" s="18">
        <f t="shared" si="35"/>
        <v>56.553009551047282</v>
      </c>
      <c r="W29" s="1">
        <v>3298652.25</v>
      </c>
      <c r="X29" s="1">
        <v>3218938.59</v>
      </c>
      <c r="Y29" s="18">
        <f t="shared" si="36"/>
        <v>97.583447603487144</v>
      </c>
      <c r="Z29" s="115">
        <f t="shared" si="8"/>
        <v>103.47396781004733</v>
      </c>
      <c r="AA29" s="115">
        <f t="shared" si="8"/>
        <v>251.09875555858343</v>
      </c>
    </row>
    <row r="30" spans="1:27" x14ac:dyDescent="0.3">
      <c r="A30" s="5" t="s">
        <v>46</v>
      </c>
      <c r="B30" s="25">
        <v>4244126.08</v>
      </c>
      <c r="C30" s="25">
        <v>3449113.79</v>
      </c>
      <c r="D30" s="18">
        <f t="shared" si="29"/>
        <v>81.267938910994843</v>
      </c>
      <c r="E30" s="109">
        <v>5957641.4299999997</v>
      </c>
      <c r="F30" s="109">
        <v>5440948.6600000001</v>
      </c>
      <c r="G30" s="18">
        <f t="shared" si="30"/>
        <v>91.327226116728554</v>
      </c>
      <c r="H30" s="104">
        <v>4245388.46</v>
      </c>
      <c r="I30" s="104">
        <v>3581212.03</v>
      </c>
      <c r="J30" s="18">
        <f t="shared" si="31"/>
        <v>84.355343774595354</v>
      </c>
      <c r="K30" s="120">
        <v>3456340.22</v>
      </c>
      <c r="L30" s="120">
        <v>3135229.73</v>
      </c>
      <c r="M30" s="18">
        <f t="shared" si="32"/>
        <v>90.7095230920294</v>
      </c>
      <c r="N30" s="120">
        <v>3371512.77</v>
      </c>
      <c r="O30" s="122">
        <v>0</v>
      </c>
      <c r="P30" s="18">
        <f t="shared" si="33"/>
        <v>0</v>
      </c>
      <c r="Q30" s="120">
        <v>6821537.0599999996</v>
      </c>
      <c r="R30" s="136">
        <v>0</v>
      </c>
      <c r="S30" s="18">
        <f t="shared" si="34"/>
        <v>0</v>
      </c>
      <c r="T30" s="1">
        <v>3136741.32</v>
      </c>
      <c r="U30" s="1">
        <v>2663615.12</v>
      </c>
      <c r="V30" s="18">
        <f t="shared" si="35"/>
        <v>84.916633163744606</v>
      </c>
      <c r="W30" s="1">
        <v>3601468.31</v>
      </c>
      <c r="X30" s="1">
        <v>3211624.97</v>
      </c>
      <c r="Y30" s="18">
        <f t="shared" si="36"/>
        <v>89.175433283209983</v>
      </c>
      <c r="Z30" s="115">
        <f t="shared" si="8"/>
        <v>14.815598182638794</v>
      </c>
      <c r="AA30" s="115">
        <f t="shared" si="8"/>
        <v>20.57391272054349</v>
      </c>
    </row>
    <row r="31" spans="1:27" x14ac:dyDescent="0.3">
      <c r="A31" s="5" t="s">
        <v>47</v>
      </c>
      <c r="B31" s="26">
        <v>0</v>
      </c>
      <c r="C31" s="26">
        <v>0</v>
      </c>
      <c r="D31" s="18" t="str">
        <f t="shared" si="29"/>
        <v>-</v>
      </c>
      <c r="E31" s="110">
        <v>0</v>
      </c>
      <c r="F31" s="110">
        <v>0</v>
      </c>
      <c r="G31" s="18" t="str">
        <f t="shared" si="30"/>
        <v>-</v>
      </c>
      <c r="H31" s="105">
        <v>0</v>
      </c>
      <c r="I31" s="105">
        <v>0</v>
      </c>
      <c r="J31" s="18" t="str">
        <f t="shared" si="31"/>
        <v>-</v>
      </c>
      <c r="K31" s="121">
        <v>0</v>
      </c>
      <c r="L31" s="121">
        <v>0</v>
      </c>
      <c r="M31" s="18" t="str">
        <f t="shared" si="32"/>
        <v>-</v>
      </c>
      <c r="N31" s="121">
        <v>0</v>
      </c>
      <c r="O31" s="136">
        <v>0</v>
      </c>
      <c r="P31" s="18" t="str">
        <f t="shared" si="33"/>
        <v>-</v>
      </c>
      <c r="Q31" s="121">
        <v>0</v>
      </c>
      <c r="R31" s="136">
        <v>0</v>
      </c>
      <c r="S31" s="18" t="str">
        <f t="shared" si="34"/>
        <v>-</v>
      </c>
      <c r="T31" s="121">
        <v>0</v>
      </c>
      <c r="U31" s="121">
        <v>0</v>
      </c>
      <c r="V31" s="18" t="str">
        <f t="shared" si="35"/>
        <v>-</v>
      </c>
      <c r="W31" s="121">
        <v>0</v>
      </c>
      <c r="X31" s="121">
        <v>0</v>
      </c>
      <c r="Y31" s="18" t="str">
        <f t="shared" si="36"/>
        <v>-</v>
      </c>
      <c r="Z31" s="115" t="str">
        <f t="shared" si="8"/>
        <v>-</v>
      </c>
      <c r="AA31" s="115" t="str">
        <f t="shared" si="8"/>
        <v>-</v>
      </c>
    </row>
    <row r="32" spans="1:27" x14ac:dyDescent="0.3">
      <c r="A32" s="5" t="s">
        <v>48</v>
      </c>
      <c r="B32" s="25">
        <v>32971933.52</v>
      </c>
      <c r="C32" s="25">
        <v>26258120.140000001</v>
      </c>
      <c r="D32" s="18">
        <f t="shared" si="29"/>
        <v>79.637792924920348</v>
      </c>
      <c r="E32" s="109">
        <v>31310039.050000001</v>
      </c>
      <c r="F32" s="109">
        <v>15120251.560000001</v>
      </c>
      <c r="G32" s="18">
        <f t="shared" si="30"/>
        <v>48.292023960283117</v>
      </c>
      <c r="H32" s="104">
        <v>29109586.600000001</v>
      </c>
      <c r="I32" s="104">
        <v>19960522.469999999</v>
      </c>
      <c r="J32" s="18">
        <f t="shared" si="31"/>
        <v>68.570271176575204</v>
      </c>
      <c r="K32" s="120">
        <v>20401468.350000001</v>
      </c>
      <c r="L32" s="130">
        <v>14475406.547771867</v>
      </c>
      <c r="M32" s="18">
        <f t="shared" si="32"/>
        <v>70.952768200000008</v>
      </c>
      <c r="N32" s="137">
        <v>23451076.5</v>
      </c>
      <c r="O32" s="138">
        <v>16772481.5</v>
      </c>
      <c r="P32" s="18">
        <f t="shared" si="33"/>
        <v>71.521158101206993</v>
      </c>
      <c r="Q32" s="120">
        <v>27239574.170000002</v>
      </c>
      <c r="R32" s="136">
        <v>0</v>
      </c>
      <c r="S32" s="18">
        <f t="shared" si="34"/>
        <v>0</v>
      </c>
      <c r="T32" s="1">
        <v>31450384.739999998</v>
      </c>
      <c r="U32" s="1">
        <v>23802423.300000001</v>
      </c>
      <c r="V32" s="18">
        <f t="shared" si="35"/>
        <v>75.682455069387501</v>
      </c>
      <c r="W32" s="1">
        <v>67815995.829999998</v>
      </c>
      <c r="X32" s="1">
        <v>51935384.68</v>
      </c>
      <c r="Y32" s="18">
        <f t="shared" si="36"/>
        <v>76.58279443420804</v>
      </c>
      <c r="Z32" s="115">
        <f t="shared" si="8"/>
        <v>115.6285094463363</v>
      </c>
      <c r="AA32" s="115">
        <f t="shared" si="8"/>
        <v>118.19368568241538</v>
      </c>
    </row>
    <row r="33" spans="1:27" x14ac:dyDescent="0.3">
      <c r="A33" s="5" t="s">
        <v>49</v>
      </c>
      <c r="B33" s="25">
        <v>682103.86</v>
      </c>
      <c r="C33" s="25">
        <v>341776.03</v>
      </c>
      <c r="D33" s="18">
        <f t="shared" si="29"/>
        <v>50.106156854177605</v>
      </c>
      <c r="E33" s="109">
        <v>171611</v>
      </c>
      <c r="F33" s="109">
        <v>169611</v>
      </c>
      <c r="G33" s="18">
        <f t="shared" si="30"/>
        <v>98.83457354132311</v>
      </c>
      <c r="H33" s="104">
        <v>437558.27</v>
      </c>
      <c r="I33" s="104">
        <v>197555.6</v>
      </c>
      <c r="J33" s="18">
        <f t="shared" si="31"/>
        <v>45.149552309912913</v>
      </c>
      <c r="K33" s="120">
        <v>1273793.52</v>
      </c>
      <c r="L33" s="130">
        <v>903791.76359222073</v>
      </c>
      <c r="M33" s="18">
        <f t="shared" si="32"/>
        <v>70.952768200000008</v>
      </c>
      <c r="N33" s="137">
        <v>176675.84999999998</v>
      </c>
      <c r="O33" s="138">
        <v>126360.61</v>
      </c>
      <c r="P33" s="18">
        <f t="shared" si="33"/>
        <v>71.521155834258053</v>
      </c>
      <c r="Q33" s="120">
        <v>647476.65</v>
      </c>
      <c r="R33" s="136">
        <v>0</v>
      </c>
      <c r="S33" s="18">
        <f t="shared" si="34"/>
        <v>0</v>
      </c>
      <c r="T33" s="1">
        <v>251432.93</v>
      </c>
      <c r="U33" s="1">
        <v>111485</v>
      </c>
      <c r="V33" s="18">
        <f t="shared" si="35"/>
        <v>44.339856358512783</v>
      </c>
      <c r="W33" s="1">
        <v>12225452.560000001</v>
      </c>
      <c r="X33" s="1">
        <v>10536879.73</v>
      </c>
      <c r="Y33" s="18">
        <f t="shared" si="36"/>
        <v>86.188054620368177</v>
      </c>
      <c r="Z33" s="115">
        <f t="shared" si="8"/>
        <v>4762.3116152685334</v>
      </c>
      <c r="AA33" s="115">
        <f t="shared" si="8"/>
        <v>9351.3878369287359</v>
      </c>
    </row>
    <row r="34" spans="1:27" x14ac:dyDescent="0.3">
      <c r="A34" s="5" t="s">
        <v>50</v>
      </c>
      <c r="B34" s="25">
        <v>0</v>
      </c>
      <c r="C34" s="25">
        <v>0</v>
      </c>
      <c r="D34" s="18" t="str">
        <f t="shared" si="29"/>
        <v>-</v>
      </c>
      <c r="E34" s="109">
        <v>0</v>
      </c>
      <c r="F34" s="109">
        <v>0</v>
      </c>
      <c r="G34" s="18" t="str">
        <f t="shared" si="30"/>
        <v>-</v>
      </c>
      <c r="H34" s="104">
        <v>0</v>
      </c>
      <c r="I34" s="104">
        <v>0</v>
      </c>
      <c r="J34" s="18" t="str">
        <f t="shared" si="31"/>
        <v>-</v>
      </c>
      <c r="K34" s="120">
        <v>0</v>
      </c>
      <c r="L34" s="130">
        <v>0</v>
      </c>
      <c r="M34" s="18" t="str">
        <f t="shared" si="32"/>
        <v>-</v>
      </c>
      <c r="N34" s="137">
        <v>0</v>
      </c>
      <c r="O34" s="138">
        <v>0</v>
      </c>
      <c r="P34" s="18" t="str">
        <f t="shared" si="33"/>
        <v>-</v>
      </c>
      <c r="Q34" s="120">
        <v>0</v>
      </c>
      <c r="R34" s="136">
        <v>0</v>
      </c>
      <c r="S34" s="18" t="str">
        <f t="shared" si="34"/>
        <v>-</v>
      </c>
      <c r="T34" s="120">
        <v>0</v>
      </c>
      <c r="U34" s="120">
        <v>0</v>
      </c>
      <c r="V34" s="18" t="str">
        <f t="shared" si="35"/>
        <v>-</v>
      </c>
      <c r="W34" s="120">
        <v>0</v>
      </c>
      <c r="X34" s="120">
        <v>0</v>
      </c>
      <c r="Y34" s="18" t="str">
        <f t="shared" si="36"/>
        <v>-</v>
      </c>
      <c r="Z34" s="115" t="str">
        <f t="shared" si="8"/>
        <v>-</v>
      </c>
      <c r="AA34" s="115" t="str">
        <f t="shared" si="8"/>
        <v>-</v>
      </c>
    </row>
    <row r="35" spans="1:27" x14ac:dyDescent="0.3">
      <c r="A35" s="5" t="s">
        <v>51</v>
      </c>
      <c r="B35" s="25">
        <v>1557477.63</v>
      </c>
      <c r="C35" s="25">
        <v>1552031.25</v>
      </c>
      <c r="D35" s="18">
        <f t="shared" si="29"/>
        <v>99.650307658030385</v>
      </c>
      <c r="E35" s="109">
        <v>471619.49</v>
      </c>
      <c r="F35" s="109">
        <v>352046.1</v>
      </c>
      <c r="G35" s="18">
        <f t="shared" si="30"/>
        <v>74.646215320745114</v>
      </c>
      <c r="H35" s="104">
        <v>226700.82</v>
      </c>
      <c r="I35" s="104">
        <v>226700.82</v>
      </c>
      <c r="J35" s="18">
        <f t="shared" si="31"/>
        <v>100</v>
      </c>
      <c r="K35" s="120">
        <v>178225.78</v>
      </c>
      <c r="L35" s="130">
        <v>126456.12455604196</v>
      </c>
      <c r="M35" s="18">
        <f t="shared" si="32"/>
        <v>70.952768200000008</v>
      </c>
      <c r="N35" s="137">
        <v>1096543.4799999981</v>
      </c>
      <c r="O35" s="138">
        <v>784260.6</v>
      </c>
      <c r="P35" s="18">
        <f t="shared" si="33"/>
        <v>71.521158467879573</v>
      </c>
      <c r="Q35" s="120">
        <v>328904.26</v>
      </c>
      <c r="R35" s="136">
        <v>0</v>
      </c>
      <c r="S35" s="18">
        <f t="shared" si="34"/>
        <v>0</v>
      </c>
      <c r="T35" s="1">
        <v>177925.25</v>
      </c>
      <c r="U35" s="1">
        <v>177925.25</v>
      </c>
      <c r="V35" s="18">
        <f t="shared" si="35"/>
        <v>100</v>
      </c>
      <c r="W35" s="1">
        <v>145950.32</v>
      </c>
      <c r="X35" s="1">
        <v>62647.74</v>
      </c>
      <c r="Y35" s="18">
        <f t="shared" si="36"/>
        <v>42.924016884649511</v>
      </c>
      <c r="Z35" s="115">
        <f t="shared" si="8"/>
        <v>-17.970990626681697</v>
      </c>
      <c r="AA35" s="115">
        <f t="shared" si="8"/>
        <v>-64.789854166286119</v>
      </c>
    </row>
    <row r="36" spans="1:27" x14ac:dyDescent="0.3">
      <c r="A36" s="5" t="s">
        <v>52</v>
      </c>
      <c r="B36" s="25">
        <v>0</v>
      </c>
      <c r="C36" s="25">
        <v>0</v>
      </c>
      <c r="D36" s="18" t="str">
        <f t="shared" si="29"/>
        <v>-</v>
      </c>
      <c r="E36" s="109">
        <v>0</v>
      </c>
      <c r="F36" s="109">
        <v>0</v>
      </c>
      <c r="G36" s="18" t="str">
        <f t="shared" si="30"/>
        <v>-</v>
      </c>
      <c r="H36" s="104">
        <v>0</v>
      </c>
      <c r="I36" s="104">
        <v>0</v>
      </c>
      <c r="J36" s="18" t="str">
        <f t="shared" si="31"/>
        <v>-</v>
      </c>
      <c r="K36" s="120">
        <v>0</v>
      </c>
      <c r="L36" s="120">
        <v>0</v>
      </c>
      <c r="M36" s="18" t="str">
        <f t="shared" si="32"/>
        <v>-</v>
      </c>
      <c r="N36" s="139">
        <v>0</v>
      </c>
      <c r="O36" s="139">
        <v>0</v>
      </c>
      <c r="P36" s="18" t="str">
        <f t="shared" si="33"/>
        <v>-</v>
      </c>
      <c r="Q36" s="139">
        <v>0</v>
      </c>
      <c r="R36" s="139">
        <v>0</v>
      </c>
      <c r="S36" s="18" t="str">
        <f t="shared" si="34"/>
        <v>-</v>
      </c>
      <c r="T36" s="139">
        <v>0</v>
      </c>
      <c r="U36" s="139">
        <v>0</v>
      </c>
      <c r="V36" s="18" t="str">
        <f t="shared" si="35"/>
        <v>-</v>
      </c>
      <c r="W36" s="139">
        <v>0</v>
      </c>
      <c r="X36" s="139">
        <v>0</v>
      </c>
      <c r="Y36" s="18" t="str">
        <f t="shared" si="36"/>
        <v>-</v>
      </c>
      <c r="Z36" s="115" t="str">
        <f t="shared" si="8"/>
        <v>-</v>
      </c>
      <c r="AA36" s="115" t="str">
        <f t="shared" si="8"/>
        <v>-</v>
      </c>
    </row>
    <row r="37" spans="1:27" x14ac:dyDescent="0.3">
      <c r="A37" s="5" t="s">
        <v>263</v>
      </c>
      <c r="B37" s="25">
        <v>0</v>
      </c>
      <c r="C37" s="25">
        <v>0</v>
      </c>
      <c r="D37" s="18" t="str">
        <f t="shared" si="29"/>
        <v>-</v>
      </c>
      <c r="E37" s="109">
        <v>0</v>
      </c>
      <c r="F37" s="109">
        <v>0</v>
      </c>
      <c r="G37" s="18" t="str">
        <f t="shared" si="30"/>
        <v>-</v>
      </c>
      <c r="H37" s="104">
        <v>0</v>
      </c>
      <c r="I37" s="104">
        <v>0</v>
      </c>
      <c r="J37" s="18" t="str">
        <f t="shared" si="31"/>
        <v>-</v>
      </c>
      <c r="K37" s="120">
        <v>0</v>
      </c>
      <c r="L37" s="120">
        <v>0</v>
      </c>
      <c r="M37" s="18" t="str">
        <f t="shared" si="32"/>
        <v>-</v>
      </c>
      <c r="N37" s="139">
        <v>0</v>
      </c>
      <c r="O37" s="139">
        <v>0</v>
      </c>
      <c r="P37" s="18" t="str">
        <f t="shared" si="33"/>
        <v>-</v>
      </c>
      <c r="Q37" s="139">
        <v>0</v>
      </c>
      <c r="R37" s="139">
        <v>0</v>
      </c>
      <c r="S37" s="18" t="str">
        <f t="shared" si="34"/>
        <v>-</v>
      </c>
      <c r="T37" s="139">
        <v>0</v>
      </c>
      <c r="U37" s="139">
        <v>0</v>
      </c>
      <c r="V37" s="18" t="str">
        <f t="shared" si="35"/>
        <v>-</v>
      </c>
      <c r="W37" s="139">
        <v>0</v>
      </c>
      <c r="X37" s="139">
        <v>0</v>
      </c>
      <c r="Y37" s="18" t="str">
        <f t="shared" si="36"/>
        <v>-</v>
      </c>
      <c r="Z37" s="115" t="str">
        <f t="shared" si="8"/>
        <v>-</v>
      </c>
      <c r="AA37" s="115" t="str">
        <f t="shared" si="8"/>
        <v>-</v>
      </c>
    </row>
    <row r="38" spans="1:27" x14ac:dyDescent="0.3">
      <c r="A38" s="5" t="s">
        <v>53</v>
      </c>
      <c r="B38" s="25">
        <v>0</v>
      </c>
      <c r="C38" s="25">
        <v>0</v>
      </c>
      <c r="D38" s="18" t="str">
        <f t="shared" si="29"/>
        <v>-</v>
      </c>
      <c r="E38" s="109">
        <v>0</v>
      </c>
      <c r="F38" s="109">
        <v>0</v>
      </c>
      <c r="G38" s="18" t="str">
        <f t="shared" si="30"/>
        <v>-</v>
      </c>
      <c r="H38" s="104">
        <v>0</v>
      </c>
      <c r="I38" s="104">
        <v>0</v>
      </c>
      <c r="J38" s="18" t="str">
        <f t="shared" si="31"/>
        <v>-</v>
      </c>
      <c r="K38" s="120">
        <v>0</v>
      </c>
      <c r="L38" s="120">
        <v>0</v>
      </c>
      <c r="M38" s="18" t="str">
        <f t="shared" si="32"/>
        <v>-</v>
      </c>
      <c r="N38" s="139">
        <v>0</v>
      </c>
      <c r="O38" s="139">
        <v>0</v>
      </c>
      <c r="P38" s="18" t="str">
        <f t="shared" si="33"/>
        <v>-</v>
      </c>
      <c r="Q38" s="139">
        <v>0</v>
      </c>
      <c r="R38" s="139">
        <v>0</v>
      </c>
      <c r="S38" s="18" t="str">
        <f t="shared" si="34"/>
        <v>-</v>
      </c>
      <c r="T38" s="139">
        <v>0</v>
      </c>
      <c r="U38" s="139">
        <v>0</v>
      </c>
      <c r="V38" s="18" t="str">
        <f t="shared" si="35"/>
        <v>-</v>
      </c>
      <c r="W38" s="139">
        <v>0</v>
      </c>
      <c r="X38" s="139">
        <v>0</v>
      </c>
      <c r="Y38" s="18" t="str">
        <f t="shared" si="36"/>
        <v>-</v>
      </c>
      <c r="Z38" s="115" t="str">
        <f t="shared" si="8"/>
        <v>-</v>
      </c>
      <c r="AA38" s="115" t="str">
        <f t="shared" si="8"/>
        <v>-</v>
      </c>
    </row>
    <row r="39" spans="1:27" x14ac:dyDescent="0.3">
      <c r="A39" s="5" t="s">
        <v>54</v>
      </c>
      <c r="B39" s="25">
        <v>2019661.5</v>
      </c>
      <c r="C39" s="25">
        <v>2019661.5</v>
      </c>
      <c r="D39" s="18">
        <f t="shared" si="29"/>
        <v>100</v>
      </c>
      <c r="E39" s="109">
        <v>2142658.6</v>
      </c>
      <c r="F39" s="109">
        <v>2142658.6</v>
      </c>
      <c r="G39" s="18">
        <f t="shared" si="30"/>
        <v>100</v>
      </c>
      <c r="H39" s="104">
        <v>2273146.6800000002</v>
      </c>
      <c r="I39" s="104">
        <v>2273146.6800000002</v>
      </c>
      <c r="J39" s="18">
        <f t="shared" si="31"/>
        <v>100</v>
      </c>
      <c r="K39" s="120">
        <v>2411582.2999999998</v>
      </c>
      <c r="L39" s="120">
        <v>2411582.2999999998</v>
      </c>
      <c r="M39" s="18">
        <f t="shared" si="32"/>
        <v>100</v>
      </c>
      <c r="N39" s="139">
        <v>2558446.79</v>
      </c>
      <c r="O39" s="139">
        <v>2558446.79</v>
      </c>
      <c r="P39" s="18">
        <f t="shared" si="33"/>
        <v>100</v>
      </c>
      <c r="Q39" s="139">
        <v>2714256.62</v>
      </c>
      <c r="R39" s="139">
        <v>2714256.62</v>
      </c>
      <c r="S39" s="18">
        <f t="shared" si="34"/>
        <v>100</v>
      </c>
      <c r="T39" s="1">
        <v>2879554.53</v>
      </c>
      <c r="U39" s="1">
        <v>2879554.53</v>
      </c>
      <c r="V39" s="18">
        <f t="shared" si="35"/>
        <v>100</v>
      </c>
      <c r="W39" s="1">
        <v>3054919.48</v>
      </c>
      <c r="X39" s="1">
        <v>3054919.4</v>
      </c>
      <c r="Y39" s="18">
        <f t="shared" si="36"/>
        <v>99.999997381273047</v>
      </c>
      <c r="Z39" s="115">
        <f t="shared" si="8"/>
        <v>6.0900027477513987</v>
      </c>
      <c r="AA39" s="115">
        <f t="shared" si="8"/>
        <v>6.0899999695439107</v>
      </c>
    </row>
    <row r="40" spans="1:27" x14ac:dyDescent="0.3">
      <c r="A40" s="5" t="s">
        <v>55</v>
      </c>
      <c r="B40" s="25">
        <v>0</v>
      </c>
      <c r="C40" s="25">
        <v>0</v>
      </c>
      <c r="D40" s="18" t="str">
        <f t="shared" si="29"/>
        <v>-</v>
      </c>
      <c r="E40" s="109">
        <v>0</v>
      </c>
      <c r="F40" s="109">
        <v>0</v>
      </c>
      <c r="G40" s="18" t="str">
        <f t="shared" si="30"/>
        <v>-</v>
      </c>
      <c r="H40" s="104">
        <v>0</v>
      </c>
      <c r="I40" s="104">
        <v>0</v>
      </c>
      <c r="J40" s="18" t="str">
        <f t="shared" si="31"/>
        <v>-</v>
      </c>
      <c r="K40" s="120">
        <v>0</v>
      </c>
      <c r="L40" s="120">
        <v>0</v>
      </c>
      <c r="M40" s="18" t="str">
        <f t="shared" si="32"/>
        <v>-</v>
      </c>
      <c r="N40" s="122">
        <v>0</v>
      </c>
      <c r="O40" s="122">
        <v>0</v>
      </c>
      <c r="P40" s="18" t="str">
        <f t="shared" si="33"/>
        <v>-</v>
      </c>
      <c r="Q40" s="139">
        <v>0</v>
      </c>
      <c r="R40" s="139">
        <v>0</v>
      </c>
      <c r="S40" s="18" t="str">
        <f t="shared" si="34"/>
        <v>-</v>
      </c>
      <c r="T40" s="139">
        <v>0</v>
      </c>
      <c r="U40" s="139">
        <v>0</v>
      </c>
      <c r="V40" s="18" t="str">
        <f t="shared" si="35"/>
        <v>-</v>
      </c>
      <c r="W40" s="139">
        <v>0</v>
      </c>
      <c r="X40" s="139">
        <v>0</v>
      </c>
      <c r="Y40" s="18" t="str">
        <f t="shared" si="36"/>
        <v>-</v>
      </c>
      <c r="Z40" s="115" t="str">
        <f t="shared" si="8"/>
        <v>-</v>
      </c>
      <c r="AA40" s="115" t="str">
        <f t="shared" si="8"/>
        <v>-</v>
      </c>
    </row>
    <row r="41" spans="1:27" x14ac:dyDescent="0.3">
      <c r="A41" s="5" t="s">
        <v>56</v>
      </c>
      <c r="B41" s="25">
        <v>0</v>
      </c>
      <c r="C41" s="25">
        <v>0</v>
      </c>
      <c r="D41" s="18" t="str">
        <f t="shared" si="29"/>
        <v>-</v>
      </c>
      <c r="E41" s="109">
        <v>0</v>
      </c>
      <c r="F41" s="109">
        <v>0</v>
      </c>
      <c r="G41" s="18" t="str">
        <f t="shared" si="30"/>
        <v>-</v>
      </c>
      <c r="H41" s="104">
        <v>0</v>
      </c>
      <c r="I41" s="104">
        <v>0</v>
      </c>
      <c r="J41" s="18" t="str">
        <f t="shared" si="31"/>
        <v>-</v>
      </c>
      <c r="K41" s="125">
        <v>2901966.83</v>
      </c>
      <c r="L41" s="125">
        <v>2901966.83</v>
      </c>
      <c r="M41" s="18">
        <f t="shared" si="32"/>
        <v>100</v>
      </c>
      <c r="N41" s="140">
        <v>0</v>
      </c>
      <c r="O41" s="140">
        <v>0</v>
      </c>
      <c r="P41" s="18" t="str">
        <f t="shared" si="33"/>
        <v>-</v>
      </c>
      <c r="Q41" s="139">
        <v>0</v>
      </c>
      <c r="R41" s="139">
        <v>0</v>
      </c>
      <c r="S41" s="18" t="str">
        <f t="shared" si="34"/>
        <v>-</v>
      </c>
      <c r="T41" s="139">
        <v>0</v>
      </c>
      <c r="U41" s="139">
        <v>0</v>
      </c>
      <c r="V41" s="18" t="str">
        <f t="shared" si="35"/>
        <v>-</v>
      </c>
      <c r="W41" s="139">
        <v>0</v>
      </c>
      <c r="X41" s="139">
        <v>0</v>
      </c>
      <c r="Y41" s="18" t="str">
        <f t="shared" si="36"/>
        <v>-</v>
      </c>
      <c r="Z41" s="115" t="str">
        <f t="shared" si="8"/>
        <v>-</v>
      </c>
      <c r="AA41" s="115" t="str">
        <f t="shared" si="8"/>
        <v>-</v>
      </c>
    </row>
    <row r="42" spans="1:27" x14ac:dyDescent="0.3">
      <c r="A42" s="5" t="s">
        <v>57</v>
      </c>
      <c r="B42" s="25">
        <v>693034.5</v>
      </c>
      <c r="C42" s="25">
        <v>693034.5</v>
      </c>
      <c r="D42" s="18">
        <f t="shared" si="29"/>
        <v>100</v>
      </c>
      <c r="E42" s="109">
        <v>898509.61</v>
      </c>
      <c r="F42" s="109">
        <v>681015.27</v>
      </c>
      <c r="G42" s="18">
        <f t="shared" si="30"/>
        <v>75.793877151742421</v>
      </c>
      <c r="H42" s="104">
        <v>934727.19</v>
      </c>
      <c r="I42" s="104">
        <v>934727.19</v>
      </c>
      <c r="J42" s="18">
        <f t="shared" si="31"/>
        <v>100</v>
      </c>
      <c r="K42" s="120">
        <v>972776.66</v>
      </c>
      <c r="L42" s="120">
        <v>972776.66</v>
      </c>
      <c r="M42" s="18">
        <f t="shared" si="32"/>
        <v>100</v>
      </c>
      <c r="N42" s="122">
        <v>0</v>
      </c>
      <c r="O42" s="122">
        <v>0</v>
      </c>
      <c r="P42" s="18" t="str">
        <f t="shared" si="33"/>
        <v>-</v>
      </c>
      <c r="Q42" s="139">
        <v>1239564.23</v>
      </c>
      <c r="R42" s="139">
        <v>1239564.23</v>
      </c>
      <c r="S42" s="18">
        <f t="shared" si="34"/>
        <v>100</v>
      </c>
      <c r="T42" s="1">
        <v>322419.53000000003</v>
      </c>
      <c r="U42" s="1">
        <v>322419.53000000003</v>
      </c>
      <c r="V42" s="18">
        <f t="shared" si="35"/>
        <v>100</v>
      </c>
      <c r="W42" s="1">
        <v>333443.78000000003</v>
      </c>
      <c r="X42" s="1">
        <v>333443.78000000003</v>
      </c>
      <c r="Y42" s="18">
        <f t="shared" si="36"/>
        <v>100</v>
      </c>
      <c r="Z42" s="115">
        <f t="shared" si="8"/>
        <v>3.4192252559886782</v>
      </c>
      <c r="AA42" s="115">
        <f t="shared" si="8"/>
        <v>3.4192252559886782</v>
      </c>
    </row>
    <row r="43" spans="1:27" x14ac:dyDescent="0.3">
      <c r="A43" s="5" t="s">
        <v>58</v>
      </c>
      <c r="B43" s="25">
        <v>0</v>
      </c>
      <c r="C43" s="25">
        <v>0</v>
      </c>
      <c r="D43" s="18" t="str">
        <f t="shared" si="29"/>
        <v>-</v>
      </c>
      <c r="E43" s="109">
        <v>0</v>
      </c>
      <c r="F43" s="109">
        <v>0</v>
      </c>
      <c r="G43" s="18" t="str">
        <f t="shared" si="30"/>
        <v>-</v>
      </c>
      <c r="H43" s="104">
        <v>0</v>
      </c>
      <c r="I43" s="104">
        <v>0</v>
      </c>
      <c r="J43" s="18" t="str">
        <f t="shared" si="31"/>
        <v>-</v>
      </c>
      <c r="K43" s="120">
        <v>0</v>
      </c>
      <c r="L43" s="120">
        <v>0</v>
      </c>
      <c r="M43" s="18" t="str">
        <f t="shared" si="32"/>
        <v>-</v>
      </c>
      <c r="N43" s="122">
        <v>0</v>
      </c>
      <c r="O43" s="122">
        <v>0</v>
      </c>
      <c r="P43" s="18" t="str">
        <f t="shared" si="33"/>
        <v>-</v>
      </c>
      <c r="Q43" s="139">
        <v>0</v>
      </c>
      <c r="R43" s="139">
        <v>0</v>
      </c>
      <c r="S43" s="18" t="str">
        <f t="shared" si="34"/>
        <v>-</v>
      </c>
      <c r="T43" s="139">
        <v>0</v>
      </c>
      <c r="U43" s="139">
        <v>0</v>
      </c>
      <c r="V43" s="18" t="str">
        <f t="shared" si="35"/>
        <v>-</v>
      </c>
      <c r="W43" s="139">
        <v>0</v>
      </c>
      <c r="X43" s="139">
        <v>0</v>
      </c>
      <c r="Y43" s="18" t="str">
        <f t="shared" si="36"/>
        <v>-</v>
      </c>
      <c r="Z43" s="115" t="str">
        <f t="shared" si="8"/>
        <v>-</v>
      </c>
      <c r="AA43" s="115" t="str">
        <f t="shared" si="8"/>
        <v>-</v>
      </c>
    </row>
    <row r="44" spans="1:27" x14ac:dyDescent="0.3">
      <c r="A44" s="5" t="s">
        <v>59</v>
      </c>
      <c r="B44" s="25">
        <v>0</v>
      </c>
      <c r="C44" s="25">
        <v>0</v>
      </c>
      <c r="D44" s="18" t="str">
        <f t="shared" si="29"/>
        <v>-</v>
      </c>
      <c r="E44" s="109">
        <v>0</v>
      </c>
      <c r="F44" s="109">
        <v>0</v>
      </c>
      <c r="G44" s="18" t="str">
        <f t="shared" si="30"/>
        <v>-</v>
      </c>
      <c r="H44" s="104">
        <v>0</v>
      </c>
      <c r="I44" s="104">
        <v>0</v>
      </c>
      <c r="J44" s="18" t="str">
        <f t="shared" si="31"/>
        <v>-</v>
      </c>
      <c r="K44" s="120">
        <v>0</v>
      </c>
      <c r="L44" s="120">
        <v>0</v>
      </c>
      <c r="M44" s="18" t="str">
        <f t="shared" si="32"/>
        <v>-</v>
      </c>
      <c r="N44" s="122">
        <v>0</v>
      </c>
      <c r="O44" s="122">
        <v>0</v>
      </c>
      <c r="P44" s="18" t="str">
        <f t="shared" si="33"/>
        <v>-</v>
      </c>
      <c r="Q44" s="139">
        <v>0</v>
      </c>
      <c r="R44" s="139">
        <v>0</v>
      </c>
      <c r="S44" s="18" t="str">
        <f t="shared" si="34"/>
        <v>-</v>
      </c>
      <c r="T44" s="139">
        <v>0</v>
      </c>
      <c r="U44" s="139">
        <v>0</v>
      </c>
      <c r="V44" s="18" t="str">
        <f t="shared" si="35"/>
        <v>-</v>
      </c>
      <c r="W44" s="139">
        <v>0</v>
      </c>
      <c r="X44" s="139">
        <v>0</v>
      </c>
      <c r="Y44" s="18" t="str">
        <f t="shared" si="36"/>
        <v>-</v>
      </c>
      <c r="Z44" s="115" t="str">
        <f t="shared" si="8"/>
        <v>-</v>
      </c>
      <c r="AA44" s="115" t="str">
        <f t="shared" si="8"/>
        <v>-</v>
      </c>
    </row>
    <row r="45" spans="1:27" x14ac:dyDescent="0.3">
      <c r="A45" s="5" t="s">
        <v>60</v>
      </c>
      <c r="B45" s="25">
        <v>0</v>
      </c>
      <c r="C45" s="25">
        <v>0</v>
      </c>
      <c r="D45" s="18" t="str">
        <f t="shared" si="29"/>
        <v>-</v>
      </c>
      <c r="E45" s="109">
        <v>0</v>
      </c>
      <c r="F45" s="109">
        <v>0</v>
      </c>
      <c r="G45" s="18" t="str">
        <f t="shared" si="30"/>
        <v>-</v>
      </c>
      <c r="H45" s="104">
        <v>0</v>
      </c>
      <c r="I45" s="104">
        <v>0</v>
      </c>
      <c r="J45" s="18" t="str">
        <f t="shared" si="31"/>
        <v>-</v>
      </c>
      <c r="K45" s="120">
        <v>0</v>
      </c>
      <c r="L45" s="120">
        <v>0</v>
      </c>
      <c r="M45" s="18" t="str">
        <f t="shared" si="32"/>
        <v>-</v>
      </c>
      <c r="N45" s="139">
        <v>0</v>
      </c>
      <c r="O45" s="139">
        <v>0</v>
      </c>
      <c r="P45" s="18" t="str">
        <f t="shared" si="33"/>
        <v>-</v>
      </c>
      <c r="Q45" s="139">
        <v>0</v>
      </c>
      <c r="R45" s="139">
        <v>0</v>
      </c>
      <c r="S45" s="18" t="str">
        <f t="shared" si="34"/>
        <v>-</v>
      </c>
      <c r="T45" s="139">
        <v>0</v>
      </c>
      <c r="U45" s="139">
        <v>0</v>
      </c>
      <c r="V45" s="18" t="str">
        <f t="shared" si="35"/>
        <v>-</v>
      </c>
      <c r="W45" s="139">
        <v>0</v>
      </c>
      <c r="X45" s="139">
        <v>0</v>
      </c>
      <c r="Y45" s="18" t="str">
        <f t="shared" si="36"/>
        <v>-</v>
      </c>
      <c r="Z45" s="115" t="str">
        <f t="shared" si="8"/>
        <v>-</v>
      </c>
      <c r="AA45" s="115" t="str">
        <f t="shared" si="8"/>
        <v>-</v>
      </c>
    </row>
    <row r="46" spans="1:27" x14ac:dyDescent="0.3">
      <c r="A46" s="5" t="s">
        <v>61</v>
      </c>
      <c r="B46" s="25">
        <v>28360175.719999999</v>
      </c>
      <c r="C46" s="25">
        <v>0</v>
      </c>
      <c r="D46" s="18">
        <f t="shared" si="29"/>
        <v>0</v>
      </c>
      <c r="E46" s="109">
        <v>24249914.07</v>
      </c>
      <c r="F46" s="109">
        <v>0</v>
      </c>
      <c r="G46" s="18">
        <f t="shared" si="30"/>
        <v>0</v>
      </c>
      <c r="H46" s="104">
        <v>27747777.77</v>
      </c>
      <c r="I46" s="104">
        <v>0</v>
      </c>
      <c r="J46" s="18">
        <f t="shared" si="31"/>
        <v>0</v>
      </c>
      <c r="K46" s="120">
        <v>0</v>
      </c>
      <c r="L46" s="120">
        <v>0</v>
      </c>
      <c r="M46" s="18" t="str">
        <f t="shared" si="32"/>
        <v>-</v>
      </c>
      <c r="N46" s="122">
        <v>0</v>
      </c>
      <c r="O46" s="122">
        <v>0</v>
      </c>
      <c r="P46" s="18" t="str">
        <f t="shared" si="33"/>
        <v>-</v>
      </c>
      <c r="Q46" s="120">
        <v>28313435.23</v>
      </c>
      <c r="R46" s="139">
        <v>0</v>
      </c>
      <c r="S46" s="18">
        <f t="shared" si="34"/>
        <v>0</v>
      </c>
      <c r="T46" s="1">
        <v>28459550.390000001</v>
      </c>
      <c r="U46" s="139">
        <v>0</v>
      </c>
      <c r="V46" s="18">
        <f t="shared" si="35"/>
        <v>0</v>
      </c>
      <c r="W46" s="1">
        <v>50795528.229999997</v>
      </c>
      <c r="X46" s="139">
        <v>0</v>
      </c>
      <c r="Y46" s="18">
        <f t="shared" si="36"/>
        <v>0</v>
      </c>
      <c r="Z46" s="115">
        <f t="shared" si="8"/>
        <v>78.483242124050975</v>
      </c>
      <c r="AA46" s="115" t="str">
        <f t="shared" si="8"/>
        <v>-</v>
      </c>
    </row>
    <row r="47" spans="1:27" x14ac:dyDescent="0.3">
      <c r="A47" s="5" t="s">
        <v>62</v>
      </c>
      <c r="B47" s="25">
        <v>2538485.79</v>
      </c>
      <c r="C47" s="25">
        <v>0</v>
      </c>
      <c r="D47" s="18">
        <f t="shared" si="29"/>
        <v>0</v>
      </c>
      <c r="E47" s="109">
        <v>5901117.2400000002</v>
      </c>
      <c r="F47" s="109">
        <v>0</v>
      </c>
      <c r="G47" s="18">
        <f t="shared" si="30"/>
        <v>0</v>
      </c>
      <c r="H47" s="104">
        <v>3043521.31</v>
      </c>
      <c r="I47" s="104">
        <v>0</v>
      </c>
      <c r="J47" s="18">
        <f t="shared" si="31"/>
        <v>0</v>
      </c>
      <c r="K47" s="120">
        <v>0</v>
      </c>
      <c r="L47" s="120">
        <v>0</v>
      </c>
      <c r="M47" s="18" t="str">
        <f t="shared" si="32"/>
        <v>-</v>
      </c>
      <c r="N47" s="122">
        <v>0</v>
      </c>
      <c r="O47" s="122">
        <v>0</v>
      </c>
      <c r="P47" s="18" t="str">
        <f t="shared" si="33"/>
        <v>-</v>
      </c>
      <c r="Q47" s="120">
        <v>2513731.48</v>
      </c>
      <c r="R47" s="139">
        <v>0</v>
      </c>
      <c r="S47" s="18">
        <f t="shared" si="34"/>
        <v>0</v>
      </c>
      <c r="T47" s="1">
        <v>3427522.9</v>
      </c>
      <c r="U47" s="139">
        <v>0</v>
      </c>
      <c r="V47" s="18">
        <f t="shared" si="35"/>
        <v>0</v>
      </c>
      <c r="W47" s="1">
        <v>3106542.47</v>
      </c>
      <c r="X47" s="139">
        <v>0</v>
      </c>
      <c r="Y47" s="18">
        <f t="shared" si="36"/>
        <v>0</v>
      </c>
      <c r="Z47" s="115">
        <f t="shared" si="8"/>
        <v>-9.3647931571806566</v>
      </c>
      <c r="AA47" s="115" t="str">
        <f t="shared" si="8"/>
        <v>-</v>
      </c>
    </row>
    <row r="48" spans="1:27" x14ac:dyDescent="0.3">
      <c r="A48" s="5" t="s">
        <v>63</v>
      </c>
      <c r="B48" s="25">
        <f>SUM(B23:B30)</f>
        <v>199955371.88999999</v>
      </c>
      <c r="C48" s="25">
        <f>SUM(C23:C30)</f>
        <v>151666704.05999997</v>
      </c>
      <c r="D48" s="18">
        <f t="shared" si="29"/>
        <v>75.850277302594947</v>
      </c>
      <c r="E48" s="109">
        <v>209163688.16</v>
      </c>
      <c r="F48" s="109">
        <v>149063683.18000001</v>
      </c>
      <c r="G48" s="18">
        <f t="shared" si="30"/>
        <v>71.266520728958255</v>
      </c>
      <c r="H48" s="104">
        <v>212658802.94999999</v>
      </c>
      <c r="I48" s="104">
        <v>156990211.06</v>
      </c>
      <c r="J48" s="18">
        <f t="shared" si="31"/>
        <v>73.822578177923489</v>
      </c>
      <c r="K48" s="120">
        <v>197807827.00999999</v>
      </c>
      <c r="L48" s="120">
        <v>152090171.74999997</v>
      </c>
      <c r="M48" s="18">
        <f t="shared" si="32"/>
        <v>76.887843139953802</v>
      </c>
      <c r="N48" s="120">
        <f>SUM(N23:N30)</f>
        <v>208850370.03999999</v>
      </c>
      <c r="O48" s="122">
        <v>153207184.72</v>
      </c>
      <c r="P48" s="18">
        <f t="shared" si="33"/>
        <v>73.357392036536524</v>
      </c>
      <c r="Q48" s="120">
        <f>SUM(Q23:Q30)</f>
        <v>219750389.50999999</v>
      </c>
      <c r="R48" s="122">
        <v>158749487.15000001</v>
      </c>
      <c r="S48" s="18">
        <f t="shared" si="34"/>
        <v>72.240821735961447</v>
      </c>
      <c r="T48" s="120">
        <f t="shared" ref="T48:U48" si="37">SUM(T23:T30)</f>
        <v>229636852.29000002</v>
      </c>
      <c r="U48" s="120">
        <f t="shared" si="37"/>
        <v>170410076.33999997</v>
      </c>
      <c r="V48" s="18">
        <f t="shared" si="35"/>
        <v>74.20850557766542</v>
      </c>
      <c r="W48" s="120">
        <v>251518403.87</v>
      </c>
      <c r="X48" s="120">
        <v>196267504.94000003</v>
      </c>
      <c r="Y48" s="18">
        <f t="shared" si="36"/>
        <v>78.033059179813733</v>
      </c>
      <c r="Z48" s="115">
        <f t="shared" si="8"/>
        <v>9.5287630716896388</v>
      </c>
      <c r="AA48" s="115">
        <f t="shared" si="8"/>
        <v>15.173650030183452</v>
      </c>
    </row>
    <row r="49" spans="1:27" x14ac:dyDescent="0.3">
      <c r="A49" s="5" t="s">
        <v>64</v>
      </c>
      <c r="B49" s="25">
        <f>SUM(B31:B35)</f>
        <v>35211515.010000005</v>
      </c>
      <c r="C49" s="25">
        <f>SUM(C31:C35)</f>
        <v>28151927.420000002</v>
      </c>
      <c r="D49" s="18">
        <f t="shared" si="29"/>
        <v>79.950912114985414</v>
      </c>
      <c r="E49" s="109">
        <v>31953269.539999999</v>
      </c>
      <c r="F49" s="109">
        <v>15641908.66</v>
      </c>
      <c r="G49" s="18">
        <f t="shared" si="30"/>
        <v>48.952451142500522</v>
      </c>
      <c r="H49" s="104">
        <v>29773845.690000001</v>
      </c>
      <c r="I49" s="104">
        <v>20384778.890000001</v>
      </c>
      <c r="J49" s="18">
        <f t="shared" si="31"/>
        <v>68.465387717269394</v>
      </c>
      <c r="K49" s="120">
        <v>21853487.650000002</v>
      </c>
      <c r="L49" s="120">
        <v>15505654.43592013</v>
      </c>
      <c r="M49" s="18">
        <f t="shared" si="32"/>
        <v>70.952768200000008</v>
      </c>
      <c r="N49" s="120">
        <f>SUM(N31:N35)</f>
        <v>24724295.829999998</v>
      </c>
      <c r="O49" s="120">
        <f>SUM(O31:O35)</f>
        <v>17683102.710000001</v>
      </c>
      <c r="P49" s="18">
        <f t="shared" si="33"/>
        <v>71.52115810126999</v>
      </c>
      <c r="Q49" s="120">
        <f>SUM(Q31:Q35)</f>
        <v>28215955.080000002</v>
      </c>
      <c r="R49" s="122">
        <v>21289166.280000001</v>
      </c>
      <c r="S49" s="18">
        <f t="shared" si="34"/>
        <v>75.450808663535767</v>
      </c>
      <c r="T49" s="120">
        <f>SUM(T31:T35)</f>
        <v>31879742.919999998</v>
      </c>
      <c r="U49" s="120">
        <f>SUM(U31:U35)</f>
        <v>24091833.550000001</v>
      </c>
      <c r="V49" s="18">
        <f t="shared" si="35"/>
        <v>75.570978130083375</v>
      </c>
      <c r="W49" s="120">
        <v>80187398.709999993</v>
      </c>
      <c r="X49" s="120">
        <v>62534912.149999999</v>
      </c>
      <c r="Y49" s="18">
        <f t="shared" si="36"/>
        <v>77.985959335280711</v>
      </c>
      <c r="Z49" s="115">
        <f t="shared" si="8"/>
        <v>151.53088251440641</v>
      </c>
      <c r="AA49" s="115">
        <f t="shared" si="8"/>
        <v>159.56891998367638</v>
      </c>
    </row>
    <row r="50" spans="1:27" x14ac:dyDescent="0.3">
      <c r="A50" s="5" t="s">
        <v>65</v>
      </c>
      <c r="B50" s="25">
        <f>SUM(B36:B39)</f>
        <v>2019661.5</v>
      </c>
      <c r="C50" s="25">
        <f>SUM(C36:C39)</f>
        <v>2019661.5</v>
      </c>
      <c r="D50" s="18">
        <f t="shared" si="29"/>
        <v>100</v>
      </c>
      <c r="E50" s="109">
        <v>2142658.6</v>
      </c>
      <c r="F50" s="109">
        <v>2142658.6</v>
      </c>
      <c r="G50" s="18">
        <f t="shared" si="30"/>
        <v>100</v>
      </c>
      <c r="H50" s="104">
        <v>2273146.6800000002</v>
      </c>
      <c r="I50" s="104">
        <v>2273146.6800000002</v>
      </c>
      <c r="J50" s="18">
        <f t="shared" si="31"/>
        <v>100</v>
      </c>
      <c r="K50" s="120">
        <v>2411582.2999999998</v>
      </c>
      <c r="L50" s="120">
        <v>2411582.2999999998</v>
      </c>
      <c r="M50" s="18">
        <f t="shared" si="32"/>
        <v>100</v>
      </c>
      <c r="N50" s="120">
        <f t="shared" ref="N50:O50" si="38">SUM(N36:N39)</f>
        <v>2558446.79</v>
      </c>
      <c r="O50" s="120">
        <f t="shared" si="38"/>
        <v>2558446.79</v>
      </c>
      <c r="P50" s="18">
        <f t="shared" si="33"/>
        <v>100</v>
      </c>
      <c r="Q50" s="120">
        <f>SUM(Q36:Q39)</f>
        <v>2714256.62</v>
      </c>
      <c r="R50" s="120">
        <f>SUM(R36:R39)</f>
        <v>2714256.62</v>
      </c>
      <c r="S50" s="18">
        <f t="shared" si="34"/>
        <v>100</v>
      </c>
      <c r="T50" s="120">
        <f>SUM(T36:T39)</f>
        <v>2879554.53</v>
      </c>
      <c r="U50" s="120">
        <f>SUM(U36:U39)</f>
        <v>2879554.53</v>
      </c>
      <c r="V50" s="18">
        <f t="shared" si="35"/>
        <v>100</v>
      </c>
      <c r="W50" s="120">
        <v>3054919.48</v>
      </c>
      <c r="X50" s="120">
        <v>3054919.4</v>
      </c>
      <c r="Y50" s="18">
        <f t="shared" si="36"/>
        <v>99.999997381273047</v>
      </c>
      <c r="Z50" s="115">
        <f t="shared" si="8"/>
        <v>6.0900027477513987</v>
      </c>
      <c r="AA50" s="115">
        <f t="shared" si="8"/>
        <v>6.0899999695439107</v>
      </c>
    </row>
    <row r="51" spans="1:27" x14ac:dyDescent="0.3">
      <c r="A51" s="5" t="s">
        <v>66</v>
      </c>
      <c r="B51" s="25">
        <f>SUM(B40:B44)</f>
        <v>693034.5</v>
      </c>
      <c r="C51" s="25">
        <f>SUM(C40:C44)</f>
        <v>693034.5</v>
      </c>
      <c r="D51" s="18">
        <f t="shared" si="29"/>
        <v>100</v>
      </c>
      <c r="E51" s="109">
        <v>898509.61</v>
      </c>
      <c r="F51" s="109">
        <v>681015.27</v>
      </c>
      <c r="G51" s="18">
        <f t="shared" si="30"/>
        <v>75.793877151742421</v>
      </c>
      <c r="H51" s="104">
        <v>934727.19</v>
      </c>
      <c r="I51" s="104">
        <v>934727.19</v>
      </c>
      <c r="J51" s="18">
        <f t="shared" si="31"/>
        <v>100</v>
      </c>
      <c r="K51" s="120">
        <v>3874743.49</v>
      </c>
      <c r="L51" s="120">
        <v>3874743.49</v>
      </c>
      <c r="M51" s="18">
        <f t="shared" si="32"/>
        <v>100</v>
      </c>
      <c r="N51" s="122">
        <v>280287.56</v>
      </c>
      <c r="O51" s="122">
        <v>280287.56</v>
      </c>
      <c r="P51" s="18">
        <f t="shared" si="33"/>
        <v>100</v>
      </c>
      <c r="Q51" s="120">
        <f t="shared" ref="Q51:R51" si="39">SUM(Q40:Q44)</f>
        <v>1239564.23</v>
      </c>
      <c r="R51" s="120">
        <f t="shared" si="39"/>
        <v>1239564.23</v>
      </c>
      <c r="S51" s="18">
        <f t="shared" si="34"/>
        <v>100</v>
      </c>
      <c r="T51" s="120">
        <f>SUM(T40:T44)</f>
        <v>322419.53000000003</v>
      </c>
      <c r="U51" s="120">
        <f>SUM(U40:U44)</f>
        <v>322419.53000000003</v>
      </c>
      <c r="V51" s="18">
        <f t="shared" si="35"/>
        <v>100</v>
      </c>
      <c r="W51" s="120">
        <v>333443.78000000003</v>
      </c>
      <c r="X51" s="120">
        <v>333443.78000000003</v>
      </c>
      <c r="Y51" s="18">
        <f t="shared" si="36"/>
        <v>100</v>
      </c>
      <c r="Z51" s="115">
        <f t="shared" si="8"/>
        <v>3.4192252559886782</v>
      </c>
      <c r="AA51" s="115">
        <f t="shared" si="8"/>
        <v>3.4192252559886782</v>
      </c>
    </row>
    <row r="52" spans="1:27" x14ac:dyDescent="0.3">
      <c r="A52" s="5" t="s">
        <v>67</v>
      </c>
      <c r="B52" s="25">
        <f>B45</f>
        <v>0</v>
      </c>
      <c r="C52" s="25">
        <f>C45</f>
        <v>0</v>
      </c>
      <c r="D52" s="18" t="str">
        <f t="shared" si="29"/>
        <v>-</v>
      </c>
      <c r="E52" s="109">
        <v>0</v>
      </c>
      <c r="F52" s="109">
        <v>0</v>
      </c>
      <c r="G52" s="18" t="str">
        <f t="shared" si="30"/>
        <v>-</v>
      </c>
      <c r="H52" s="104">
        <v>0</v>
      </c>
      <c r="I52" s="104">
        <v>0</v>
      </c>
      <c r="J52" s="18" t="str">
        <f t="shared" si="31"/>
        <v>-</v>
      </c>
      <c r="K52" s="120">
        <v>0</v>
      </c>
      <c r="L52" s="120">
        <v>0</v>
      </c>
      <c r="M52" s="18" t="str">
        <f t="shared" si="32"/>
        <v>-</v>
      </c>
      <c r="N52" s="120">
        <f t="shared" ref="N52:O52" si="40">N45</f>
        <v>0</v>
      </c>
      <c r="O52" s="120">
        <f t="shared" si="40"/>
        <v>0</v>
      </c>
      <c r="P52" s="18" t="str">
        <f t="shared" si="33"/>
        <v>-</v>
      </c>
      <c r="Q52" s="120">
        <f t="shared" ref="Q52:R52" si="41">Q45</f>
        <v>0</v>
      </c>
      <c r="R52" s="120">
        <f t="shared" si="41"/>
        <v>0</v>
      </c>
      <c r="S52" s="18" t="str">
        <f t="shared" si="34"/>
        <v>-</v>
      </c>
      <c r="T52" s="120">
        <f t="shared" ref="T52:U52" si="42">T45</f>
        <v>0</v>
      </c>
      <c r="U52" s="120">
        <f t="shared" si="42"/>
        <v>0</v>
      </c>
      <c r="V52" s="18" t="str">
        <f t="shared" si="35"/>
        <v>-</v>
      </c>
      <c r="W52" s="120">
        <v>0</v>
      </c>
      <c r="X52" s="120">
        <v>0</v>
      </c>
      <c r="Y52" s="18" t="str">
        <f t="shared" si="36"/>
        <v>-</v>
      </c>
      <c r="Z52" s="115" t="str">
        <f t="shared" si="8"/>
        <v>-</v>
      </c>
      <c r="AA52" s="115" t="str">
        <f t="shared" si="8"/>
        <v>-</v>
      </c>
    </row>
    <row r="53" spans="1:27" x14ac:dyDescent="0.3">
      <c r="A53" s="5" t="s">
        <v>68</v>
      </c>
      <c r="B53" s="25">
        <f>SUM(B46:B47)</f>
        <v>30898661.509999998</v>
      </c>
      <c r="C53" s="27">
        <v>25658545.739999998</v>
      </c>
      <c r="D53" s="18">
        <f t="shared" si="29"/>
        <v>83.040961925473383</v>
      </c>
      <c r="E53" s="109">
        <v>30151031.310000002</v>
      </c>
      <c r="F53" s="111">
        <v>26113041.98</v>
      </c>
      <c r="G53" s="18">
        <f t="shared" si="30"/>
        <v>86.607458668716419</v>
      </c>
      <c r="H53" s="104">
        <v>30791299.079999998</v>
      </c>
      <c r="I53" s="106">
        <v>25844903.559999999</v>
      </c>
      <c r="J53" s="18">
        <f t="shared" si="31"/>
        <v>83.935736172908491</v>
      </c>
      <c r="K53" s="122">
        <v>58209610.68</v>
      </c>
      <c r="L53" s="122">
        <v>51963587.310000002</v>
      </c>
      <c r="M53" s="18">
        <f t="shared" si="32"/>
        <v>89.269772985879044</v>
      </c>
      <c r="N53" s="122">
        <v>27267528.02</v>
      </c>
      <c r="O53" s="122">
        <v>22355269.399999999</v>
      </c>
      <c r="P53" s="18">
        <f t="shared" si="33"/>
        <v>81.984950684209466</v>
      </c>
      <c r="Q53" s="120">
        <f>SUM(Q46:Q47)</f>
        <v>30827166.710000001</v>
      </c>
      <c r="R53" s="122">
        <v>25642585.109999999</v>
      </c>
      <c r="S53" s="18">
        <f t="shared" si="34"/>
        <v>83.18177713582034</v>
      </c>
      <c r="T53" s="120">
        <f>SUM(T46:T47)</f>
        <v>31887073.289999999</v>
      </c>
      <c r="U53" s="122">
        <v>25478762.649999999</v>
      </c>
      <c r="V53" s="18">
        <f t="shared" si="35"/>
        <v>79.903108128742289</v>
      </c>
      <c r="W53" s="120">
        <v>53902070.699999996</v>
      </c>
      <c r="X53" s="122">
        <v>47793919.729999997</v>
      </c>
      <c r="Y53" s="18">
        <f t="shared" si="36"/>
        <v>88.668058776450678</v>
      </c>
      <c r="Z53" s="115">
        <f t="shared" si="8"/>
        <v>69.04050807605492</v>
      </c>
      <c r="AA53" s="115">
        <f t="shared" si="8"/>
        <v>87.583362608858863</v>
      </c>
    </row>
    <row r="54" spans="1:27" x14ac:dyDescent="0.3">
      <c r="A54" s="5" t="s">
        <v>69</v>
      </c>
      <c r="B54" s="17">
        <f>SUM(B48:B53)</f>
        <v>268778244.40999997</v>
      </c>
      <c r="C54" s="17">
        <f>SUM(C48:C53)</f>
        <v>208189873.21999997</v>
      </c>
      <c r="D54" s="18">
        <f t="shared" si="29"/>
        <v>77.457858866889083</v>
      </c>
      <c r="E54" s="22">
        <f>SUM(E48:E53)</f>
        <v>274309157.22000003</v>
      </c>
      <c r="F54" s="17">
        <f>SUM(F48:F53)</f>
        <v>193642307.69</v>
      </c>
      <c r="G54" s="18">
        <f t="shared" si="30"/>
        <v>70.592724520201116</v>
      </c>
      <c r="H54" s="22">
        <f>SUM(H48:H53)</f>
        <v>276431821.58999997</v>
      </c>
      <c r="I54" s="17">
        <f>SUM(I48:I53)</f>
        <v>206427767.38</v>
      </c>
      <c r="J54" s="18">
        <f t="shared" si="31"/>
        <v>74.675833698397767</v>
      </c>
      <c r="K54" s="22">
        <f>SUM(K48:K53)</f>
        <v>284157251.13</v>
      </c>
      <c r="L54" s="125">
        <f>SUM(L48:L53)</f>
        <v>225845739.28592011</v>
      </c>
      <c r="M54" s="18">
        <f t="shared" si="32"/>
        <v>79.479139943747995</v>
      </c>
      <c r="N54" s="22">
        <f>SUM(N48:N53)</f>
        <v>263680928.24000001</v>
      </c>
      <c r="O54" s="125">
        <f>SUM(O48:O53)</f>
        <v>196084291.18000001</v>
      </c>
      <c r="P54" s="18">
        <f t="shared" si="33"/>
        <v>74.364229710813916</v>
      </c>
      <c r="Q54" s="22">
        <f>SUM(Q48:Q53)</f>
        <v>282747332.14999998</v>
      </c>
      <c r="R54" s="125">
        <f>SUM(R48:R53)</f>
        <v>209635059.38999999</v>
      </c>
      <c r="S54" s="18">
        <f t="shared" si="34"/>
        <v>74.142188290847159</v>
      </c>
      <c r="T54" s="22">
        <f>SUM(T48:T53)</f>
        <v>296605642.56</v>
      </c>
      <c r="U54" s="125">
        <f>SUM(U48:U53)</f>
        <v>223182646.59999999</v>
      </c>
      <c r="V54" s="18">
        <f t="shared" si="35"/>
        <v>75.245583554551771</v>
      </c>
      <c r="W54" s="22">
        <v>388996236.53999996</v>
      </c>
      <c r="X54" s="17">
        <v>309984700.00000006</v>
      </c>
      <c r="Y54" s="18">
        <f t="shared" si="36"/>
        <v>79.688354508829491</v>
      </c>
      <c r="Z54" s="115">
        <f t="shared" si="8"/>
        <v>31.149304235272723</v>
      </c>
      <c r="AA54" s="115">
        <f t="shared" si="8"/>
        <v>38.892832719011238</v>
      </c>
    </row>
    <row r="55" spans="1:27" x14ac:dyDescent="0.3">
      <c r="A55" s="13" t="s">
        <v>70</v>
      </c>
      <c r="B55" s="14">
        <f>B54-B53</f>
        <v>237879582.89999998</v>
      </c>
      <c r="C55" s="14">
        <f>C54-C53</f>
        <v>182531327.47999996</v>
      </c>
      <c r="D55" s="19">
        <f t="shared" si="29"/>
        <v>76.732658286496431</v>
      </c>
      <c r="E55" s="23">
        <f>E54-E53</f>
        <v>244158125.91000003</v>
      </c>
      <c r="F55" s="14">
        <f>F54-F53</f>
        <v>167529265.71000001</v>
      </c>
      <c r="G55" s="19">
        <f t="shared" si="30"/>
        <v>68.615068650942035</v>
      </c>
      <c r="H55" s="23">
        <f>H54-H53</f>
        <v>245640522.50999999</v>
      </c>
      <c r="I55" s="14">
        <f>I54-I53</f>
        <v>180582863.81999999</v>
      </c>
      <c r="J55" s="19">
        <f t="shared" si="31"/>
        <v>73.515095137712265</v>
      </c>
      <c r="K55" s="23">
        <f>K54-K53</f>
        <v>225947640.44999999</v>
      </c>
      <c r="L55" s="14">
        <f>L54-L53</f>
        <v>173882151.97592011</v>
      </c>
      <c r="M55" s="19">
        <f t="shared" si="32"/>
        <v>76.956834614255925</v>
      </c>
      <c r="N55" s="23">
        <f>N54-N53</f>
        <v>236413400.22</v>
      </c>
      <c r="O55" s="14">
        <f>O54-O53</f>
        <v>173729021.78</v>
      </c>
      <c r="P55" s="19">
        <f t="shared" si="33"/>
        <v>73.485268440085221</v>
      </c>
      <c r="Q55" s="23">
        <f>Q54-Q53</f>
        <v>251920165.43999997</v>
      </c>
      <c r="R55" s="14">
        <f>R54-R53</f>
        <v>183992474.27999997</v>
      </c>
      <c r="S55" s="19">
        <f t="shared" si="34"/>
        <v>73.03602470990819</v>
      </c>
      <c r="T55" s="23">
        <f>T54-T53</f>
        <v>264718569.27000001</v>
      </c>
      <c r="U55" s="14">
        <f>U54-U53</f>
        <v>197703883.94999999</v>
      </c>
      <c r="V55" s="19">
        <f t="shared" si="35"/>
        <v>74.684554428953447</v>
      </c>
      <c r="W55" s="23">
        <v>335094165.83999997</v>
      </c>
      <c r="X55" s="14">
        <v>262190780.27000007</v>
      </c>
      <c r="Y55" s="19">
        <f t="shared" si="36"/>
        <v>78.243910816158575</v>
      </c>
      <c r="Z55" s="117">
        <f t="shared" si="8"/>
        <v>26.585062303740486</v>
      </c>
      <c r="AA55" s="117">
        <f t="shared" si="8"/>
        <v>32.6179208175339</v>
      </c>
    </row>
    <row r="56" spans="1:27" s="112" customFormat="1" x14ac:dyDescent="0.3">
      <c r="A56" s="119" t="s">
        <v>71</v>
      </c>
      <c r="B56" s="121">
        <f>B14-B48</f>
        <v>24453370.170000017</v>
      </c>
      <c r="C56" s="121">
        <f>C14-C48</f>
        <v>13109732.400000036</v>
      </c>
      <c r="D56" s="20"/>
      <c r="E56" s="121">
        <f>E14-E48</f>
        <v>53895465.00999999</v>
      </c>
      <c r="F56" s="121">
        <f>F14-F48</f>
        <v>27455280.629999995</v>
      </c>
      <c r="G56" s="20"/>
      <c r="H56" s="121">
        <f>H14-H48</f>
        <v>43096233.569999993</v>
      </c>
      <c r="I56" s="121">
        <f>I14-I48</f>
        <v>22470430.23999998</v>
      </c>
      <c r="J56" s="20"/>
      <c r="K56" s="121">
        <f>K14-K48</f>
        <v>68810530.560000002</v>
      </c>
      <c r="L56" s="121">
        <f>L14-L48</f>
        <v>32533298.26000002</v>
      </c>
      <c r="M56" s="20"/>
      <c r="N56" s="121">
        <f>N14-N48</f>
        <v>68178907.630000025</v>
      </c>
      <c r="O56" s="121">
        <f>O14-O48</f>
        <v>42198325.680000007</v>
      </c>
      <c r="P56" s="20"/>
      <c r="Q56" s="121">
        <f>Q14-Q48</f>
        <v>47515030.320000023</v>
      </c>
      <c r="R56" s="121">
        <f>R14-R48</f>
        <v>27013625.5</v>
      </c>
      <c r="S56" s="20"/>
      <c r="T56" s="121">
        <f>T14-T48</f>
        <v>49962838.48999995</v>
      </c>
      <c r="U56" s="121">
        <f>U14-U48</f>
        <v>25420225.200000018</v>
      </c>
      <c r="V56" s="20"/>
      <c r="W56" s="121">
        <f>W14-W48</f>
        <v>46751098.149999976</v>
      </c>
      <c r="X56" s="121">
        <f>X14-X48</f>
        <v>816645.25999999046</v>
      </c>
      <c r="Y56" s="20"/>
      <c r="Z56" s="115">
        <f t="shared" ref="Z56:AA59" si="43">IF(T56&gt;0,W56/T56*100-100,"-")</f>
        <v>-6.4282583557433384</v>
      </c>
      <c r="AA56" s="115">
        <f t="shared" si="43"/>
        <v>-96.787419255436063</v>
      </c>
    </row>
    <row r="57" spans="1:27" s="112" customFormat="1" x14ac:dyDescent="0.3">
      <c r="A57" s="119" t="s">
        <v>72</v>
      </c>
      <c r="B57" s="121">
        <f>B15-B49</f>
        <v>-19816642.450000003</v>
      </c>
      <c r="C57" s="121">
        <f>C15-C49</f>
        <v>-22448480.220000003</v>
      </c>
      <c r="D57" s="20"/>
      <c r="E57" s="121">
        <f>E15-E49</f>
        <v>-16592350.149999999</v>
      </c>
      <c r="F57" s="121">
        <f>F15-F49</f>
        <v>-5320171.9600000009</v>
      </c>
      <c r="G57" s="20"/>
      <c r="H57" s="121">
        <f>H15-H49</f>
        <v>9550030.5400000028</v>
      </c>
      <c r="I57" s="121">
        <f>I15-I49</f>
        <v>-7293783.4400000013</v>
      </c>
      <c r="J57" s="20"/>
      <c r="K57" s="121">
        <f>K15-K49</f>
        <v>-6186872.9600000046</v>
      </c>
      <c r="L57" s="121">
        <f>L15-L49</f>
        <v>-3929375.9659201298</v>
      </c>
      <c r="M57" s="20"/>
      <c r="N57" s="121">
        <f>N15-N49</f>
        <v>5761968.0000000037</v>
      </c>
      <c r="O57" s="121">
        <f>O15-O49</f>
        <v>-9124519.3000000007</v>
      </c>
      <c r="P57" s="20"/>
      <c r="Q57" s="121">
        <f>Q15-Q49</f>
        <v>-15511063.270000003</v>
      </c>
      <c r="R57" s="121">
        <f>R15-R49</f>
        <v>-15330752.720000001</v>
      </c>
      <c r="S57" s="20"/>
      <c r="T57" s="121">
        <f>T15-T49</f>
        <v>5091307.6099999957</v>
      </c>
      <c r="U57" s="121">
        <f>U15-U49</f>
        <v>4174288.570000004</v>
      </c>
      <c r="V57" s="20"/>
      <c r="W57" s="121">
        <f>W15-W49</f>
        <v>-23794059.499999993</v>
      </c>
      <c r="X57" s="121">
        <f>X15-X49</f>
        <v>-43933747.560000002</v>
      </c>
      <c r="Y57" s="20"/>
      <c r="Z57" s="115">
        <f t="shared" si="43"/>
        <v>-567.34672745495368</v>
      </c>
      <c r="AA57" s="115">
        <f t="shared" si="43"/>
        <v>-1152.4846766882713</v>
      </c>
    </row>
    <row r="58" spans="1:27" s="112" customFormat="1" x14ac:dyDescent="0.3">
      <c r="A58" s="119" t="s">
        <v>358</v>
      </c>
      <c r="B58" s="121">
        <f>SUM(B14:B16)-SUM(B48:B50)</f>
        <v>2617066.2200000286</v>
      </c>
      <c r="C58" s="121">
        <f>SUM(C14:C16)-SUM(C48:C50)</f>
        <v>-11358409.319999963</v>
      </c>
      <c r="D58" s="20"/>
      <c r="E58" s="121">
        <f>SUM(E14:E16)-SUM(E48:E50)</f>
        <v>35496405.630000025</v>
      </c>
      <c r="F58" s="121">
        <f>SUM(F14:F16)-SUM(F48:F50)</f>
        <v>20328399.439999998</v>
      </c>
      <c r="G58" s="20"/>
      <c r="H58" s="121">
        <f>SUM(H14:H16)-SUM(H48:H50)</f>
        <v>51269199.569999993</v>
      </c>
      <c r="I58" s="121">
        <f>SUM(I14:I16)-SUM(I48:I50)</f>
        <v>13799582.259999961</v>
      </c>
      <c r="J58" s="20"/>
      <c r="K58" s="121">
        <f>SUM(K14:K16)-SUM(K48:K50)</f>
        <v>61317859.439999968</v>
      </c>
      <c r="L58" s="121">
        <f>SUM(L14:L16)-SUM(L48:L50)</f>
        <v>27298124.134079874</v>
      </c>
      <c r="M58" s="20"/>
      <c r="N58" s="121">
        <f>SUM(N14:N16)-SUM(N48:N50)</f>
        <v>73508154.679999977</v>
      </c>
      <c r="O58" s="121">
        <f>SUM(O14:O16)-SUM(O48:O50)</f>
        <v>32641085.430000007</v>
      </c>
      <c r="P58" s="20"/>
      <c r="Q58" s="121">
        <f>SUM(Q14:Q16)-SUM(Q48:Q50)</f>
        <v>30885706.199999958</v>
      </c>
      <c r="R58" s="121">
        <f>SUM(R14:R16)-SUM(R48:R50)</f>
        <v>10564611.930000007</v>
      </c>
      <c r="S58" s="20"/>
      <c r="T58" s="121">
        <f>SUM(T14:T16)-SUM(T48:T50)</f>
        <v>54862238.259999931</v>
      </c>
      <c r="U58" s="121">
        <f>SUM(U14:U16)-SUM(U48:U50)</f>
        <v>29402605.930000007</v>
      </c>
      <c r="V58" s="20"/>
      <c r="W58" s="121">
        <f>SUM(W14:W16)-SUM(W48:W50)</f>
        <v>22563646.219999969</v>
      </c>
      <c r="X58" s="121">
        <f>SUM(X14:X16)-SUM(X48:X50)</f>
        <v>-43510494.650000006</v>
      </c>
      <c r="Y58" s="20"/>
      <c r="Z58" s="115">
        <f t="shared" si="43"/>
        <v>-58.872173400823264</v>
      </c>
      <c r="AA58" s="115">
        <f t="shared" si="43"/>
        <v>-247.98176309129616</v>
      </c>
    </row>
    <row r="59" spans="1:27" s="112" customFormat="1" x14ac:dyDescent="0.3">
      <c r="A59" s="119" t="s">
        <v>359</v>
      </c>
      <c r="B59" s="121">
        <f>B21-B55</f>
        <v>1924031.7200000286</v>
      </c>
      <c r="C59" s="121">
        <f>C21-C55</f>
        <v>-12051443.819999993</v>
      </c>
      <c r="D59" s="103"/>
      <c r="E59" s="121">
        <f>E21-E55</f>
        <v>37162896.019999981</v>
      </c>
      <c r="F59" s="121">
        <f>F21-F55</f>
        <v>22212384.169999987</v>
      </c>
      <c r="G59" s="103"/>
      <c r="H59" s="121">
        <f>H21-H55</f>
        <v>50334472.379999995</v>
      </c>
      <c r="I59" s="121">
        <f>I21-I55</f>
        <v>12864855.069999963</v>
      </c>
      <c r="J59" s="103"/>
      <c r="K59" s="121">
        <f>K21-K55</f>
        <v>60345082.779999971</v>
      </c>
      <c r="L59" s="121">
        <f>L21-L55</f>
        <v>26325347.474079877</v>
      </c>
      <c r="M59" s="103"/>
      <c r="N59" s="121">
        <f>N21-N55</f>
        <v>73227867.119999975</v>
      </c>
      <c r="O59" s="121">
        <f>O21-O55</f>
        <v>32360797.870000005</v>
      </c>
      <c r="P59" s="103"/>
      <c r="Q59" s="121">
        <f>Q21-Q55</f>
        <v>29646141.969999999</v>
      </c>
      <c r="R59" s="121">
        <f>R21-R55</f>
        <v>9325047.7000000477</v>
      </c>
      <c r="S59" s="103"/>
      <c r="T59" s="121">
        <f>T21-T55</f>
        <v>54539818.72999993</v>
      </c>
      <c r="U59" s="121">
        <f>U21-U55</f>
        <v>29080186.400000006</v>
      </c>
      <c r="V59" s="103"/>
      <c r="W59" s="121">
        <f>W21-W55</f>
        <v>22230202.439999998</v>
      </c>
      <c r="X59" s="121">
        <f>X21-X55</f>
        <v>-43843938.430000037</v>
      </c>
      <c r="Y59" s="103"/>
      <c r="Z59" s="115">
        <f t="shared" si="43"/>
        <v>-59.240417446103187</v>
      </c>
      <c r="AA59" s="115">
        <f t="shared" si="43"/>
        <v>-250.7691107165669</v>
      </c>
    </row>
    <row r="60" spans="1:27" s="112" customFormat="1" x14ac:dyDescent="0.3">
      <c r="A60" s="119" t="s">
        <v>360</v>
      </c>
      <c r="C60" s="114">
        <f>SUM(C14:C16)/SUM(B14:B16)*100</f>
        <v>71.091457036687103</v>
      </c>
      <c r="D60" s="103"/>
      <c r="F60" s="114">
        <f>SUM(F14:F16)/SUM(E14:E16)*100</f>
        <v>67.147123346093295</v>
      </c>
      <c r="G60" s="103"/>
      <c r="I60" s="114">
        <f>SUM(I14:I16)/SUM(H14:H16)*100</f>
        <v>65.359480439182164</v>
      </c>
      <c r="J60" s="103"/>
      <c r="L60" s="114">
        <f>SUM(L14:L16)/SUM(K14:K16)*100</f>
        <v>69.623136310595626</v>
      </c>
      <c r="M60" s="103"/>
      <c r="O60" s="114">
        <f>SUM(O14:O16)/SUM(N14:N16)*100</f>
        <v>66.557607589076355</v>
      </c>
      <c r="P60" s="103"/>
      <c r="R60" s="114">
        <f>SUM(R14:R16)/SUM(Q14:Q16)*100</f>
        <v>68.657902913967135</v>
      </c>
      <c r="S60" s="103"/>
      <c r="U60" s="114">
        <f>SUM(U14:U16)/SUM(T14:T16)*100</f>
        <v>71.034647443624891</v>
      </c>
      <c r="V60" s="103"/>
      <c r="X60" s="114">
        <f>SUM(X14:X16)/SUM(W14:W16)*100</f>
        <v>61.106059710123958</v>
      </c>
      <c r="Y60" s="103"/>
    </row>
    <row r="61" spans="1:27" s="112" customFormat="1" x14ac:dyDescent="0.3">
      <c r="A61" s="119" t="s">
        <v>361</v>
      </c>
      <c r="C61" s="114">
        <f>SUM(C48:C50)/SUM(B48:B50)*100</f>
        <v>76.66467352665434</v>
      </c>
      <c r="D61" s="103"/>
      <c r="F61" s="114">
        <f>SUM(F48:F50)/SUM(E48:E50)*100</f>
        <v>68.588552830007899</v>
      </c>
      <c r="G61" s="103"/>
      <c r="I61" s="114">
        <f>SUM(I48:I50)/SUM(H48:H50)*100</f>
        <v>73.413928098872944</v>
      </c>
      <c r="J61" s="103"/>
      <c r="L61" s="114">
        <f>SUM(L48:L50)/SUM(K48:K50)*100</f>
        <v>76.554775847564144</v>
      </c>
      <c r="M61" s="103"/>
      <c r="O61" s="114">
        <f>SUM(O48:O50)/SUM(N48:N50)*100</f>
        <v>73.453795728235249</v>
      </c>
      <c r="P61" s="103"/>
      <c r="R61" s="114">
        <f>SUM(R48:R50)/SUM(Q48:Q50)*100</f>
        <v>72.902693374707667</v>
      </c>
      <c r="S61" s="103"/>
      <c r="U61" s="114">
        <f>SUM(U48:U50)/SUM(T48:T50)*100</f>
        <v>74.65368335132699</v>
      </c>
      <c r="V61" s="103"/>
      <c r="X61" s="114">
        <f>SUM(X48:X50)/SUM(W48:W50)*100</f>
        <v>78.222240314999297</v>
      </c>
      <c r="Y61" s="103"/>
    </row>
  </sheetData>
  <mergeCells count="9">
    <mergeCell ref="Z1:AA1"/>
    <mergeCell ref="B1:D1"/>
    <mergeCell ref="E1:G1"/>
    <mergeCell ref="W1:Y1"/>
    <mergeCell ref="H1:J1"/>
    <mergeCell ref="K1:M1"/>
    <mergeCell ref="N1:P1"/>
    <mergeCell ref="Q1:S1"/>
    <mergeCell ref="T1:V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showGridLines="0" workbookViewId="0">
      <selection activeCell="L2" sqref="L2"/>
    </sheetView>
  </sheetViews>
  <sheetFormatPr defaultRowHeight="14.4" x14ac:dyDescent="0.3"/>
  <cols>
    <col min="1" max="2" width="10.33203125" bestFit="1" customWidth="1"/>
    <col min="3" max="3" width="50.6640625" bestFit="1" customWidth="1"/>
    <col min="4" max="4" width="7.44140625" customWidth="1"/>
    <col min="5" max="7" width="7.5546875" customWidth="1"/>
    <col min="8" max="12" width="7.5546875" style="112" customWidth="1"/>
  </cols>
  <sheetData>
    <row r="1" spans="1:12" ht="23.25" customHeight="1" x14ac:dyDescent="0.3">
      <c r="A1" s="68" t="s">
        <v>311</v>
      </c>
      <c r="B1" s="68" t="s">
        <v>312</v>
      </c>
      <c r="C1" s="68" t="s">
        <v>322</v>
      </c>
      <c r="D1" s="40" t="s">
        <v>211</v>
      </c>
      <c r="E1" s="40">
        <v>2016</v>
      </c>
      <c r="F1" s="40">
        <v>2017</v>
      </c>
      <c r="G1" s="40">
        <v>2018</v>
      </c>
      <c r="H1" s="128">
        <v>2019</v>
      </c>
      <c r="I1" s="128">
        <v>2020</v>
      </c>
      <c r="J1" s="128">
        <v>2021</v>
      </c>
      <c r="K1" s="128">
        <v>2022</v>
      </c>
      <c r="L1" s="128">
        <v>2023</v>
      </c>
    </row>
    <row r="2" spans="1:12" ht="29.25" customHeight="1" x14ac:dyDescent="0.3">
      <c r="A2" s="69" t="s">
        <v>313</v>
      </c>
      <c r="B2" s="69" t="s">
        <v>78</v>
      </c>
      <c r="C2" s="71" t="s">
        <v>321</v>
      </c>
      <c r="D2" s="83" t="s">
        <v>328</v>
      </c>
      <c r="E2" s="76">
        <f>Piano_indicatori!D3</f>
        <v>24.54</v>
      </c>
      <c r="F2" s="76">
        <f>Piano_indicatori!E3</f>
        <v>19.64</v>
      </c>
      <c r="G2" s="76">
        <f>Piano_indicatori!F3</f>
        <v>21.22</v>
      </c>
      <c r="H2" s="76">
        <f>Piano_indicatori!G3</f>
        <v>20.59</v>
      </c>
      <c r="I2" s="76">
        <f>Piano_indicatori!H3</f>
        <v>18.239999999999998</v>
      </c>
      <c r="J2" s="76">
        <f>Piano_indicatori!I3</f>
        <v>18.440000000000001</v>
      </c>
      <c r="K2" s="76">
        <f>Piano_indicatori!J3</f>
        <v>18.04</v>
      </c>
      <c r="L2" s="76">
        <f>Piano_indicatori!K3</f>
        <v>19.350000000000001</v>
      </c>
    </row>
    <row r="3" spans="1:12" ht="29.25" customHeight="1" x14ac:dyDescent="0.3">
      <c r="A3" s="70" t="s">
        <v>314</v>
      </c>
      <c r="B3" s="70" t="s">
        <v>95</v>
      </c>
      <c r="C3" s="72" t="s">
        <v>96</v>
      </c>
      <c r="D3" s="84" t="s">
        <v>329</v>
      </c>
      <c r="E3" s="77">
        <f>Piano_indicatori!D12</f>
        <v>55.2</v>
      </c>
      <c r="F3" s="77">
        <f>Piano_indicatori!E12</f>
        <v>63.62</v>
      </c>
      <c r="G3" s="77">
        <f>Piano_indicatori!F12</f>
        <v>51.13</v>
      </c>
      <c r="H3" s="77">
        <f>Piano_indicatori!G12</f>
        <v>59.88</v>
      </c>
      <c r="I3" s="77">
        <f>Piano_indicatori!H12</f>
        <v>50.05</v>
      </c>
      <c r="J3" s="77">
        <f>Piano_indicatori!I12</f>
        <v>50.46</v>
      </c>
      <c r="K3" s="77">
        <f>Piano_indicatori!J12</f>
        <v>51.43</v>
      </c>
      <c r="L3" s="77">
        <f>Piano_indicatori!K12</f>
        <v>49.63</v>
      </c>
    </row>
    <row r="4" spans="1:12" ht="29.25" customHeight="1" x14ac:dyDescent="0.3">
      <c r="A4" s="69" t="s">
        <v>315</v>
      </c>
      <c r="B4" s="69" t="s">
        <v>100</v>
      </c>
      <c r="C4" s="73" t="s">
        <v>324</v>
      </c>
      <c r="D4" s="83" t="s">
        <v>330</v>
      </c>
      <c r="E4" s="78">
        <f>Piano_indicatori!D15</f>
        <v>0</v>
      </c>
      <c r="F4" s="78">
        <f>Piano_indicatori!E15</f>
        <v>0</v>
      </c>
      <c r="G4" s="78">
        <f>Piano_indicatori!F15</f>
        <v>0</v>
      </c>
      <c r="H4" s="78">
        <f>Piano_indicatori!G15</f>
        <v>0</v>
      </c>
      <c r="I4" s="78">
        <f>Piano_indicatori!H15</f>
        <v>0</v>
      </c>
      <c r="J4" s="78">
        <f>Piano_indicatori!I15</f>
        <v>0</v>
      </c>
      <c r="K4" s="78">
        <f>Piano_indicatori!J15</f>
        <v>0</v>
      </c>
      <c r="L4" s="78">
        <f>Piano_indicatori!K15</f>
        <v>0</v>
      </c>
    </row>
    <row r="5" spans="1:12" ht="29.25" customHeight="1" x14ac:dyDescent="0.3">
      <c r="A5" s="70" t="s">
        <v>316</v>
      </c>
      <c r="B5" s="70" t="s">
        <v>165</v>
      </c>
      <c r="C5" s="74" t="s">
        <v>325</v>
      </c>
      <c r="D5" s="85" t="s">
        <v>331</v>
      </c>
      <c r="E5" s="79">
        <f>Piano_indicatori!D51</f>
        <v>0.98</v>
      </c>
      <c r="F5" s="79">
        <f>Piano_indicatori!E51</f>
        <v>0.9</v>
      </c>
      <c r="G5" s="79">
        <f>Piano_indicatori!F51</f>
        <v>0.88</v>
      </c>
      <c r="H5" s="79">
        <f>Piano_indicatori!G51</f>
        <v>1.9</v>
      </c>
      <c r="I5" s="79">
        <f>Piano_indicatori!H51</f>
        <v>0.47</v>
      </c>
      <c r="J5" s="79">
        <f>Piano_indicatori!I51</f>
        <v>0.81</v>
      </c>
      <c r="K5" s="79">
        <f>Piano_indicatori!J51</f>
        <v>0.42</v>
      </c>
      <c r="L5" s="79">
        <f>Piano_indicatori!K51</f>
        <v>0.79</v>
      </c>
    </row>
    <row r="6" spans="1:12" ht="29.25" customHeight="1" x14ac:dyDescent="0.3">
      <c r="A6" s="69" t="s">
        <v>317</v>
      </c>
      <c r="B6" s="69" t="s">
        <v>185</v>
      </c>
      <c r="C6" s="87" t="s">
        <v>186</v>
      </c>
      <c r="D6" s="86" t="s">
        <v>332</v>
      </c>
      <c r="E6" s="80">
        <f>Piano_indicatori!D62</f>
        <v>0</v>
      </c>
      <c r="F6" s="80">
        <f>Piano_indicatori!E62</f>
        <v>0</v>
      </c>
      <c r="G6" s="80">
        <f>Piano_indicatori!F62</f>
        <v>0</v>
      </c>
      <c r="H6" s="80">
        <f>Piano_indicatori!G62</f>
        <v>0</v>
      </c>
      <c r="I6" s="80">
        <f>Piano_indicatori!H62</f>
        <v>0.57999999999999996</v>
      </c>
      <c r="J6" s="80">
        <f>Piano_indicatori!I62</f>
        <v>0.56999999999999995</v>
      </c>
      <c r="K6" s="80">
        <f>Piano_indicatori!J62</f>
        <v>0.56000000000000005</v>
      </c>
      <c r="L6" s="80">
        <f>Piano_indicatori!K62</f>
        <v>0</v>
      </c>
    </row>
    <row r="7" spans="1:12" ht="29.25" customHeight="1" x14ac:dyDescent="0.3">
      <c r="A7" s="70" t="s">
        <v>318</v>
      </c>
      <c r="B7" s="70" t="s">
        <v>188</v>
      </c>
      <c r="C7" s="74" t="s">
        <v>189</v>
      </c>
      <c r="D7" s="84" t="s">
        <v>333</v>
      </c>
      <c r="E7" s="81">
        <f>Piano_indicatori!D64</f>
        <v>2.02</v>
      </c>
      <c r="F7" s="81">
        <f>Piano_indicatori!E64</f>
        <v>0.24</v>
      </c>
      <c r="G7" s="81">
        <f>Piano_indicatori!F64</f>
        <v>0</v>
      </c>
      <c r="H7" s="81">
        <f>Piano_indicatori!G64</f>
        <v>0</v>
      </c>
      <c r="I7" s="81">
        <f>Piano_indicatori!H64</f>
        <v>0.27</v>
      </c>
      <c r="J7" s="81">
        <f>Piano_indicatori!I64</f>
        <v>1.51</v>
      </c>
      <c r="K7" s="81">
        <f>Piano_indicatori!J64</f>
        <v>0.33</v>
      </c>
      <c r="L7" s="81">
        <f>Piano_indicatori!K64</f>
        <v>0.5</v>
      </c>
    </row>
    <row r="8" spans="1:12" ht="29.25" customHeight="1" x14ac:dyDescent="0.3">
      <c r="A8" s="69" t="s">
        <v>319</v>
      </c>
      <c r="B8" s="69" t="s">
        <v>323</v>
      </c>
      <c r="C8" s="73" t="s">
        <v>326</v>
      </c>
      <c r="D8" s="83" t="s">
        <v>334</v>
      </c>
      <c r="E8" s="78">
        <f>Piano_indicatori!D65+Piano_indicatori!D66</f>
        <v>1</v>
      </c>
      <c r="F8" s="78">
        <f>Piano_indicatori!E65+Piano_indicatori!E66</f>
        <v>0</v>
      </c>
      <c r="G8" s="78">
        <f>Piano_indicatori!F65+Piano_indicatori!F66</f>
        <v>0.37</v>
      </c>
      <c r="H8" s="78">
        <f>Piano_indicatori!G65+Piano_indicatori!G66</f>
        <v>0.36</v>
      </c>
      <c r="I8" s="78">
        <f>Piano_indicatori!H65+Piano_indicatori!H66</f>
        <v>0</v>
      </c>
      <c r="J8" s="78">
        <f>Piano_indicatori!I65+Piano_indicatori!I66</f>
        <v>0.05</v>
      </c>
      <c r="K8" s="78">
        <f>Piano_indicatori!J65+Piano_indicatori!J66</f>
        <v>0.01</v>
      </c>
      <c r="L8" s="78">
        <f>Piano_indicatori!K65+Piano_indicatori!K66</f>
        <v>0.01</v>
      </c>
    </row>
    <row r="9" spans="1:12" ht="29.25" customHeight="1" x14ac:dyDescent="0.3">
      <c r="A9" s="70" t="s">
        <v>320</v>
      </c>
      <c r="B9" s="70"/>
      <c r="C9" s="75" t="s">
        <v>327</v>
      </c>
      <c r="D9" s="85" t="s">
        <v>335</v>
      </c>
      <c r="E9" s="82">
        <f>Piano_indicatori!D76</f>
        <v>54.029444977436611</v>
      </c>
      <c r="F9" s="82">
        <f>Piano_indicatori!E76</f>
        <v>53.737113851454453</v>
      </c>
      <c r="G9" s="82">
        <f>Piano_indicatori!F76</f>
        <v>50.556662867001236</v>
      </c>
      <c r="H9" s="82">
        <f>Piano_indicatori!G76</f>
        <v>52.333828538091268</v>
      </c>
      <c r="I9" s="82">
        <f>Piano_indicatori!H76</f>
        <v>45.115243927803874</v>
      </c>
      <c r="J9" s="82">
        <f>Piano_indicatori!I76</f>
        <v>46.098489837010192</v>
      </c>
      <c r="K9" s="82">
        <f>Piano_indicatori!J76</f>
        <v>49.195674787655605</v>
      </c>
      <c r="L9" s="82">
        <f>Piano_indicatori!K76</f>
        <v>47.215526184068231</v>
      </c>
    </row>
  </sheetData>
  <conditionalFormatting sqref="E2:H2 L2">
    <cfRule type="cellIs" dxfId="31" priority="32" operator="greaterThan">
      <formula>48</formula>
    </cfRule>
  </conditionalFormatting>
  <conditionalFormatting sqref="E3:H3 L3">
    <cfRule type="cellIs" dxfId="30" priority="31" operator="lessThan">
      <formula>22</formula>
    </cfRule>
  </conditionalFormatting>
  <conditionalFormatting sqref="E4:H4 L4">
    <cfRule type="cellIs" dxfId="29" priority="30" operator="greaterThan">
      <formula>0</formula>
    </cfRule>
  </conditionalFormatting>
  <conditionalFormatting sqref="E5:H5 L5">
    <cfRule type="cellIs" dxfId="28" priority="29" operator="greaterThan">
      <formula>16</formula>
    </cfRule>
  </conditionalFormatting>
  <conditionalFormatting sqref="E6:H6 L6">
    <cfRule type="cellIs" dxfId="27" priority="28" operator="greaterThan">
      <formula>1.2</formula>
    </cfRule>
  </conditionalFormatting>
  <conditionalFormatting sqref="E7:H7 L7">
    <cfRule type="cellIs" dxfId="26" priority="27" operator="greaterThan">
      <formula>1</formula>
    </cfRule>
  </conditionalFormatting>
  <conditionalFormatting sqref="E8:H8 L8">
    <cfRule type="cellIs" dxfId="25" priority="26" operator="greaterThan">
      <formula>0.6</formula>
    </cfRule>
  </conditionalFormatting>
  <conditionalFormatting sqref="E9:H9 L9">
    <cfRule type="cellIs" dxfId="24" priority="25" operator="lessThan">
      <formula>47</formula>
    </cfRule>
  </conditionalFormatting>
  <conditionalFormatting sqref="I2">
    <cfRule type="cellIs" dxfId="23" priority="24" operator="greaterThan">
      <formula>48</formula>
    </cfRule>
  </conditionalFormatting>
  <conditionalFormatting sqref="I3">
    <cfRule type="cellIs" dxfId="22" priority="23" operator="lessThan">
      <formula>22</formula>
    </cfRule>
  </conditionalFormatting>
  <conditionalFormatting sqref="I4">
    <cfRule type="cellIs" dxfId="21" priority="22" operator="greaterThan">
      <formula>0</formula>
    </cfRule>
  </conditionalFormatting>
  <conditionalFormatting sqref="I5">
    <cfRule type="cellIs" dxfId="20" priority="21" operator="greaterThan">
      <formula>16</formula>
    </cfRule>
  </conditionalFormatting>
  <conditionalFormatting sqref="I6">
    <cfRule type="cellIs" dxfId="19" priority="20" operator="greaterThan">
      <formula>1.2</formula>
    </cfRule>
  </conditionalFormatting>
  <conditionalFormatting sqref="I7">
    <cfRule type="cellIs" dxfId="18" priority="19" operator="greaterThan">
      <formula>1</formula>
    </cfRule>
  </conditionalFormatting>
  <conditionalFormatting sqref="I8">
    <cfRule type="cellIs" dxfId="17" priority="18" operator="greaterThan">
      <formula>0.6</formula>
    </cfRule>
  </conditionalFormatting>
  <conditionalFormatting sqref="I9">
    <cfRule type="cellIs" dxfId="16" priority="17" operator="lessThan">
      <formula>47</formula>
    </cfRule>
  </conditionalFormatting>
  <conditionalFormatting sqref="J2">
    <cfRule type="cellIs" dxfId="15" priority="16" operator="greaterThan">
      <formula>48</formula>
    </cfRule>
  </conditionalFormatting>
  <conditionalFormatting sqref="J3">
    <cfRule type="cellIs" dxfId="14" priority="15" operator="lessThan">
      <formula>22</formula>
    </cfRule>
  </conditionalFormatting>
  <conditionalFormatting sqref="J4">
    <cfRule type="cellIs" dxfId="13" priority="14" operator="greaterThan">
      <formula>0</formula>
    </cfRule>
  </conditionalFormatting>
  <conditionalFormatting sqref="J5">
    <cfRule type="cellIs" dxfId="12" priority="13" operator="greaterThan">
      <formula>16</formula>
    </cfRule>
  </conditionalFormatting>
  <conditionalFormatting sqref="J6">
    <cfRule type="cellIs" dxfId="11" priority="12" operator="greaterThan">
      <formula>1.2</formula>
    </cfRule>
  </conditionalFormatting>
  <conditionalFormatting sqref="J7">
    <cfRule type="cellIs" dxfId="10" priority="11" operator="greaterThan">
      <formula>1</formula>
    </cfRule>
  </conditionalFormatting>
  <conditionalFormatting sqref="J8">
    <cfRule type="cellIs" dxfId="9" priority="10" operator="greaterThan">
      <formula>0.6</formula>
    </cfRule>
  </conditionalFormatting>
  <conditionalFormatting sqref="J9">
    <cfRule type="cellIs" dxfId="8" priority="9" operator="lessThan">
      <formula>47</formula>
    </cfRule>
  </conditionalFormatting>
  <conditionalFormatting sqref="K2">
    <cfRule type="cellIs" dxfId="7" priority="8" operator="greaterThan">
      <formula>48</formula>
    </cfRule>
  </conditionalFormatting>
  <conditionalFormatting sqref="K3">
    <cfRule type="cellIs" dxfId="6" priority="7" operator="lessThan">
      <formula>22</formula>
    </cfRule>
  </conditionalFormatting>
  <conditionalFormatting sqref="K4">
    <cfRule type="cellIs" dxfId="5" priority="6" operator="greaterThan">
      <formula>0</formula>
    </cfRule>
  </conditionalFormatting>
  <conditionalFormatting sqref="K5">
    <cfRule type="cellIs" dxfId="4" priority="5" operator="greaterThan">
      <formula>16</formula>
    </cfRule>
  </conditionalFormatting>
  <conditionalFormatting sqref="K6">
    <cfRule type="cellIs" dxfId="3" priority="4" operator="greaterThan">
      <formula>1.2</formula>
    </cfRule>
  </conditionalFormatting>
  <conditionalFormatting sqref="K7">
    <cfRule type="cellIs" dxfId="2" priority="3" operator="greaterThan">
      <formula>1</formula>
    </cfRule>
  </conditionalFormatting>
  <conditionalFormatting sqref="K8">
    <cfRule type="cellIs" dxfId="1" priority="2" operator="greaterThan">
      <formula>0.6</formula>
    </cfRule>
  </conditionalFormatting>
  <conditionalFormatting sqref="K9">
    <cfRule type="cellIs" dxfId="0" priority="1" operator="lessThan">
      <formula>47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workbookViewId="0">
      <selection activeCell="B3" sqref="B3"/>
    </sheetView>
  </sheetViews>
  <sheetFormatPr defaultRowHeight="14.4" x14ac:dyDescent="0.3"/>
  <cols>
    <col min="2" max="2" width="12.33203125" bestFit="1" customWidth="1"/>
    <col min="5" max="5" width="10.33203125" customWidth="1"/>
    <col min="6" max="6" width="10.33203125" style="112" customWidth="1"/>
  </cols>
  <sheetData>
    <row r="1" spans="1:20" ht="43.2" x14ac:dyDescent="0.3">
      <c r="A1" s="93" t="s">
        <v>336</v>
      </c>
      <c r="B1" s="93" t="s">
        <v>337</v>
      </c>
      <c r="C1" s="93" t="s">
        <v>351</v>
      </c>
      <c r="D1" s="93" t="s">
        <v>352</v>
      </c>
      <c r="E1" s="93" t="s">
        <v>353</v>
      </c>
      <c r="F1" s="93" t="s">
        <v>364</v>
      </c>
      <c r="G1" s="93" t="s">
        <v>354</v>
      </c>
    </row>
    <row r="2" spans="1:20" s="112" customFormat="1" x14ac:dyDescent="0.3">
      <c r="A2" s="29">
        <v>2024</v>
      </c>
      <c r="B2" s="1">
        <v>147378</v>
      </c>
      <c r="C2" s="1">
        <v>418761</v>
      </c>
      <c r="D2" s="93"/>
    </row>
    <row r="3" spans="1:20" s="112" customFormat="1" x14ac:dyDescent="0.3">
      <c r="A3" s="29">
        <v>2023</v>
      </c>
      <c r="B3" s="1">
        <v>148296</v>
      </c>
      <c r="C3" s="1">
        <v>420364</v>
      </c>
      <c r="D3" s="144">
        <v>-1379</v>
      </c>
      <c r="E3" s="112">
        <v>461</v>
      </c>
      <c r="G3" s="1">
        <f t="shared" ref="G3:G4" si="0">B2-B3-D3-E3-F3</f>
        <v>0</v>
      </c>
    </row>
    <row r="4" spans="1:20" s="112" customFormat="1" x14ac:dyDescent="0.3">
      <c r="A4" s="29">
        <v>2022</v>
      </c>
      <c r="B4" s="1">
        <v>149092</v>
      </c>
      <c r="C4" s="1">
        <v>421688</v>
      </c>
      <c r="D4" s="144">
        <v>-1438</v>
      </c>
      <c r="E4" s="1">
        <v>738</v>
      </c>
      <c r="F4" s="1">
        <v>-96</v>
      </c>
      <c r="G4" s="1">
        <f t="shared" si="0"/>
        <v>0</v>
      </c>
    </row>
    <row r="5" spans="1:20" s="112" customFormat="1" x14ac:dyDescent="0.3">
      <c r="A5" s="29">
        <v>2021</v>
      </c>
      <c r="B5" s="1">
        <v>149572</v>
      </c>
      <c r="C5" s="1">
        <v>421488</v>
      </c>
      <c r="D5" s="144">
        <v>-1035</v>
      </c>
      <c r="E5" s="1">
        <v>346</v>
      </c>
      <c r="F5" s="1">
        <v>209</v>
      </c>
      <c r="G5" s="1">
        <f>B4-B5-D5-E5-F5</f>
        <v>0</v>
      </c>
    </row>
    <row r="6" spans="1:20" x14ac:dyDescent="0.3">
      <c r="A6" s="29">
        <v>2020</v>
      </c>
      <c r="B6" s="1">
        <v>151005</v>
      </c>
      <c r="C6" s="1">
        <v>422840</v>
      </c>
      <c r="D6" s="1">
        <v>-1181</v>
      </c>
      <c r="E6" s="1">
        <v>-198</v>
      </c>
      <c r="F6" s="1">
        <v>-54</v>
      </c>
      <c r="G6" s="1">
        <f>B5-B6-D6-E6-F6</f>
        <v>0</v>
      </c>
    </row>
    <row r="7" spans="1:20" x14ac:dyDescent="0.3">
      <c r="A7" s="29">
        <v>2019</v>
      </c>
      <c r="B7" s="1">
        <v>151504</v>
      </c>
      <c r="C7" s="1">
        <v>424105</v>
      </c>
      <c r="D7" s="1">
        <v>-1102</v>
      </c>
      <c r="E7" s="1">
        <v>647</v>
      </c>
      <c r="F7" s="1">
        <v>-44</v>
      </c>
      <c r="G7" s="1">
        <f t="shared" ref="G7:G11" si="1">B6-B7-D7-E7-F7</f>
        <v>0</v>
      </c>
      <c r="K7" s="131"/>
      <c r="L7" s="132"/>
      <c r="M7" s="131"/>
      <c r="N7" s="132"/>
      <c r="O7" s="132"/>
      <c r="P7" s="132"/>
      <c r="Q7" s="131"/>
      <c r="R7" s="131"/>
      <c r="S7" s="132"/>
      <c r="T7" s="132"/>
    </row>
    <row r="8" spans="1:20" x14ac:dyDescent="0.3">
      <c r="A8" s="29">
        <v>2018</v>
      </c>
      <c r="B8" s="1">
        <v>151171</v>
      </c>
      <c r="C8" s="1">
        <v>425206</v>
      </c>
      <c r="D8" s="1">
        <v>-795</v>
      </c>
      <c r="E8" s="1">
        <v>1128</v>
      </c>
      <c r="F8" s="1"/>
      <c r="G8" s="1">
        <f t="shared" si="1"/>
        <v>0</v>
      </c>
      <c r="K8" s="131"/>
      <c r="L8" s="132"/>
      <c r="M8" s="131"/>
      <c r="N8" s="132"/>
      <c r="O8" s="132"/>
      <c r="P8" s="132"/>
      <c r="Q8" s="131"/>
      <c r="R8" s="131"/>
      <c r="S8" s="132"/>
      <c r="T8" s="132"/>
    </row>
    <row r="9" spans="1:20" x14ac:dyDescent="0.3">
      <c r="A9" s="29">
        <v>2017</v>
      </c>
      <c r="B9" s="1">
        <v>151352</v>
      </c>
      <c r="C9" s="1">
        <v>425365</v>
      </c>
      <c r="D9" s="1">
        <v>-982</v>
      </c>
      <c r="E9" s="1">
        <v>801</v>
      </c>
      <c r="F9" s="1"/>
      <c r="G9" s="1">
        <f t="shared" si="1"/>
        <v>0</v>
      </c>
      <c r="K9" s="131"/>
      <c r="L9" s="132"/>
      <c r="M9" s="131"/>
      <c r="N9" s="132"/>
      <c r="O9" s="132"/>
      <c r="P9" s="132"/>
      <c r="Q9" s="131"/>
      <c r="R9" s="131"/>
      <c r="S9" s="132"/>
      <c r="T9" s="132"/>
    </row>
    <row r="10" spans="1:20" x14ac:dyDescent="0.3">
      <c r="A10" s="29">
        <v>2016</v>
      </c>
      <c r="B10" s="1">
        <v>151865</v>
      </c>
      <c r="C10" s="1">
        <v>426011</v>
      </c>
      <c r="D10" s="1">
        <v>-843</v>
      </c>
      <c r="E10" s="1">
        <v>330</v>
      </c>
      <c r="F10" s="1"/>
      <c r="G10" s="1">
        <f t="shared" si="1"/>
        <v>0</v>
      </c>
      <c r="K10" s="131"/>
      <c r="L10" s="132"/>
      <c r="M10" s="131"/>
      <c r="N10" s="132"/>
      <c r="O10" s="132"/>
      <c r="P10" s="132"/>
      <c r="Q10" s="131"/>
      <c r="R10" s="131"/>
      <c r="S10" s="132"/>
      <c r="T10" s="132"/>
    </row>
    <row r="11" spans="1:20" x14ac:dyDescent="0.3">
      <c r="A11" s="29">
        <v>2015</v>
      </c>
      <c r="B11" s="1">
        <v>151959</v>
      </c>
      <c r="C11" s="1">
        <v>426678</v>
      </c>
      <c r="D11" s="1">
        <v>-857</v>
      </c>
      <c r="E11" s="1">
        <v>763</v>
      </c>
      <c r="F11" s="1"/>
      <c r="G11" s="1">
        <f t="shared" si="1"/>
        <v>0</v>
      </c>
    </row>
  </sheetData>
  <sortState ref="A2:B6">
    <sortCondition descending="1" ref="A2:A6"/>
  </sortState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showGridLines="0" topLeftCell="B1" workbookViewId="0">
      <selection activeCell="I1" sqref="I1:L1"/>
    </sheetView>
  </sheetViews>
  <sheetFormatPr defaultRowHeight="14.4" x14ac:dyDescent="0.3"/>
  <cols>
    <col min="1" max="1" width="55.6640625" bestFit="1" customWidth="1"/>
    <col min="2" max="3" width="12.5546875" bestFit="1" customWidth="1"/>
    <col min="4" max="8" width="12.5546875" style="112" bestFit="1" customWidth="1"/>
    <col min="9" max="9" width="12.5546875" bestFit="1" customWidth="1"/>
    <col min="10" max="10" width="8.44140625" customWidth="1"/>
    <col min="11" max="11" width="6.5546875" style="112" bestFit="1" customWidth="1"/>
    <col min="12" max="12" width="12.5546875" bestFit="1" customWidth="1"/>
    <col min="13" max="13" width="7" bestFit="1" customWidth="1"/>
  </cols>
  <sheetData>
    <row r="1" spans="1:13" ht="28.8" x14ac:dyDescent="0.3">
      <c r="A1" s="39"/>
      <c r="B1" s="40">
        <v>2016</v>
      </c>
      <c r="C1" s="40">
        <v>2017</v>
      </c>
      <c r="D1" s="128">
        <v>2018</v>
      </c>
      <c r="E1" s="128">
        <v>2019</v>
      </c>
      <c r="F1" s="128">
        <v>2020</v>
      </c>
      <c r="G1" s="128">
        <v>2021</v>
      </c>
      <c r="H1" s="128">
        <v>2022</v>
      </c>
      <c r="I1" s="128">
        <v>2023</v>
      </c>
      <c r="J1" s="129" t="s">
        <v>297</v>
      </c>
      <c r="K1" s="128" t="s">
        <v>233</v>
      </c>
      <c r="L1" s="129" t="s">
        <v>366</v>
      </c>
      <c r="M1" s="40" t="s">
        <v>269</v>
      </c>
    </row>
    <row r="2" spans="1:13" x14ac:dyDescent="0.3">
      <c r="A2" s="50" t="s">
        <v>20</v>
      </c>
      <c r="B2" s="51">
        <f>Entrate_Uscite!B3</f>
        <v>131647509.54000001</v>
      </c>
      <c r="C2" s="51">
        <f>Entrate_Uscite!E3</f>
        <v>159819733.5</v>
      </c>
      <c r="D2" s="124">
        <f>Entrate_Uscite!H3</f>
        <v>152747407.13999999</v>
      </c>
      <c r="E2" s="124">
        <f>Entrate_Uscite!K3</f>
        <v>152162994.66</v>
      </c>
      <c r="F2" s="124">
        <f>Entrate_Uscite!N3</f>
        <v>148849530.80000001</v>
      </c>
      <c r="G2" s="124">
        <f>Entrate_Uscite!Q3</f>
        <v>147723813.74000001</v>
      </c>
      <c r="H2" s="124">
        <f>Entrate_Uscite!T3</f>
        <v>150269064.06999999</v>
      </c>
      <c r="I2" s="51">
        <f>Entrate_Uscite!W3</f>
        <v>153429674.86000001</v>
      </c>
      <c r="J2" s="51">
        <f>I2/I$21*100</f>
        <v>42.938486283077197</v>
      </c>
      <c r="K2" s="52">
        <f>IF(H2&gt;0,I2/H2*100-100,"-")</f>
        <v>2.1033010417418296</v>
      </c>
      <c r="L2" s="51">
        <f>Entrate_Uscite!X3</f>
        <v>99810596.359999999</v>
      </c>
      <c r="M2" s="53">
        <f>IF(I2&gt;0,L2/I2*100,"-")</f>
        <v>65.05299346496966</v>
      </c>
    </row>
    <row r="3" spans="1:13" x14ac:dyDescent="0.3">
      <c r="A3" s="50" t="s">
        <v>21</v>
      </c>
      <c r="B3" s="51">
        <f>Entrate_Uscite!B4</f>
        <v>59342590.689999998</v>
      </c>
      <c r="C3" s="51">
        <f>Entrate_Uscite!E4</f>
        <v>60006857.390000001</v>
      </c>
      <c r="D3" s="124">
        <f>Entrate_Uscite!H4</f>
        <v>64962726.140000001</v>
      </c>
      <c r="E3" s="124">
        <f>Entrate_Uscite!K4</f>
        <v>73825447</v>
      </c>
      <c r="F3" s="124">
        <f>Entrate_Uscite!N4</f>
        <v>99636692.569999993</v>
      </c>
      <c r="G3" s="124">
        <f>Entrate_Uscite!Q4</f>
        <v>79110137.810000002</v>
      </c>
      <c r="H3" s="124">
        <f>Entrate_Uscite!T4</f>
        <v>88210297.209999993</v>
      </c>
      <c r="I3" s="51">
        <f>Entrate_Uscite!W4</f>
        <v>100524370.38</v>
      </c>
      <c r="J3" s="51">
        <f t="shared" ref="J3:J21" si="0">I3/I$21*100</f>
        <v>28.132525879463373</v>
      </c>
      <c r="K3" s="52">
        <f t="shared" ref="K3:K21" si="1">IF(H3&gt;0,I3/H3*100-100,"-")</f>
        <v>13.959904409667971</v>
      </c>
      <c r="L3" s="51">
        <f>Entrate_Uscite!X4</f>
        <v>71152135.189999998</v>
      </c>
      <c r="M3" s="53">
        <f t="shared" ref="M3:M21" si="2">IF(I3&gt;0,L3/I3*100,"-")</f>
        <v>70.78098069257463</v>
      </c>
    </row>
    <row r="4" spans="1:13" x14ac:dyDescent="0.3">
      <c r="A4" s="50" t="s">
        <v>22</v>
      </c>
      <c r="B4" s="51">
        <f>Entrate_Uscite!B5</f>
        <v>33418641.829999998</v>
      </c>
      <c r="C4" s="51">
        <f>Entrate_Uscite!E5</f>
        <v>43232562.280000001</v>
      </c>
      <c r="D4" s="124">
        <f>Entrate_Uscite!H5</f>
        <v>38044903.240000002</v>
      </c>
      <c r="E4" s="124">
        <f>Entrate_Uscite!K5</f>
        <v>40629915.909999996</v>
      </c>
      <c r="F4" s="124">
        <f>Entrate_Uscite!N5</f>
        <v>28543054.300000001</v>
      </c>
      <c r="G4" s="124">
        <f>Entrate_Uscite!Q5</f>
        <v>40431468.280000001</v>
      </c>
      <c r="H4" s="124">
        <f>Entrate_Uscite!T5</f>
        <v>41120329.5</v>
      </c>
      <c r="I4" s="51">
        <f>Entrate_Uscite!W5</f>
        <v>44315456.780000001</v>
      </c>
      <c r="J4" s="51">
        <f t="shared" si="0"/>
        <v>12.402024802650553</v>
      </c>
      <c r="K4" s="52">
        <f t="shared" si="1"/>
        <v>7.7701889037635254</v>
      </c>
      <c r="L4" s="51">
        <f>Entrate_Uscite!X5</f>
        <v>26121418.649999999</v>
      </c>
      <c r="M4" s="53">
        <f t="shared" si="2"/>
        <v>58.944261321004475</v>
      </c>
    </row>
    <row r="5" spans="1:13" x14ac:dyDescent="0.3">
      <c r="A5" s="4" t="s">
        <v>31</v>
      </c>
      <c r="B5" s="41">
        <f t="shared" ref="B5:I5" si="3">SUM(B2:B4)</f>
        <v>224408742.06</v>
      </c>
      <c r="C5" s="41">
        <f t="shared" si="3"/>
        <v>263059153.16999999</v>
      </c>
      <c r="D5" s="41">
        <f t="shared" si="3"/>
        <v>255755036.51999998</v>
      </c>
      <c r="E5" s="41">
        <f t="shared" si="3"/>
        <v>266618357.56999999</v>
      </c>
      <c r="F5" s="41">
        <f t="shared" si="3"/>
        <v>277029277.67000002</v>
      </c>
      <c r="G5" s="41">
        <f t="shared" ref="G5:H5" si="4">SUM(G2:G4)</f>
        <v>267265419.83000001</v>
      </c>
      <c r="H5" s="41">
        <f t="shared" si="4"/>
        <v>279599690.77999997</v>
      </c>
      <c r="I5" s="41">
        <f t="shared" si="3"/>
        <v>298269502.01999998</v>
      </c>
      <c r="J5" s="41">
        <f t="shared" si="0"/>
        <v>83.473036965191099</v>
      </c>
      <c r="K5" s="116">
        <f t="shared" si="1"/>
        <v>6.6773361543844345</v>
      </c>
      <c r="L5" s="41">
        <f>SUM(L2:L4)</f>
        <v>197084150.20000002</v>
      </c>
      <c r="M5" s="42">
        <f>IF(I5&gt;0,L5/I5*100,"-")</f>
        <v>66.075863896666462</v>
      </c>
    </row>
    <row r="6" spans="1:13" x14ac:dyDescent="0.3">
      <c r="A6" s="50" t="s">
        <v>23</v>
      </c>
      <c r="B6" s="51">
        <f>Entrate_Uscite!B6</f>
        <v>13412.16</v>
      </c>
      <c r="C6" s="51">
        <f>Entrate_Uscite!E6</f>
        <v>117099.9</v>
      </c>
      <c r="D6" s="124">
        <f>Entrate_Uscite!H6</f>
        <v>125496.55</v>
      </c>
      <c r="E6" s="124">
        <f>Entrate_Uscite!K6</f>
        <v>75182.45</v>
      </c>
      <c r="F6" s="124">
        <f>Entrate_Uscite!N6</f>
        <v>71274.070000000007</v>
      </c>
      <c r="G6" s="124">
        <f>Entrate_Uscite!Q6</f>
        <v>61960.08</v>
      </c>
      <c r="H6" s="124">
        <f>Entrate_Uscite!T6</f>
        <v>134286.73000000001</v>
      </c>
      <c r="I6" s="51">
        <f>Entrate_Uscite!W6</f>
        <v>48649.17</v>
      </c>
      <c r="J6" s="51">
        <f t="shared" si="0"/>
        <v>1.3614848109625264E-2</v>
      </c>
      <c r="K6" s="52">
        <f t="shared" si="1"/>
        <v>-63.772168702000563</v>
      </c>
      <c r="L6" s="51">
        <f>Entrate_Uscite!X6</f>
        <v>47318.47</v>
      </c>
      <c r="M6" s="53">
        <f t="shared" si="2"/>
        <v>97.264701535504102</v>
      </c>
    </row>
    <row r="7" spans="1:13" x14ac:dyDescent="0.3">
      <c r="A7" s="50" t="s">
        <v>24</v>
      </c>
      <c r="B7" s="51">
        <f>Entrate_Uscite!B7</f>
        <v>11625238.970000001</v>
      </c>
      <c r="C7" s="51">
        <f>Entrate_Uscite!E7</f>
        <v>11738146.439999999</v>
      </c>
      <c r="D7" s="124">
        <f>Entrate_Uscite!H7</f>
        <v>32406730.010000002</v>
      </c>
      <c r="E7" s="124">
        <f>Entrate_Uscite!K7</f>
        <v>11740934.449999999</v>
      </c>
      <c r="F7" s="124">
        <f>Entrate_Uscite!N7</f>
        <v>25613540.48</v>
      </c>
      <c r="G7" s="124">
        <f>Entrate_Uscite!Q7</f>
        <v>8360750.8700000001</v>
      </c>
      <c r="H7" s="124">
        <f>Entrate_Uscite!T7</f>
        <v>33251814.43</v>
      </c>
      <c r="I7" s="51">
        <f>Entrate_Uscite!W7</f>
        <v>51857239.689999998</v>
      </c>
      <c r="J7" s="51">
        <f t="shared" si="0"/>
        <v>14.51265133123095</v>
      </c>
      <c r="K7" s="52">
        <f t="shared" si="1"/>
        <v>55.953112871982313</v>
      </c>
      <c r="L7" s="51">
        <f>Entrate_Uscite!X7</f>
        <v>14731773.109999999</v>
      </c>
      <c r="M7" s="53">
        <f t="shared" si="2"/>
        <v>28.408324851198806</v>
      </c>
    </row>
    <row r="8" spans="1:13" x14ac:dyDescent="0.3">
      <c r="A8" s="50" t="s">
        <v>25</v>
      </c>
      <c r="B8" s="51">
        <f>Entrate_Uscite!B8</f>
        <v>212172.95</v>
      </c>
      <c r="C8" s="51">
        <f>Entrate_Uscite!E8</f>
        <v>121238.8</v>
      </c>
      <c r="D8" s="124">
        <f>Entrate_Uscite!H8</f>
        <v>16412.759999999998</v>
      </c>
      <c r="E8" s="124">
        <f>Entrate_Uscite!K8</f>
        <v>70909.69</v>
      </c>
      <c r="F8" s="124">
        <f>Entrate_Uscite!N8</f>
        <v>1021738.3</v>
      </c>
      <c r="G8" s="124">
        <f>Entrate_Uscite!Q8</f>
        <v>894413.7</v>
      </c>
      <c r="H8" s="124">
        <f>Entrate_Uscite!T8</f>
        <v>198296.92</v>
      </c>
      <c r="I8" s="51">
        <f>Entrate_Uscite!W8</f>
        <v>261460.39</v>
      </c>
      <c r="J8" s="51">
        <f t="shared" si="0"/>
        <v>7.3171721049575672E-2</v>
      </c>
      <c r="K8" s="52">
        <f t="shared" si="1"/>
        <v>31.852975830386072</v>
      </c>
      <c r="L8" s="51">
        <f>Entrate_Uscite!X8</f>
        <v>89136.28</v>
      </c>
      <c r="M8" s="53">
        <f t="shared" si="2"/>
        <v>34.091695495443879</v>
      </c>
    </row>
    <row r="9" spans="1:13" x14ac:dyDescent="0.3">
      <c r="A9" s="50" t="s">
        <v>26</v>
      </c>
      <c r="B9" s="51">
        <f>Entrate_Uscite!B9</f>
        <v>1271136.3899999999</v>
      </c>
      <c r="C9" s="51">
        <f>Entrate_Uscite!E9</f>
        <v>892822.64</v>
      </c>
      <c r="D9" s="124">
        <f>Entrate_Uscite!H9</f>
        <v>3557317.65</v>
      </c>
      <c r="E9" s="124">
        <f>Entrate_Uscite!K9</f>
        <v>1246099.1599999999</v>
      </c>
      <c r="F9" s="124">
        <f>Entrate_Uscite!N9</f>
        <v>960994.23</v>
      </c>
      <c r="G9" s="124">
        <f>Entrate_Uscite!Q9</f>
        <v>1140308.8400000001</v>
      </c>
      <c r="H9" s="124">
        <f>Entrate_Uscite!T9</f>
        <v>876989.23</v>
      </c>
      <c r="I9" s="51">
        <f>Entrate_Uscite!W9</f>
        <v>1982907.68</v>
      </c>
      <c r="J9" s="51">
        <f t="shared" si="0"/>
        <v>0.55493211659334418</v>
      </c>
      <c r="K9" s="52">
        <f t="shared" si="1"/>
        <v>126.103994458404</v>
      </c>
      <c r="L9" s="51">
        <f>Entrate_Uscite!X9</f>
        <v>1770309</v>
      </c>
      <c r="M9" s="53">
        <f t="shared" si="2"/>
        <v>89.278437814109438</v>
      </c>
    </row>
    <row r="10" spans="1:13" x14ac:dyDescent="0.3">
      <c r="A10" s="50" t="s">
        <v>27</v>
      </c>
      <c r="B10" s="51">
        <f>Entrate_Uscite!B10</f>
        <v>2272912.09</v>
      </c>
      <c r="C10" s="51">
        <f>Entrate_Uscite!E10</f>
        <v>2491611.61</v>
      </c>
      <c r="D10" s="124">
        <f>Entrate_Uscite!H10</f>
        <v>3217919.26</v>
      </c>
      <c r="E10" s="124">
        <f>Entrate_Uscite!K10</f>
        <v>2533488.94</v>
      </c>
      <c r="F10" s="124">
        <f>Entrate_Uscite!N10</f>
        <v>2818716.75</v>
      </c>
      <c r="G10" s="124">
        <f>Entrate_Uscite!Q10</f>
        <v>2247458.3199999998</v>
      </c>
      <c r="H10" s="124">
        <f>Entrate_Uscite!T10</f>
        <v>2509663.2200000002</v>
      </c>
      <c r="I10" s="51">
        <f>Entrate_Uscite!W10</f>
        <v>2243082.2799999998</v>
      </c>
      <c r="J10" s="51">
        <f t="shared" si="0"/>
        <v>0.62774399932397462</v>
      </c>
      <c r="K10" s="52">
        <f t="shared" si="1"/>
        <v>-10.622179815824069</v>
      </c>
      <c r="L10" s="51">
        <f>Entrate_Uscite!X10</f>
        <v>1962627.73</v>
      </c>
      <c r="M10" s="53">
        <f t="shared" si="2"/>
        <v>87.496912061558447</v>
      </c>
    </row>
    <row r="11" spans="1:13" x14ac:dyDescent="0.3">
      <c r="A11" s="4" t="s">
        <v>32</v>
      </c>
      <c r="B11" s="43">
        <f t="shared" ref="B11:I11" si="5">SUM(B6:B10)</f>
        <v>15394872.560000001</v>
      </c>
      <c r="C11" s="43">
        <f t="shared" si="5"/>
        <v>15360919.390000001</v>
      </c>
      <c r="D11" s="43">
        <f t="shared" si="5"/>
        <v>39323876.230000004</v>
      </c>
      <c r="E11" s="43">
        <f t="shared" si="5"/>
        <v>15666614.689999998</v>
      </c>
      <c r="F11" s="43">
        <f t="shared" si="5"/>
        <v>30486263.830000002</v>
      </c>
      <c r="G11" s="43">
        <f t="shared" ref="G11" si="6">SUM(G6:G10)</f>
        <v>12704891.809999999</v>
      </c>
      <c r="H11" s="43">
        <f t="shared" ref="H11" si="7">SUM(H6:H10)</f>
        <v>36971050.529999994</v>
      </c>
      <c r="I11" s="43">
        <f t="shared" si="5"/>
        <v>56393339.210000001</v>
      </c>
      <c r="J11" s="43">
        <f t="shared" si="0"/>
        <v>15.782114016307473</v>
      </c>
      <c r="K11" s="116">
        <f t="shared" si="1"/>
        <v>52.533775485335156</v>
      </c>
      <c r="L11" s="43">
        <f>SUM(L6:L10)</f>
        <v>18601164.59</v>
      </c>
      <c r="M11" s="42">
        <f>IF(I11&gt;0,L11/I11*100,"-")</f>
        <v>32.984683742050038</v>
      </c>
    </row>
    <row r="12" spans="1:13" x14ac:dyDescent="0.3">
      <c r="A12" s="50" t="s">
        <v>28</v>
      </c>
      <c r="B12" s="51">
        <f>Entrate_Uscite!B11</f>
        <v>0</v>
      </c>
      <c r="C12" s="51">
        <f>Entrate_Uscite!E11</f>
        <v>0</v>
      </c>
      <c r="D12" s="124">
        <f>Entrate_Uscite!H11</f>
        <v>0</v>
      </c>
      <c r="E12" s="124">
        <f>Entrate_Uscite!K11</f>
        <v>0</v>
      </c>
      <c r="F12" s="124">
        <f>Entrate_Uscite!N11</f>
        <v>0</v>
      </c>
      <c r="G12" s="124">
        <f>Entrate_Uscite!Q11</f>
        <v>0</v>
      </c>
      <c r="H12" s="124">
        <f>Entrate_Uscite!T11</f>
        <v>0</v>
      </c>
      <c r="I12" s="51">
        <f>Entrate_Uscite!W11</f>
        <v>0</v>
      </c>
      <c r="J12" s="51">
        <f t="shared" si="0"/>
        <v>0</v>
      </c>
      <c r="K12" s="52" t="str">
        <f t="shared" si="1"/>
        <v>-</v>
      </c>
      <c r="L12" s="51">
        <f>Entrate_Uscite!X11</f>
        <v>0</v>
      </c>
      <c r="M12" s="53" t="str">
        <f t="shared" si="2"/>
        <v>-</v>
      </c>
    </row>
    <row r="13" spans="1:13" x14ac:dyDescent="0.3">
      <c r="A13" s="50" t="s">
        <v>29</v>
      </c>
      <c r="B13" s="51">
        <f>Entrate_Uscite!B12</f>
        <v>0</v>
      </c>
      <c r="C13" s="51">
        <f>Entrate_Uscite!E12</f>
        <v>335949.37</v>
      </c>
      <c r="D13" s="124">
        <f>Entrate_Uscite!H12</f>
        <v>896082.14</v>
      </c>
      <c r="E13" s="124">
        <f>Entrate_Uscite!K12</f>
        <v>1105784.1399999999</v>
      </c>
      <c r="F13" s="124">
        <f>Entrate_Uscite!N12</f>
        <v>2125725.84</v>
      </c>
      <c r="G13" s="124">
        <f>Entrate_Uscite!Q12</f>
        <v>1595995.77</v>
      </c>
      <c r="H13" s="124">
        <f>Entrate_Uscite!T12</f>
        <v>2687646.69</v>
      </c>
      <c r="I13" s="51">
        <f>Entrate_Uscite!W12</f>
        <v>2661527.0499999998</v>
      </c>
      <c r="J13" s="51">
        <f t="shared" si="0"/>
        <v>0.74484901850142582</v>
      </c>
      <c r="K13" s="52">
        <f t="shared" si="1"/>
        <v>-0.97184053607880116</v>
      </c>
      <c r="L13" s="51">
        <f>Entrate_Uscite!X12</f>
        <v>2661527.0499999998</v>
      </c>
      <c r="M13" s="53">
        <f t="shared" si="2"/>
        <v>100</v>
      </c>
    </row>
    <row r="14" spans="1:13" x14ac:dyDescent="0.3">
      <c r="A14" s="50" t="s">
        <v>30</v>
      </c>
      <c r="B14" s="51">
        <f>Entrate_Uscite!B13</f>
        <v>0</v>
      </c>
      <c r="C14" s="51">
        <f>Entrate_Uscite!E13</f>
        <v>0</v>
      </c>
      <c r="D14" s="124">
        <f>Entrate_Uscite!H13</f>
        <v>0</v>
      </c>
      <c r="E14" s="124">
        <f>Entrate_Uscite!K13</f>
        <v>0</v>
      </c>
      <c r="F14" s="124">
        <f>Entrate_Uscite!N13</f>
        <v>0</v>
      </c>
      <c r="G14" s="124">
        <f>Entrate_Uscite!Q13</f>
        <v>0</v>
      </c>
      <c r="H14" s="124">
        <f>Entrate_Uscite!T13</f>
        <v>0</v>
      </c>
      <c r="I14" s="51">
        <f>Entrate_Uscite!W13</f>
        <v>0</v>
      </c>
      <c r="J14" s="51">
        <f t="shared" si="0"/>
        <v>0</v>
      </c>
      <c r="K14" s="52" t="str">
        <f t="shared" si="1"/>
        <v>-</v>
      </c>
      <c r="L14" s="51">
        <f>Entrate_Uscite!X13</f>
        <v>0</v>
      </c>
      <c r="M14" s="53" t="str">
        <f t="shared" si="2"/>
        <v>-</v>
      </c>
    </row>
    <row r="15" spans="1:13" x14ac:dyDescent="0.3">
      <c r="A15" s="4" t="s">
        <v>33</v>
      </c>
      <c r="B15" s="41">
        <f t="shared" ref="B15:I15" si="8">SUM(B12:B14)</f>
        <v>0</v>
      </c>
      <c r="C15" s="41">
        <f t="shared" si="8"/>
        <v>335949.37</v>
      </c>
      <c r="D15" s="41">
        <f t="shared" si="8"/>
        <v>896082.14</v>
      </c>
      <c r="E15" s="41">
        <f t="shared" si="8"/>
        <v>1105784.1399999999</v>
      </c>
      <c r="F15" s="41">
        <f t="shared" si="8"/>
        <v>2125725.84</v>
      </c>
      <c r="G15" s="41">
        <f t="shared" ref="G15" si="9">SUM(G12:G14)</f>
        <v>1595995.77</v>
      </c>
      <c r="H15" s="41">
        <f t="shared" ref="H15" si="10">SUM(H12:H14)</f>
        <v>2687646.69</v>
      </c>
      <c r="I15" s="41">
        <f t="shared" si="8"/>
        <v>2661527.0499999998</v>
      </c>
      <c r="J15" s="41">
        <f t="shared" si="0"/>
        <v>0.74484901850142582</v>
      </c>
      <c r="K15" s="116">
        <f t="shared" si="1"/>
        <v>-0.97184053607880116</v>
      </c>
      <c r="L15" s="41">
        <f>SUM(L12:L14)</f>
        <v>2661527.0499999998</v>
      </c>
      <c r="M15" s="42">
        <f t="shared" si="2"/>
        <v>100</v>
      </c>
    </row>
    <row r="16" spans="1:13" x14ac:dyDescent="0.3">
      <c r="A16" s="44" t="s">
        <v>348</v>
      </c>
      <c r="B16" s="45">
        <f t="shared" ref="B16:I16" si="11">B5+B11+B15</f>
        <v>239803614.62</v>
      </c>
      <c r="C16" s="45">
        <f t="shared" si="11"/>
        <v>278756021.93000001</v>
      </c>
      <c r="D16" s="45">
        <f t="shared" si="11"/>
        <v>295974994.88999999</v>
      </c>
      <c r="E16" s="45">
        <f t="shared" si="11"/>
        <v>283390756.39999998</v>
      </c>
      <c r="F16" s="45">
        <f t="shared" si="11"/>
        <v>309641267.33999997</v>
      </c>
      <c r="G16" s="45">
        <f t="shared" ref="G16:H16" si="12">G5+G11+G15</f>
        <v>281566307.40999997</v>
      </c>
      <c r="H16" s="45">
        <f t="shared" si="12"/>
        <v>319258387.99999994</v>
      </c>
      <c r="I16" s="45">
        <f t="shared" si="11"/>
        <v>357324368.27999997</v>
      </c>
      <c r="J16" s="45">
        <f t="shared" si="0"/>
        <v>100</v>
      </c>
      <c r="K16" s="127">
        <f t="shared" si="1"/>
        <v>11.923251419787292</v>
      </c>
      <c r="L16" s="45">
        <f>L5+L11+L15</f>
        <v>218346841.84000003</v>
      </c>
      <c r="M16" s="46">
        <f t="shared" si="2"/>
        <v>61.106059710123958</v>
      </c>
    </row>
    <row r="17" spans="1:13" x14ac:dyDescent="0.3">
      <c r="A17" s="4" t="s">
        <v>34</v>
      </c>
      <c r="B17" s="41">
        <f>Entrate_Uscite!B17</f>
        <v>0</v>
      </c>
      <c r="C17" s="41">
        <f>Entrate_Uscite!E17</f>
        <v>2565000</v>
      </c>
      <c r="D17" s="41">
        <f>Entrate_Uscite!H17</f>
        <v>0</v>
      </c>
      <c r="E17" s="41">
        <f>Entrate_Uscite!K17</f>
        <v>2901966.83</v>
      </c>
      <c r="F17" s="41">
        <f>Entrate_Uscite!N17</f>
        <v>0</v>
      </c>
      <c r="G17" s="41">
        <f>Entrate_Uscite!Q17</f>
        <v>0</v>
      </c>
      <c r="H17" s="41">
        <f>Entrate_Uscite!T17</f>
        <v>0</v>
      </c>
      <c r="I17" s="41">
        <f>Entrate_Uscite!W17</f>
        <v>0</v>
      </c>
      <c r="J17" s="41">
        <f t="shared" si="0"/>
        <v>0</v>
      </c>
      <c r="K17" s="116" t="str">
        <f t="shared" si="1"/>
        <v>-</v>
      </c>
      <c r="L17" s="41">
        <f>Entrate_Uscite!X17</f>
        <v>0</v>
      </c>
      <c r="M17" s="42" t="str">
        <f t="shared" si="2"/>
        <v>-</v>
      </c>
    </row>
    <row r="18" spans="1:13" x14ac:dyDescent="0.3">
      <c r="A18" s="4" t="s">
        <v>35</v>
      </c>
      <c r="B18" s="41">
        <f>Entrate_Uscite!B18</f>
        <v>0</v>
      </c>
      <c r="C18" s="41">
        <f>Entrate_Uscite!E18</f>
        <v>0</v>
      </c>
      <c r="D18" s="41">
        <f>Entrate_Uscite!H18</f>
        <v>0</v>
      </c>
      <c r="E18" s="41">
        <f>Entrate_Uscite!K18</f>
        <v>0</v>
      </c>
      <c r="F18" s="41">
        <f>Entrate_Uscite!N18</f>
        <v>0</v>
      </c>
      <c r="G18" s="41">
        <f>Entrate_Uscite!Q18</f>
        <v>0</v>
      </c>
      <c r="H18" s="41">
        <f>Entrate_Uscite!T18</f>
        <v>0</v>
      </c>
      <c r="I18" s="41">
        <f>Entrate_Uscite!W18</f>
        <v>0</v>
      </c>
      <c r="J18" s="41">
        <f t="shared" si="0"/>
        <v>0</v>
      </c>
      <c r="K18" s="116" t="str">
        <f t="shared" si="1"/>
        <v>-</v>
      </c>
      <c r="L18" s="41">
        <f>Entrate_Uscite!X18</f>
        <v>0</v>
      </c>
      <c r="M18" s="42" t="str">
        <f t="shared" si="2"/>
        <v>-</v>
      </c>
    </row>
    <row r="19" spans="1:13" x14ac:dyDescent="0.3">
      <c r="A19" s="4" t="s">
        <v>36</v>
      </c>
      <c r="B19" s="41">
        <f>Entrate_Uscite!B19</f>
        <v>30898661.510000002</v>
      </c>
      <c r="C19" s="41">
        <f>Entrate_Uscite!E19</f>
        <v>30151031.309999999</v>
      </c>
      <c r="D19" s="41">
        <f>Entrate_Uscite!H19</f>
        <v>30791299.079999998</v>
      </c>
      <c r="E19" s="41">
        <f>Entrate_Uscite!K19</f>
        <v>58209610.68</v>
      </c>
      <c r="F19" s="41">
        <f>Entrate_Uscite!N19</f>
        <v>27267528.02</v>
      </c>
      <c r="G19" s="41">
        <f>Entrate_Uscite!Q19</f>
        <v>30827166.710000001</v>
      </c>
      <c r="H19" s="41">
        <f>Entrate_Uscite!T19</f>
        <v>31887073.289999999</v>
      </c>
      <c r="I19" s="41">
        <f>Entrate_Uscite!W19</f>
        <v>53902070.700000003</v>
      </c>
      <c r="J19" s="41"/>
      <c r="K19" s="116">
        <f t="shared" si="1"/>
        <v>69.04050807605492</v>
      </c>
      <c r="L19" s="41">
        <f>Entrate_Uscite!X19</f>
        <v>52445820.5</v>
      </c>
      <c r="M19" s="42">
        <f t="shared" si="2"/>
        <v>97.298340896577102</v>
      </c>
    </row>
    <row r="20" spans="1:13" x14ac:dyDescent="0.3">
      <c r="A20" s="44" t="s">
        <v>37</v>
      </c>
      <c r="B20" s="45">
        <f t="shared" ref="B20:I20" si="13">B5+B11+B15+B17+B18+B19</f>
        <v>270702276.13</v>
      </c>
      <c r="C20" s="45">
        <f t="shared" si="13"/>
        <v>311472053.24000001</v>
      </c>
      <c r="D20" s="45">
        <f t="shared" si="13"/>
        <v>326766293.96999997</v>
      </c>
      <c r="E20" s="45">
        <f t="shared" si="13"/>
        <v>344502333.90999997</v>
      </c>
      <c r="F20" s="45">
        <f t="shared" si="13"/>
        <v>336908795.35999995</v>
      </c>
      <c r="G20" s="45">
        <f t="shared" ref="G20:H20" si="14">G5+G11+G15+G17+G18+G19</f>
        <v>312393474.11999995</v>
      </c>
      <c r="H20" s="45">
        <f t="shared" si="14"/>
        <v>351145461.28999996</v>
      </c>
      <c r="I20" s="45">
        <f t="shared" si="13"/>
        <v>411226438.97999996</v>
      </c>
      <c r="J20" s="45"/>
      <c r="K20" s="127">
        <f t="shared" si="1"/>
        <v>17.109996942372831</v>
      </c>
      <c r="L20" s="45">
        <f>L5+L11+L15+L17+L18+L19</f>
        <v>270792662.34000003</v>
      </c>
      <c r="M20" s="46">
        <f t="shared" si="2"/>
        <v>65.850012711164723</v>
      </c>
    </row>
    <row r="21" spans="1:13" x14ac:dyDescent="0.3">
      <c r="A21" s="36" t="s">
        <v>38</v>
      </c>
      <c r="B21" s="47">
        <f t="shared" ref="B21:I21" si="15">B20-B19</f>
        <v>239803614.62</v>
      </c>
      <c r="C21" s="47">
        <f t="shared" si="15"/>
        <v>281321021.93000001</v>
      </c>
      <c r="D21" s="47">
        <f t="shared" si="15"/>
        <v>295974994.88999999</v>
      </c>
      <c r="E21" s="47">
        <f t="shared" si="15"/>
        <v>286292723.22999996</v>
      </c>
      <c r="F21" s="47">
        <f t="shared" si="15"/>
        <v>309641267.33999997</v>
      </c>
      <c r="G21" s="47">
        <f t="shared" ref="G21:H21" si="16">G20-G19</f>
        <v>281566307.40999997</v>
      </c>
      <c r="H21" s="47">
        <f t="shared" si="16"/>
        <v>319258387.99999994</v>
      </c>
      <c r="I21" s="47">
        <f t="shared" si="15"/>
        <v>357324368.27999997</v>
      </c>
      <c r="J21" s="47">
        <f t="shared" si="0"/>
        <v>100</v>
      </c>
      <c r="K21" s="48">
        <f t="shared" si="1"/>
        <v>11.923251419787292</v>
      </c>
      <c r="L21" s="47">
        <f>L20-L19</f>
        <v>218346841.84000003</v>
      </c>
      <c r="M21" s="49">
        <f t="shared" si="2"/>
        <v>61.106059710123958</v>
      </c>
    </row>
    <row r="22" spans="1:13" x14ac:dyDescent="0.3">
      <c r="L22" s="6"/>
    </row>
    <row r="23" spans="1:13" x14ac:dyDescent="0.3">
      <c r="L23" s="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topLeftCell="B1" workbookViewId="0">
      <selection activeCell="K1" sqref="K1:K31"/>
    </sheetView>
  </sheetViews>
  <sheetFormatPr defaultRowHeight="14.4" x14ac:dyDescent="0.3"/>
  <cols>
    <col min="1" max="1" width="50.6640625" bestFit="1" customWidth="1"/>
    <col min="2" max="3" width="12.5546875" bestFit="1" customWidth="1"/>
    <col min="4" max="8" width="12.5546875" style="112" bestFit="1" customWidth="1"/>
    <col min="9" max="9" width="12.5546875" bestFit="1" customWidth="1"/>
    <col min="10" max="10" width="8.5546875" customWidth="1"/>
    <col min="11" max="11" width="6.5546875" style="112" bestFit="1" customWidth="1"/>
    <col min="12" max="12" width="12.5546875" bestFit="1" customWidth="1"/>
    <col min="13" max="13" width="7" bestFit="1" customWidth="1"/>
  </cols>
  <sheetData>
    <row r="1" spans="1:13" ht="28.8" x14ac:dyDescent="0.3">
      <c r="A1" s="39"/>
      <c r="B1" s="40">
        <v>2016</v>
      </c>
      <c r="C1" s="40">
        <v>2017</v>
      </c>
      <c r="D1" s="128">
        <v>2018</v>
      </c>
      <c r="E1" s="128">
        <v>2019</v>
      </c>
      <c r="F1" s="128">
        <v>2020</v>
      </c>
      <c r="G1" s="128">
        <v>2021</v>
      </c>
      <c r="H1" s="128">
        <v>2022</v>
      </c>
      <c r="I1" s="128">
        <v>2023</v>
      </c>
      <c r="J1" s="129" t="s">
        <v>297</v>
      </c>
      <c r="K1" s="128" t="s">
        <v>233</v>
      </c>
      <c r="L1" s="129" t="s">
        <v>367</v>
      </c>
      <c r="M1" s="40" t="s">
        <v>339</v>
      </c>
    </row>
    <row r="2" spans="1:13" x14ac:dyDescent="0.3">
      <c r="A2" s="54" t="s">
        <v>270</v>
      </c>
      <c r="B2" s="51">
        <f>Entrate_Uscite!B23</f>
        <v>50155051.880000003</v>
      </c>
      <c r="C2" s="51">
        <f>Entrate_Uscite!E23</f>
        <v>46653630.619999997</v>
      </c>
      <c r="D2" s="124">
        <f>Entrate_Uscite!H23</f>
        <v>48619164.619999997</v>
      </c>
      <c r="E2" s="124">
        <f>Entrate_Uscite!K23</f>
        <v>47200400.039999999</v>
      </c>
      <c r="F2" s="124">
        <f>Entrate_Uscite!N23</f>
        <v>45805104.780000001</v>
      </c>
      <c r="G2" s="124">
        <f>Entrate_Uscite!Q23</f>
        <v>44262276.289999999</v>
      </c>
      <c r="H2" s="124">
        <f>Entrate_Uscite!T23</f>
        <v>47005497.219999999</v>
      </c>
      <c r="I2" s="51">
        <f>Entrate_Uscite!W23</f>
        <v>51584061.609999999</v>
      </c>
      <c r="J2" s="51">
        <f>I2/I$31*100</f>
        <v>15.393900243142475</v>
      </c>
      <c r="K2" s="52">
        <f>IF(H2&gt;0,I2/H2*100-100,"-")</f>
        <v>9.7404870936072143</v>
      </c>
      <c r="L2" s="51">
        <f>Entrate_Uscite!X23</f>
        <v>48273307.600000001</v>
      </c>
      <c r="M2" s="53">
        <f>IF(I2&gt;0,L2/I2*100,"-")</f>
        <v>93.581827590407926</v>
      </c>
    </row>
    <row r="3" spans="1:13" x14ac:dyDescent="0.3">
      <c r="A3" s="54" t="s">
        <v>271</v>
      </c>
      <c r="B3" s="51">
        <f>Entrate_Uscite!B24</f>
        <v>3280511.48</v>
      </c>
      <c r="C3" s="51">
        <f>Entrate_Uscite!E24</f>
        <v>3241220.44</v>
      </c>
      <c r="D3" s="124">
        <f>Entrate_Uscite!H24</f>
        <v>3136923.98</v>
      </c>
      <c r="E3" s="124">
        <f>Entrate_Uscite!K24</f>
        <v>3248933.61</v>
      </c>
      <c r="F3" s="124">
        <f>Entrate_Uscite!N24</f>
        <v>3201325.49</v>
      </c>
      <c r="G3" s="124">
        <f>Entrate_Uscite!Q24</f>
        <v>3016839.8</v>
      </c>
      <c r="H3" s="124">
        <f>Entrate_Uscite!T24</f>
        <v>3210713.93</v>
      </c>
      <c r="I3" s="51">
        <f>Entrate_Uscite!W24</f>
        <v>3622029.72</v>
      </c>
      <c r="J3" s="51">
        <f t="shared" ref="J3:J31" si="0">I3/I$31*100</f>
        <v>1.0808990693468052</v>
      </c>
      <c r="K3" s="52">
        <f t="shared" ref="K3:K31" si="1">IF(H3&gt;0,I3/H3*100-100,"-")</f>
        <v>12.810726803057165</v>
      </c>
      <c r="L3" s="51">
        <f>Entrate_Uscite!X24</f>
        <v>3082880.49</v>
      </c>
      <c r="M3" s="53">
        <f>IF(I3&gt;0,L3/I3*100,"-")</f>
        <v>85.114720980257445</v>
      </c>
    </row>
    <row r="4" spans="1:13" x14ac:dyDescent="0.3">
      <c r="A4" s="54" t="s">
        <v>272</v>
      </c>
      <c r="B4" s="51">
        <f>Entrate_Uscite!B25</f>
        <v>109302337.78</v>
      </c>
      <c r="C4" s="51">
        <f>Entrate_Uscite!E25</f>
        <v>115187680.04000001</v>
      </c>
      <c r="D4" s="124">
        <f>Entrate_Uscite!H25</f>
        <v>117574944.59999999</v>
      </c>
      <c r="E4" s="124">
        <f>Entrate_Uscite!K25</f>
        <v>112323461.08</v>
      </c>
      <c r="F4" s="124">
        <f>Entrate_Uscite!N25</f>
        <v>110759652.11</v>
      </c>
      <c r="G4" s="124">
        <f>Entrate_Uscite!Q25</f>
        <v>122459719.3</v>
      </c>
      <c r="H4" s="124">
        <f>Entrate_Uscite!T25</f>
        <v>134536848.74000001</v>
      </c>
      <c r="I4" s="51">
        <f>Entrate_Uscite!W25</f>
        <v>145383452.59999999</v>
      </c>
      <c r="J4" s="51">
        <f t="shared" si="0"/>
        <v>43.385850134262668</v>
      </c>
      <c r="K4" s="52">
        <f t="shared" si="1"/>
        <v>8.0621807048280516</v>
      </c>
      <c r="L4" s="51">
        <f>Entrate_Uscite!X25</f>
        <v>107123053.78</v>
      </c>
      <c r="M4" s="53">
        <f t="shared" ref="M4:M9" si="2">IF(I4&gt;0,L4/I4*100,"-")</f>
        <v>73.683113080779876</v>
      </c>
    </row>
    <row r="5" spans="1:13" x14ac:dyDescent="0.3">
      <c r="A5" s="54" t="s">
        <v>273</v>
      </c>
      <c r="B5" s="51">
        <f>Entrate_Uscite!B26</f>
        <v>31452949.190000001</v>
      </c>
      <c r="C5" s="51">
        <f>Entrate_Uscite!E26</f>
        <v>36189794.649999999</v>
      </c>
      <c r="D5" s="124">
        <f>Entrate_Uscite!H26</f>
        <v>37164055.359999999</v>
      </c>
      <c r="E5" s="124">
        <f>Entrate_Uscite!K26</f>
        <v>29525730.489999998</v>
      </c>
      <c r="F5" s="124">
        <f>Entrate_Uscite!N26</f>
        <v>43345348.689999998</v>
      </c>
      <c r="G5" s="124">
        <f>Entrate_Uscite!Q26</f>
        <v>41326554.939999998</v>
      </c>
      <c r="H5" s="124">
        <f>Entrate_Uscite!T26</f>
        <v>39267298.030000001</v>
      </c>
      <c r="I5" s="51">
        <f>Entrate_Uscite!W26</f>
        <v>41994323.590000004</v>
      </c>
      <c r="J5" s="51">
        <f t="shared" si="0"/>
        <v>12.532096309325588</v>
      </c>
      <c r="K5" s="52">
        <f t="shared" si="1"/>
        <v>6.9447751610425712</v>
      </c>
      <c r="L5" s="51">
        <f>Entrate_Uscite!X26</f>
        <v>29333247.359999999</v>
      </c>
      <c r="M5" s="53">
        <f t="shared" si="2"/>
        <v>69.850505621633701</v>
      </c>
    </row>
    <row r="6" spans="1:13" x14ac:dyDescent="0.3">
      <c r="A6" s="54" t="s">
        <v>274</v>
      </c>
      <c r="B6" s="51">
        <f>Entrate_Uscite!B27</f>
        <v>1520395.48</v>
      </c>
      <c r="C6" s="51">
        <f>Entrate_Uscite!E27</f>
        <v>1500045.23</v>
      </c>
      <c r="D6" s="124">
        <f>Entrate_Uscite!H27</f>
        <v>1326891.73</v>
      </c>
      <c r="E6" s="124">
        <f>Entrate_Uscite!K27</f>
        <v>1200332.53</v>
      </c>
      <c r="F6" s="124">
        <f>Entrate_Uscite!N27</f>
        <v>1043322.7</v>
      </c>
      <c r="G6" s="124">
        <f>Entrate_Uscite!Q27</f>
        <v>939187.08</v>
      </c>
      <c r="H6" s="124">
        <f>Entrate_Uscite!T27</f>
        <v>858586.33</v>
      </c>
      <c r="I6" s="51">
        <f>Entrate_Uscite!W27</f>
        <v>2034415.79</v>
      </c>
      <c r="J6" s="51">
        <f t="shared" si="0"/>
        <v>0.60711763957459897</v>
      </c>
      <c r="K6" s="52">
        <f t="shared" si="1"/>
        <v>136.94947367727136</v>
      </c>
      <c r="L6" s="51">
        <f>Entrate_Uscite!X27</f>
        <v>2024452.15</v>
      </c>
      <c r="M6" s="53">
        <f t="shared" si="2"/>
        <v>99.510245641575551</v>
      </c>
    </row>
    <row r="7" spans="1:13" x14ac:dyDescent="0.3">
      <c r="A7" s="54" t="s">
        <v>275</v>
      </c>
      <c r="B7" s="51">
        <f>Entrate_Uscite!B28</f>
        <v>0</v>
      </c>
      <c r="C7" s="51">
        <f>Entrate_Uscite!E28</f>
        <v>0</v>
      </c>
      <c r="D7" s="124">
        <f>Entrate_Uscite!H28</f>
        <v>0</v>
      </c>
      <c r="E7" s="124">
        <f>Entrate_Uscite!K28</f>
        <v>0</v>
      </c>
      <c r="F7" s="124">
        <f>Entrate_Uscite!N28</f>
        <v>0</v>
      </c>
      <c r="G7" s="124">
        <f>Entrate_Uscite!Q28</f>
        <v>0</v>
      </c>
      <c r="H7" s="124">
        <f>Entrate_Uscite!T28</f>
        <v>0</v>
      </c>
      <c r="I7" s="51">
        <f>Entrate_Uscite!W28</f>
        <v>0</v>
      </c>
      <c r="J7" s="51">
        <f t="shared" si="0"/>
        <v>0</v>
      </c>
      <c r="K7" s="52" t="str">
        <f t="shared" si="1"/>
        <v>-</v>
      </c>
      <c r="L7" s="51">
        <f>Entrate_Uscite!X28</f>
        <v>0</v>
      </c>
      <c r="M7" s="53" t="str">
        <f t="shared" si="2"/>
        <v>-</v>
      </c>
    </row>
    <row r="8" spans="1:13" x14ac:dyDescent="0.3">
      <c r="A8" s="54" t="s">
        <v>276</v>
      </c>
      <c r="B8" s="51">
        <f>Entrate_Uscite!B29</f>
        <v>0</v>
      </c>
      <c r="C8" s="51">
        <f>Entrate_Uscite!E29</f>
        <v>433675.75</v>
      </c>
      <c r="D8" s="124">
        <f>Entrate_Uscite!H29</f>
        <v>591434.19999999995</v>
      </c>
      <c r="E8" s="124">
        <f>Entrate_Uscite!K29</f>
        <v>852629.04</v>
      </c>
      <c r="F8" s="124">
        <f>Entrate_Uscite!N29</f>
        <v>1324103.5</v>
      </c>
      <c r="G8" s="124">
        <f>Entrate_Uscite!Q29</f>
        <v>924275.04</v>
      </c>
      <c r="H8" s="124">
        <f>Entrate_Uscite!T29</f>
        <v>1621166.72</v>
      </c>
      <c r="I8" s="51">
        <f>Entrate_Uscite!W29</f>
        <v>3298652.25</v>
      </c>
      <c r="J8" s="51">
        <f t="shared" si="0"/>
        <v>0.9843956076439222</v>
      </c>
      <c r="K8" s="52">
        <f t="shared" si="1"/>
        <v>103.47396781004733</v>
      </c>
      <c r="L8" s="51">
        <f>Entrate_Uscite!X29</f>
        <v>3218938.59</v>
      </c>
      <c r="M8" s="53">
        <f t="shared" si="2"/>
        <v>97.583447603487144</v>
      </c>
    </row>
    <row r="9" spans="1:13" x14ac:dyDescent="0.3">
      <c r="A9" s="54" t="s">
        <v>277</v>
      </c>
      <c r="B9" s="51">
        <f>Entrate_Uscite!B30</f>
        <v>4244126.08</v>
      </c>
      <c r="C9" s="51">
        <f>Entrate_Uscite!E30</f>
        <v>5957641.4299999997</v>
      </c>
      <c r="D9" s="124">
        <f>Entrate_Uscite!H30</f>
        <v>4245388.46</v>
      </c>
      <c r="E9" s="124">
        <f>Entrate_Uscite!K30</f>
        <v>3456340.22</v>
      </c>
      <c r="F9" s="124">
        <f>Entrate_Uscite!N30</f>
        <v>3371512.77</v>
      </c>
      <c r="G9" s="124">
        <f>Entrate_Uscite!Q30</f>
        <v>6821537.0599999996</v>
      </c>
      <c r="H9" s="124">
        <f>Entrate_Uscite!T30</f>
        <v>3136741.32</v>
      </c>
      <c r="I9" s="51">
        <f>Entrate_Uscite!W30</f>
        <v>3601468.31</v>
      </c>
      <c r="J9" s="51">
        <f t="shared" si="0"/>
        <v>1.0747630598020084</v>
      </c>
      <c r="K9" s="52">
        <f t="shared" si="1"/>
        <v>14.815598182638794</v>
      </c>
      <c r="L9" s="51">
        <f>Entrate_Uscite!X30</f>
        <v>3211624.97</v>
      </c>
      <c r="M9" s="53">
        <f t="shared" si="2"/>
        <v>89.175433283209983</v>
      </c>
    </row>
    <row r="10" spans="1:13" x14ac:dyDescent="0.3">
      <c r="A10" s="4" t="s">
        <v>282</v>
      </c>
      <c r="B10" s="41">
        <f t="shared" ref="B10:I10" si="3">SUM(B2:B9)</f>
        <v>199955371.88999999</v>
      </c>
      <c r="C10" s="41">
        <f t="shared" si="3"/>
        <v>209163688.16</v>
      </c>
      <c r="D10" s="41">
        <f t="shared" si="3"/>
        <v>212658802.94999999</v>
      </c>
      <c r="E10" s="41">
        <f t="shared" si="3"/>
        <v>197807827.00999999</v>
      </c>
      <c r="F10" s="41">
        <f t="shared" si="3"/>
        <v>208850370.03999999</v>
      </c>
      <c r="G10" s="41">
        <f t="shared" ref="G10:H10" si="4">SUM(G2:G9)</f>
        <v>219750389.50999999</v>
      </c>
      <c r="H10" s="41">
        <f t="shared" si="4"/>
        <v>229636852.29000002</v>
      </c>
      <c r="I10" s="41">
        <f t="shared" si="3"/>
        <v>251518403.87</v>
      </c>
      <c r="J10" s="41">
        <f t="shared" si="0"/>
        <v>75.05902206309807</v>
      </c>
      <c r="K10" s="116">
        <f t="shared" si="1"/>
        <v>9.5287630716896388</v>
      </c>
      <c r="L10" s="41">
        <f>SUM(L2:L9)</f>
        <v>196267504.94000003</v>
      </c>
      <c r="M10" s="42">
        <f t="shared" ref="M10:M17" si="5">IF(I10&gt;0,L10/I10*100,"-")</f>
        <v>78.033059179813733</v>
      </c>
    </row>
    <row r="11" spans="1:13" x14ac:dyDescent="0.3">
      <c r="A11" s="54" t="s">
        <v>278</v>
      </c>
      <c r="B11" s="51">
        <f>Entrate_Uscite!B32</f>
        <v>32971933.52</v>
      </c>
      <c r="C11" s="51">
        <f>Entrate_Uscite!E32</f>
        <v>31310039.050000001</v>
      </c>
      <c r="D11" s="124">
        <f>Entrate_Uscite!H32</f>
        <v>29109586.600000001</v>
      </c>
      <c r="E11" s="124">
        <f>Entrate_Uscite!K32</f>
        <v>20401468.350000001</v>
      </c>
      <c r="F11" s="124">
        <f>Entrate_Uscite!N32</f>
        <v>23451076.5</v>
      </c>
      <c r="G11" s="124">
        <f>Entrate_Uscite!Q32</f>
        <v>27239574.170000002</v>
      </c>
      <c r="H11" s="124">
        <f>Entrate_Uscite!T32</f>
        <v>31450384.739999998</v>
      </c>
      <c r="I11" s="51">
        <f>Entrate_Uscite!W32</f>
        <v>67815995.829999998</v>
      </c>
      <c r="J11" s="51">
        <f t="shared" si="0"/>
        <v>20.237892133992162</v>
      </c>
      <c r="K11" s="52">
        <f t="shared" si="1"/>
        <v>115.6285094463363</v>
      </c>
      <c r="L11" s="51">
        <f>Entrate_Uscite!X32</f>
        <v>51935384.68</v>
      </c>
      <c r="M11" s="53">
        <f t="shared" si="5"/>
        <v>76.58279443420804</v>
      </c>
    </row>
    <row r="12" spans="1:13" x14ac:dyDescent="0.3">
      <c r="A12" s="54" t="s">
        <v>279</v>
      </c>
      <c r="B12" s="51">
        <f>Entrate_Uscite!B33</f>
        <v>682103.86</v>
      </c>
      <c r="C12" s="51">
        <f>Entrate_Uscite!E33</f>
        <v>171611</v>
      </c>
      <c r="D12" s="124">
        <f>Entrate_Uscite!H33</f>
        <v>437558.27</v>
      </c>
      <c r="E12" s="124">
        <f>Entrate_Uscite!K33</f>
        <v>1273793.52</v>
      </c>
      <c r="F12" s="124">
        <f>Entrate_Uscite!N33</f>
        <v>176675.84999999998</v>
      </c>
      <c r="G12" s="124">
        <f>Entrate_Uscite!Q33</f>
        <v>647476.65</v>
      </c>
      <c r="H12" s="124">
        <f>Entrate_Uscite!T33</f>
        <v>251432.93</v>
      </c>
      <c r="I12" s="51">
        <f>Entrate_Uscite!W33</f>
        <v>12225452.560000001</v>
      </c>
      <c r="J12" s="51">
        <f t="shared" si="0"/>
        <v>3.648363297926644</v>
      </c>
      <c r="K12" s="52">
        <f t="shared" si="1"/>
        <v>4762.3116152685334</v>
      </c>
      <c r="L12" s="51">
        <f>Entrate_Uscite!X33</f>
        <v>10536879.73</v>
      </c>
      <c r="M12" s="53">
        <f t="shared" si="5"/>
        <v>86.188054620368177</v>
      </c>
    </row>
    <row r="13" spans="1:13" x14ac:dyDescent="0.3">
      <c r="A13" s="54" t="s">
        <v>280</v>
      </c>
      <c r="B13" s="51">
        <f>Entrate_Uscite!B34</f>
        <v>0</v>
      </c>
      <c r="C13" s="51">
        <f>Entrate_Uscite!E34</f>
        <v>0</v>
      </c>
      <c r="D13" s="124">
        <f>Entrate_Uscite!H34</f>
        <v>0</v>
      </c>
      <c r="E13" s="124">
        <f>Entrate_Uscite!K34</f>
        <v>0</v>
      </c>
      <c r="F13" s="124">
        <f>Entrate_Uscite!N34</f>
        <v>0</v>
      </c>
      <c r="G13" s="124">
        <f>Entrate_Uscite!Q34</f>
        <v>0</v>
      </c>
      <c r="H13" s="124">
        <f>Entrate_Uscite!T34</f>
        <v>0</v>
      </c>
      <c r="I13" s="51">
        <f>Entrate_Uscite!W34</f>
        <v>0</v>
      </c>
      <c r="J13" s="51">
        <f t="shared" si="0"/>
        <v>0</v>
      </c>
      <c r="K13" s="52" t="str">
        <f t="shared" si="1"/>
        <v>-</v>
      </c>
      <c r="L13" s="51">
        <f>Entrate_Uscite!X34</f>
        <v>0</v>
      </c>
      <c r="M13" s="53" t="str">
        <f t="shared" si="5"/>
        <v>-</v>
      </c>
    </row>
    <row r="14" spans="1:13" x14ac:dyDescent="0.3">
      <c r="A14" s="54" t="s">
        <v>281</v>
      </c>
      <c r="B14" s="51">
        <f>Entrate_Uscite!B35</f>
        <v>1557477.63</v>
      </c>
      <c r="C14" s="51">
        <f>Entrate_Uscite!E35</f>
        <v>471619.49</v>
      </c>
      <c r="D14" s="124">
        <f>Entrate_Uscite!H35</f>
        <v>226700.82</v>
      </c>
      <c r="E14" s="124">
        <f>Entrate_Uscite!K35</f>
        <v>178225.78</v>
      </c>
      <c r="F14" s="124">
        <f>Entrate_Uscite!N35</f>
        <v>1096543.4799999981</v>
      </c>
      <c r="G14" s="124">
        <f>Entrate_Uscite!Q35</f>
        <v>328904.26</v>
      </c>
      <c r="H14" s="124">
        <f>Entrate_Uscite!T35</f>
        <v>177925.25</v>
      </c>
      <c r="I14" s="51">
        <f>Entrate_Uscite!W35</f>
        <v>145950.32</v>
      </c>
      <c r="J14" s="51">
        <f t="shared" si="0"/>
        <v>4.3555016732128971E-2</v>
      </c>
      <c r="K14" s="52">
        <f t="shared" si="1"/>
        <v>-17.970990626681697</v>
      </c>
      <c r="L14" s="51">
        <f>Entrate_Uscite!X35</f>
        <v>62647.74</v>
      </c>
      <c r="M14" s="53">
        <f t="shared" si="5"/>
        <v>42.924016884649511</v>
      </c>
    </row>
    <row r="15" spans="1:13" x14ac:dyDescent="0.3">
      <c r="A15" s="4" t="s">
        <v>283</v>
      </c>
      <c r="B15" s="43">
        <f t="shared" ref="B15:I15" si="6">SUM(B11:B14)</f>
        <v>35211515.010000005</v>
      </c>
      <c r="C15" s="43">
        <f t="shared" si="6"/>
        <v>31953269.539999999</v>
      </c>
      <c r="D15" s="43">
        <f t="shared" si="6"/>
        <v>29773845.690000001</v>
      </c>
      <c r="E15" s="43">
        <f t="shared" si="6"/>
        <v>21853487.650000002</v>
      </c>
      <c r="F15" s="43">
        <f t="shared" si="6"/>
        <v>24724295.829999998</v>
      </c>
      <c r="G15" s="43">
        <f t="shared" ref="G15" si="7">SUM(G11:G14)</f>
        <v>28215955.080000002</v>
      </c>
      <c r="H15" s="43">
        <f t="shared" ref="H15" si="8">SUM(H11:H14)</f>
        <v>31879742.919999998</v>
      </c>
      <c r="I15" s="43">
        <f t="shared" si="6"/>
        <v>80187398.709999993</v>
      </c>
      <c r="J15" s="43">
        <f t="shared" si="0"/>
        <v>23.929810448650933</v>
      </c>
      <c r="K15" s="116">
        <f t="shared" si="1"/>
        <v>151.53088251440641</v>
      </c>
      <c r="L15" s="43">
        <f>SUM(L11:L14)</f>
        <v>62534912.149999999</v>
      </c>
      <c r="M15" s="42">
        <f t="shared" si="5"/>
        <v>77.985959335280711</v>
      </c>
    </row>
    <row r="16" spans="1:13" x14ac:dyDescent="0.3">
      <c r="A16" s="54" t="s">
        <v>284</v>
      </c>
      <c r="B16" s="51">
        <f>Entrate_Uscite!B36</f>
        <v>0</v>
      </c>
      <c r="C16" s="51">
        <f>Entrate_Uscite!E36</f>
        <v>0</v>
      </c>
      <c r="D16" s="124">
        <f>Entrate_Uscite!H36</f>
        <v>0</v>
      </c>
      <c r="E16" s="124">
        <f>Entrate_Uscite!K36</f>
        <v>0</v>
      </c>
      <c r="F16" s="124">
        <f>Entrate_Uscite!N36</f>
        <v>0</v>
      </c>
      <c r="G16" s="124">
        <f>Entrate_Uscite!Q36</f>
        <v>0</v>
      </c>
      <c r="H16" s="124">
        <f>Entrate_Uscite!T36</f>
        <v>0</v>
      </c>
      <c r="I16" s="51">
        <f>Entrate_Uscite!W36</f>
        <v>0</v>
      </c>
      <c r="J16" s="51">
        <f t="shared" si="0"/>
        <v>0</v>
      </c>
      <c r="K16" s="52" t="str">
        <f t="shared" si="1"/>
        <v>-</v>
      </c>
      <c r="L16" s="51">
        <f>Entrate_Uscite!X36</f>
        <v>0</v>
      </c>
      <c r="M16" s="53" t="str">
        <f t="shared" si="5"/>
        <v>-</v>
      </c>
    </row>
    <row r="17" spans="1:13" x14ac:dyDescent="0.3">
      <c r="A17" s="54" t="s">
        <v>285</v>
      </c>
      <c r="B17" s="51">
        <f>Entrate_Uscite!B37</f>
        <v>0</v>
      </c>
      <c r="C17" s="51">
        <f>Entrate_Uscite!E37</f>
        <v>0</v>
      </c>
      <c r="D17" s="124">
        <f>Entrate_Uscite!H37</f>
        <v>0</v>
      </c>
      <c r="E17" s="124">
        <f>Entrate_Uscite!K37</f>
        <v>0</v>
      </c>
      <c r="F17" s="124">
        <f>Entrate_Uscite!N37</f>
        <v>0</v>
      </c>
      <c r="G17" s="124">
        <f>Entrate_Uscite!Q37</f>
        <v>0</v>
      </c>
      <c r="H17" s="124">
        <f>Entrate_Uscite!T37</f>
        <v>0</v>
      </c>
      <c r="I17" s="51">
        <f>Entrate_Uscite!W37</f>
        <v>0</v>
      </c>
      <c r="J17" s="51">
        <f t="shared" si="0"/>
        <v>0</v>
      </c>
      <c r="K17" s="52" t="str">
        <f t="shared" si="1"/>
        <v>-</v>
      </c>
      <c r="L17" s="51">
        <f>Entrate_Uscite!X37</f>
        <v>0</v>
      </c>
      <c r="M17" s="53" t="str">
        <f t="shared" si="5"/>
        <v>-</v>
      </c>
    </row>
    <row r="18" spans="1:13" x14ac:dyDescent="0.3">
      <c r="A18" s="54" t="s">
        <v>286</v>
      </c>
      <c r="B18" s="51">
        <f>Entrate_Uscite!B38</f>
        <v>0</v>
      </c>
      <c r="C18" s="51">
        <f>Entrate_Uscite!E38</f>
        <v>0</v>
      </c>
      <c r="D18" s="124">
        <f>Entrate_Uscite!H38</f>
        <v>0</v>
      </c>
      <c r="E18" s="124">
        <f>Entrate_Uscite!K38</f>
        <v>0</v>
      </c>
      <c r="F18" s="124">
        <f>Entrate_Uscite!N38</f>
        <v>0</v>
      </c>
      <c r="G18" s="124">
        <f>Entrate_Uscite!Q38</f>
        <v>0</v>
      </c>
      <c r="H18" s="124">
        <f>Entrate_Uscite!T38</f>
        <v>0</v>
      </c>
      <c r="I18" s="51">
        <f>Entrate_Uscite!W38</f>
        <v>0</v>
      </c>
      <c r="J18" s="51">
        <f t="shared" si="0"/>
        <v>0</v>
      </c>
      <c r="K18" s="52" t="str">
        <f t="shared" si="1"/>
        <v>-</v>
      </c>
      <c r="L18" s="51">
        <f>Entrate_Uscite!X38</f>
        <v>0</v>
      </c>
      <c r="M18" s="53" t="str">
        <f t="shared" ref="M18:M26" si="9">IF(I18&gt;0,L18/I18*100,"-")</f>
        <v>-</v>
      </c>
    </row>
    <row r="19" spans="1:13" x14ac:dyDescent="0.3">
      <c r="A19" s="54" t="s">
        <v>287</v>
      </c>
      <c r="B19" s="51">
        <f>Entrate_Uscite!B39</f>
        <v>2019661.5</v>
      </c>
      <c r="C19" s="51">
        <f>Entrate_Uscite!E39</f>
        <v>2142658.6</v>
      </c>
      <c r="D19" s="124">
        <f>Entrate_Uscite!H39</f>
        <v>2273146.6800000002</v>
      </c>
      <c r="E19" s="124">
        <f>Entrate_Uscite!K39</f>
        <v>2411582.2999999998</v>
      </c>
      <c r="F19" s="124">
        <f>Entrate_Uscite!N39</f>
        <v>2558446.79</v>
      </c>
      <c r="G19" s="124">
        <f>Entrate_Uscite!Q39</f>
        <v>2714256.62</v>
      </c>
      <c r="H19" s="124">
        <f>Entrate_Uscite!T39</f>
        <v>2879554.53</v>
      </c>
      <c r="I19" s="51">
        <f>Entrate_Uscite!W39</f>
        <v>3054919.48</v>
      </c>
      <c r="J19" s="51">
        <f t="shared" si="0"/>
        <v>0.91166000229877353</v>
      </c>
      <c r="K19" s="52">
        <f t="shared" si="1"/>
        <v>6.0900027477513987</v>
      </c>
      <c r="L19" s="51">
        <f>Entrate_Uscite!X39</f>
        <v>3054919.4</v>
      </c>
      <c r="M19" s="53">
        <f t="shared" si="9"/>
        <v>99.999997381273047</v>
      </c>
    </row>
    <row r="20" spans="1:13" x14ac:dyDescent="0.3">
      <c r="A20" s="4" t="s">
        <v>288</v>
      </c>
      <c r="B20" s="41">
        <f t="shared" ref="B20:I20" si="10">SUM(B16:B19)</f>
        <v>2019661.5</v>
      </c>
      <c r="C20" s="41">
        <f t="shared" si="10"/>
        <v>2142658.6</v>
      </c>
      <c r="D20" s="41">
        <f t="shared" si="10"/>
        <v>2273146.6800000002</v>
      </c>
      <c r="E20" s="41">
        <f t="shared" si="10"/>
        <v>2411582.2999999998</v>
      </c>
      <c r="F20" s="41">
        <f t="shared" si="10"/>
        <v>2558446.79</v>
      </c>
      <c r="G20" s="41">
        <f t="shared" ref="G20:H20" si="11">SUM(G16:G19)</f>
        <v>2714256.62</v>
      </c>
      <c r="H20" s="41">
        <f t="shared" si="11"/>
        <v>2879554.53</v>
      </c>
      <c r="I20" s="41">
        <f t="shared" si="10"/>
        <v>3054919.48</v>
      </c>
      <c r="J20" s="41">
        <f t="shared" si="0"/>
        <v>0.91166000229877353</v>
      </c>
      <c r="K20" s="116">
        <f t="shared" si="1"/>
        <v>6.0900027477513987</v>
      </c>
      <c r="L20" s="41">
        <f>SUM(L16:L19)</f>
        <v>3054919.4</v>
      </c>
      <c r="M20" s="38">
        <f t="shared" si="9"/>
        <v>99.999997381273047</v>
      </c>
    </row>
    <row r="21" spans="1:13" x14ac:dyDescent="0.3">
      <c r="A21" s="44" t="s">
        <v>349</v>
      </c>
      <c r="B21" s="45">
        <f t="shared" ref="B21:I21" si="12">B10+B15+B20</f>
        <v>237186548.39999998</v>
      </c>
      <c r="C21" s="45">
        <f t="shared" si="12"/>
        <v>243259616.29999998</v>
      </c>
      <c r="D21" s="45">
        <f t="shared" si="12"/>
        <v>244705795.31999999</v>
      </c>
      <c r="E21" s="45">
        <f t="shared" si="12"/>
        <v>222072896.96000001</v>
      </c>
      <c r="F21" s="45">
        <f t="shared" si="12"/>
        <v>236133112.66</v>
      </c>
      <c r="G21" s="45">
        <f t="shared" ref="G21:H21" si="13">G10+G15+G20</f>
        <v>250680601.21000001</v>
      </c>
      <c r="H21" s="45">
        <f t="shared" si="13"/>
        <v>264396149.74000001</v>
      </c>
      <c r="I21" s="45">
        <f t="shared" si="12"/>
        <v>334760722.06</v>
      </c>
      <c r="J21" s="45">
        <f>I21/I$31*100</f>
        <v>99.90049251404777</v>
      </c>
      <c r="K21" s="127">
        <f t="shared" si="1"/>
        <v>26.613312027877328</v>
      </c>
      <c r="L21" s="45">
        <f>L10+L15+L20</f>
        <v>261857336.49000004</v>
      </c>
      <c r="M21" s="46">
        <f>IF(I21&gt;0,L21/I21*100,"-")</f>
        <v>78.222240314999297</v>
      </c>
    </row>
    <row r="22" spans="1:13" x14ac:dyDescent="0.3">
      <c r="A22" s="54" t="s">
        <v>289</v>
      </c>
      <c r="B22" s="55">
        <f>Entrate_Uscite!B40</f>
        <v>0</v>
      </c>
      <c r="C22" s="55">
        <f>Entrate_Uscite!E40</f>
        <v>0</v>
      </c>
      <c r="D22" s="55">
        <f>Entrate_Uscite!H40</f>
        <v>0</v>
      </c>
      <c r="E22" s="55">
        <f>Entrate_Uscite!K40</f>
        <v>0</v>
      </c>
      <c r="F22" s="55">
        <f>Entrate_Uscite!N40</f>
        <v>0</v>
      </c>
      <c r="G22" s="55">
        <f>Entrate_Uscite!Q40</f>
        <v>0</v>
      </c>
      <c r="H22" s="55">
        <f>Entrate_Uscite!T40</f>
        <v>0</v>
      </c>
      <c r="I22" s="55">
        <f>Entrate_Uscite!W40</f>
        <v>0</v>
      </c>
      <c r="J22" s="55">
        <f t="shared" si="0"/>
        <v>0</v>
      </c>
      <c r="K22" s="56" t="str">
        <f t="shared" si="1"/>
        <v>-</v>
      </c>
      <c r="L22" s="55">
        <f>Entrate_Uscite!X40</f>
        <v>0</v>
      </c>
      <c r="M22" s="53" t="str">
        <f t="shared" si="9"/>
        <v>-</v>
      </c>
    </row>
    <row r="23" spans="1:13" x14ac:dyDescent="0.3">
      <c r="A23" s="54" t="s">
        <v>290</v>
      </c>
      <c r="B23" s="55">
        <f>Entrate_Uscite!B41</f>
        <v>0</v>
      </c>
      <c r="C23" s="55">
        <f>Entrate_Uscite!E41</f>
        <v>0</v>
      </c>
      <c r="D23" s="55">
        <f>Entrate_Uscite!H41</f>
        <v>0</v>
      </c>
      <c r="E23" s="55">
        <f>Entrate_Uscite!K41</f>
        <v>2901966.83</v>
      </c>
      <c r="F23" s="55">
        <f>Entrate_Uscite!N41</f>
        <v>0</v>
      </c>
      <c r="G23" s="55">
        <f>Entrate_Uscite!Q41</f>
        <v>0</v>
      </c>
      <c r="H23" s="55">
        <f>Entrate_Uscite!T41</f>
        <v>0</v>
      </c>
      <c r="I23" s="55">
        <f>Entrate_Uscite!W41</f>
        <v>0</v>
      </c>
      <c r="J23" s="55">
        <f t="shared" si="0"/>
        <v>0</v>
      </c>
      <c r="K23" s="56" t="str">
        <f t="shared" si="1"/>
        <v>-</v>
      </c>
      <c r="L23" s="55">
        <f>Entrate_Uscite!X41</f>
        <v>0</v>
      </c>
      <c r="M23" s="53" t="str">
        <f t="shared" si="9"/>
        <v>-</v>
      </c>
    </row>
    <row r="24" spans="1:13" x14ac:dyDescent="0.3">
      <c r="A24" s="54" t="s">
        <v>291</v>
      </c>
      <c r="B24" s="55">
        <f>Entrate_Uscite!B42</f>
        <v>693034.5</v>
      </c>
      <c r="C24" s="55">
        <f>Entrate_Uscite!E42</f>
        <v>898509.61</v>
      </c>
      <c r="D24" s="55">
        <f>Entrate_Uscite!H42</f>
        <v>934727.19</v>
      </c>
      <c r="E24" s="55">
        <f>Entrate_Uscite!K42</f>
        <v>972776.66</v>
      </c>
      <c r="F24" s="55">
        <f>Entrate_Uscite!N42</f>
        <v>0</v>
      </c>
      <c r="G24" s="55">
        <f>Entrate_Uscite!Q42</f>
        <v>1239564.23</v>
      </c>
      <c r="H24" s="55">
        <f>Entrate_Uscite!T42</f>
        <v>322419.53000000003</v>
      </c>
      <c r="I24" s="55">
        <f>Entrate_Uscite!W42</f>
        <v>333443.78000000003</v>
      </c>
      <c r="J24" s="55">
        <f t="shared" si="0"/>
        <v>9.9507485952235894E-2</v>
      </c>
      <c r="K24" s="56">
        <f t="shared" si="1"/>
        <v>3.4192252559886782</v>
      </c>
      <c r="L24" s="55">
        <f>Entrate_Uscite!X42</f>
        <v>333443.78000000003</v>
      </c>
      <c r="M24" s="53">
        <f t="shared" si="9"/>
        <v>100</v>
      </c>
    </row>
    <row r="25" spans="1:13" x14ac:dyDescent="0.3">
      <c r="A25" s="54" t="s">
        <v>292</v>
      </c>
      <c r="B25" s="55">
        <f>Entrate_Uscite!B43</f>
        <v>0</v>
      </c>
      <c r="C25" s="55">
        <f>Entrate_Uscite!E43</f>
        <v>0</v>
      </c>
      <c r="D25" s="55">
        <f>Entrate_Uscite!H43</f>
        <v>0</v>
      </c>
      <c r="E25" s="55">
        <f>Entrate_Uscite!K43</f>
        <v>0</v>
      </c>
      <c r="F25" s="55">
        <f>Entrate_Uscite!N43</f>
        <v>0</v>
      </c>
      <c r="G25" s="55">
        <f>Entrate_Uscite!Q43</f>
        <v>0</v>
      </c>
      <c r="H25" s="55">
        <f>Entrate_Uscite!T43</f>
        <v>0</v>
      </c>
      <c r="I25" s="55">
        <f>Entrate_Uscite!W43</f>
        <v>0</v>
      </c>
      <c r="J25" s="55">
        <f t="shared" si="0"/>
        <v>0</v>
      </c>
      <c r="K25" s="56" t="str">
        <f t="shared" si="1"/>
        <v>-</v>
      </c>
      <c r="L25" s="55">
        <f>Entrate_Uscite!X43</f>
        <v>0</v>
      </c>
      <c r="M25" s="53" t="str">
        <f t="shared" si="9"/>
        <v>-</v>
      </c>
    </row>
    <row r="26" spans="1:13" x14ac:dyDescent="0.3">
      <c r="A26" s="54" t="s">
        <v>293</v>
      </c>
      <c r="B26" s="55">
        <f>Entrate_Uscite!B44</f>
        <v>0</v>
      </c>
      <c r="C26" s="55">
        <f>Entrate_Uscite!E44</f>
        <v>0</v>
      </c>
      <c r="D26" s="55">
        <f>Entrate_Uscite!H44</f>
        <v>0</v>
      </c>
      <c r="E26" s="55">
        <f>Entrate_Uscite!K44</f>
        <v>0</v>
      </c>
      <c r="F26" s="55">
        <f>Entrate_Uscite!N44</f>
        <v>0</v>
      </c>
      <c r="G26" s="55">
        <f>Entrate_Uscite!Q44</f>
        <v>0</v>
      </c>
      <c r="H26" s="55">
        <f>Entrate_Uscite!T44</f>
        <v>0</v>
      </c>
      <c r="I26" s="55">
        <f>Entrate_Uscite!W44</f>
        <v>0</v>
      </c>
      <c r="J26" s="55">
        <f t="shared" si="0"/>
        <v>0</v>
      </c>
      <c r="K26" s="56" t="str">
        <f t="shared" si="1"/>
        <v>-</v>
      </c>
      <c r="L26" s="55">
        <f>Entrate_Uscite!X44</f>
        <v>0</v>
      </c>
      <c r="M26" s="53" t="str">
        <f t="shared" si="9"/>
        <v>-</v>
      </c>
    </row>
    <row r="27" spans="1:13" x14ac:dyDescent="0.3">
      <c r="A27" s="4" t="s">
        <v>294</v>
      </c>
      <c r="B27" s="41">
        <f t="shared" ref="B27:I27" si="14">SUM(B22:B26)</f>
        <v>693034.5</v>
      </c>
      <c r="C27" s="41">
        <f t="shared" si="14"/>
        <v>898509.61</v>
      </c>
      <c r="D27" s="41">
        <f t="shared" si="14"/>
        <v>934727.19</v>
      </c>
      <c r="E27" s="41">
        <f t="shared" si="14"/>
        <v>3874743.49</v>
      </c>
      <c r="F27" s="41">
        <f t="shared" si="14"/>
        <v>0</v>
      </c>
      <c r="G27" s="41">
        <f t="shared" ref="G27" si="15">SUM(G22:G26)</f>
        <v>1239564.23</v>
      </c>
      <c r="H27" s="41">
        <f t="shared" ref="H27" si="16">SUM(H22:H26)</f>
        <v>322419.53000000003</v>
      </c>
      <c r="I27" s="41">
        <f t="shared" si="14"/>
        <v>333443.78000000003</v>
      </c>
      <c r="J27" s="41">
        <f t="shared" si="0"/>
        <v>9.9507485952235894E-2</v>
      </c>
      <c r="K27" s="116">
        <f t="shared" si="1"/>
        <v>3.4192252559886782</v>
      </c>
      <c r="L27" s="41">
        <f>SUM(L22:L26)</f>
        <v>333443.78000000003</v>
      </c>
      <c r="M27" s="42">
        <f>IF(I27&gt;0,L27/I27*100,"-")</f>
        <v>100</v>
      </c>
    </row>
    <row r="28" spans="1:13" x14ac:dyDescent="0.3">
      <c r="A28" s="4" t="s">
        <v>295</v>
      </c>
      <c r="B28" s="41">
        <f>Entrate_Uscite!B52</f>
        <v>0</v>
      </c>
      <c r="C28" s="41">
        <f>Entrate_Uscite!E52</f>
        <v>0</v>
      </c>
      <c r="D28" s="41">
        <f>Entrate_Uscite!H52</f>
        <v>0</v>
      </c>
      <c r="E28" s="41">
        <f>Entrate_Uscite!K52</f>
        <v>0</v>
      </c>
      <c r="F28" s="41">
        <f>Entrate_Uscite!N52</f>
        <v>0</v>
      </c>
      <c r="G28" s="41">
        <f>Entrate_Uscite!Q52</f>
        <v>0</v>
      </c>
      <c r="H28" s="41">
        <f>Entrate_Uscite!T52</f>
        <v>0</v>
      </c>
      <c r="I28" s="41">
        <f>Entrate_Uscite!W52</f>
        <v>0</v>
      </c>
      <c r="J28" s="41">
        <f t="shared" si="0"/>
        <v>0</v>
      </c>
      <c r="K28" s="116" t="str">
        <f t="shared" si="1"/>
        <v>-</v>
      </c>
      <c r="L28" s="41">
        <f>Entrate_Uscite!X52</f>
        <v>0</v>
      </c>
      <c r="M28" s="42" t="str">
        <f>IF(I28&gt;0,L28/I28*100,"-")</f>
        <v>-</v>
      </c>
    </row>
    <row r="29" spans="1:13" x14ac:dyDescent="0.3">
      <c r="A29" s="4" t="s">
        <v>296</v>
      </c>
      <c r="B29" s="41">
        <f>Entrate_Uscite!B53</f>
        <v>30898661.509999998</v>
      </c>
      <c r="C29" s="41">
        <f>Entrate_Uscite!E53</f>
        <v>30151031.310000002</v>
      </c>
      <c r="D29" s="41">
        <f>Entrate_Uscite!H53</f>
        <v>30791299.079999998</v>
      </c>
      <c r="E29" s="41">
        <f>Entrate_Uscite!K53</f>
        <v>58209610.68</v>
      </c>
      <c r="F29" s="41">
        <f>Entrate_Uscite!N53</f>
        <v>27267528.02</v>
      </c>
      <c r="G29" s="41">
        <f>Entrate_Uscite!Q53</f>
        <v>30827166.710000001</v>
      </c>
      <c r="H29" s="41">
        <f>Entrate_Uscite!T53</f>
        <v>31887073.289999999</v>
      </c>
      <c r="I29" s="41">
        <f>Entrate_Uscite!W53</f>
        <v>53902070.699999996</v>
      </c>
      <c r="J29" s="41"/>
      <c r="K29" s="116">
        <f t="shared" si="1"/>
        <v>69.04050807605492</v>
      </c>
      <c r="L29" s="41">
        <f>Entrate_Uscite!X53</f>
        <v>47793919.729999997</v>
      </c>
      <c r="M29" s="42">
        <f>IF(I29&gt;0,L29/I29*100,"-")</f>
        <v>88.668058776450678</v>
      </c>
    </row>
    <row r="30" spans="1:13" x14ac:dyDescent="0.3">
      <c r="A30" s="44" t="s">
        <v>69</v>
      </c>
      <c r="B30" s="45">
        <f t="shared" ref="B30:I30" si="17">B10+B15+B20+B27+B28+B29</f>
        <v>268778244.40999997</v>
      </c>
      <c r="C30" s="45">
        <f t="shared" si="17"/>
        <v>274309157.22000003</v>
      </c>
      <c r="D30" s="45">
        <f t="shared" si="17"/>
        <v>276431821.58999997</v>
      </c>
      <c r="E30" s="45">
        <f t="shared" si="17"/>
        <v>284157251.13</v>
      </c>
      <c r="F30" s="45">
        <f t="shared" si="17"/>
        <v>263400640.68000001</v>
      </c>
      <c r="G30" s="45">
        <f t="shared" ref="G30:H30" si="18">G10+G15+G20+G27+G28+G29</f>
        <v>282747332.14999998</v>
      </c>
      <c r="H30" s="45">
        <f t="shared" si="18"/>
        <v>296605642.56</v>
      </c>
      <c r="I30" s="45">
        <f t="shared" si="17"/>
        <v>388996236.53999996</v>
      </c>
      <c r="J30" s="45"/>
      <c r="K30" s="127">
        <f t="shared" si="1"/>
        <v>31.149304235272723</v>
      </c>
      <c r="L30" s="45">
        <f>L10+L15+L20+L27+L28+L29</f>
        <v>309984700.00000006</v>
      </c>
      <c r="M30" s="46">
        <f>IF(I30&gt;0,L30/I30*100,"-")</f>
        <v>79.688354508829491</v>
      </c>
    </row>
    <row r="31" spans="1:13" x14ac:dyDescent="0.3">
      <c r="A31" s="36" t="s">
        <v>70</v>
      </c>
      <c r="B31" s="47">
        <f t="shared" ref="B31:I31" si="19">B30-B29</f>
        <v>237879582.89999998</v>
      </c>
      <c r="C31" s="47">
        <f t="shared" si="19"/>
        <v>244158125.91000003</v>
      </c>
      <c r="D31" s="47">
        <f t="shared" si="19"/>
        <v>245640522.50999999</v>
      </c>
      <c r="E31" s="47">
        <f t="shared" si="19"/>
        <v>225947640.44999999</v>
      </c>
      <c r="F31" s="47">
        <f t="shared" si="19"/>
        <v>236133112.66</v>
      </c>
      <c r="G31" s="47">
        <f t="shared" ref="G31:H31" si="20">G30-G29</f>
        <v>251920165.43999997</v>
      </c>
      <c r="H31" s="47">
        <f t="shared" si="20"/>
        <v>264718569.27000001</v>
      </c>
      <c r="I31" s="47">
        <f t="shared" si="19"/>
        <v>335094165.83999997</v>
      </c>
      <c r="J31" s="47">
        <f t="shared" si="0"/>
        <v>100</v>
      </c>
      <c r="K31" s="48">
        <f t="shared" si="1"/>
        <v>26.585062303740486</v>
      </c>
      <c r="L31" s="47">
        <f>L30-L29</f>
        <v>262190780.27000007</v>
      </c>
      <c r="M31" s="49">
        <f>IF(I31&gt;0,L31/I31*100,"-")</f>
        <v>78.243910816158575</v>
      </c>
    </row>
    <row r="32" spans="1:13" x14ac:dyDescent="0.3">
      <c r="L32" s="6"/>
    </row>
    <row r="33" spans="12:12" x14ac:dyDescent="0.3">
      <c r="L33" s="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showGridLines="0" workbookViewId="0">
      <selection activeCell="J2" sqref="J2:J6"/>
    </sheetView>
  </sheetViews>
  <sheetFormatPr defaultRowHeight="14.4" x14ac:dyDescent="0.3"/>
  <cols>
    <col min="1" max="1" width="39.33203125" bestFit="1" customWidth="1"/>
    <col min="2" max="3" width="11.21875" bestFit="1" customWidth="1"/>
    <col min="4" max="4" width="10.5546875" bestFit="1" customWidth="1"/>
    <col min="5" max="6" width="10.5546875" style="112" bestFit="1" customWidth="1"/>
    <col min="7" max="8" width="11.21875" style="112" bestFit="1" customWidth="1"/>
    <col min="9" max="11" width="11.21875" bestFit="1" customWidth="1"/>
  </cols>
  <sheetData>
    <row r="1" spans="1:11" x14ac:dyDescent="0.3">
      <c r="A1" s="39"/>
      <c r="B1" s="128">
        <v>2016</v>
      </c>
      <c r="C1" s="128">
        <v>2017</v>
      </c>
      <c r="D1" s="128">
        <v>2018</v>
      </c>
      <c r="E1" s="128">
        <v>2019</v>
      </c>
      <c r="F1" s="128">
        <v>2020</v>
      </c>
      <c r="G1" s="128">
        <v>2021</v>
      </c>
      <c r="H1" s="128">
        <v>2022</v>
      </c>
      <c r="I1" s="128">
        <v>2023</v>
      </c>
      <c r="J1" s="128" t="s">
        <v>266</v>
      </c>
      <c r="K1" s="128" t="s">
        <v>340</v>
      </c>
    </row>
    <row r="2" spans="1:11" x14ac:dyDescent="0.3">
      <c r="A2" s="57" t="s">
        <v>298</v>
      </c>
      <c r="B2" s="59">
        <f>Entrate_Uscite!B56</f>
        <v>24453370.170000017</v>
      </c>
      <c r="C2" s="59">
        <f>Entrate_Uscite!E56</f>
        <v>53895465.00999999</v>
      </c>
      <c r="D2" s="59">
        <f>Entrate_Uscite!H56</f>
        <v>43096233.569999993</v>
      </c>
      <c r="E2" s="59">
        <f>Entrate_Uscite!K56</f>
        <v>68810530.560000002</v>
      </c>
      <c r="F2" s="59">
        <f>Entrate_Uscite!N56</f>
        <v>68178907.630000025</v>
      </c>
      <c r="G2" s="59">
        <f>Entrate_Uscite!Q56</f>
        <v>47515030.320000023</v>
      </c>
      <c r="H2" s="59">
        <f>Entrate_Uscite!T56</f>
        <v>49962838.48999995</v>
      </c>
      <c r="I2" s="59">
        <f>Entrate_Uscite!W56</f>
        <v>46751098.149999976</v>
      </c>
      <c r="J2" s="59">
        <f>I2-H2</f>
        <v>-3211740.3399999738</v>
      </c>
      <c r="K2" s="59">
        <f>Entrate_Uscite!X56</f>
        <v>816645.25999999046</v>
      </c>
    </row>
    <row r="3" spans="1:11" x14ac:dyDescent="0.3">
      <c r="A3" s="57" t="s">
        <v>72</v>
      </c>
      <c r="B3" s="60">
        <f>Entrate_Uscite!B57</f>
        <v>-19816642.450000003</v>
      </c>
      <c r="C3" s="60">
        <f>Entrate_Uscite!E57</f>
        <v>-16592350.149999999</v>
      </c>
      <c r="D3" s="60">
        <f>Entrate_Uscite!H57</f>
        <v>9550030.5400000028</v>
      </c>
      <c r="E3" s="60">
        <f>Entrate_Uscite!K57</f>
        <v>-6186872.9600000046</v>
      </c>
      <c r="F3" s="60">
        <f>Entrate_Uscite!N57</f>
        <v>5761968.0000000037</v>
      </c>
      <c r="G3" s="60">
        <f>Entrate_Uscite!Q57</f>
        <v>-15511063.270000003</v>
      </c>
      <c r="H3" s="60">
        <f>Entrate_Uscite!T57</f>
        <v>5091307.6099999957</v>
      </c>
      <c r="I3" s="60">
        <f>Entrate_Uscite!W57</f>
        <v>-23794059.499999993</v>
      </c>
      <c r="J3" s="59">
        <f t="shared" ref="J3:J6" si="0">I3-H3</f>
        <v>-28885367.109999988</v>
      </c>
      <c r="K3" s="59">
        <f>Entrate_Uscite!X57</f>
        <v>-43933747.560000002</v>
      </c>
    </row>
    <row r="4" spans="1:11" x14ac:dyDescent="0.3">
      <c r="A4" s="57" t="s">
        <v>301</v>
      </c>
      <c r="B4" s="60">
        <f>Entrate_Uscite!B16-Entrate_Uscite!B50</f>
        <v>-2019661.5</v>
      </c>
      <c r="C4" s="60">
        <f>Entrate_Uscite!E16-Entrate_Uscite!E50</f>
        <v>-1806709.23</v>
      </c>
      <c r="D4" s="60">
        <f>Entrate_Uscite!H16-Entrate_Uscite!H50</f>
        <v>-1377064.54</v>
      </c>
      <c r="E4" s="60">
        <f>Entrate_Uscite!K16-Entrate_Uscite!K50</f>
        <v>-1305798.1599999999</v>
      </c>
      <c r="F4" s="60">
        <f>Entrate_Uscite!N16-Entrate_Uscite!N50</f>
        <v>-432720.95000000019</v>
      </c>
      <c r="G4" s="60">
        <f>Entrate_Uscite!Q16-Entrate_Uscite!Q50</f>
        <v>-1118260.8500000001</v>
      </c>
      <c r="H4" s="60">
        <f>Entrate_Uscite!T16-Entrate_Uscite!T50</f>
        <v>-191907.83999999985</v>
      </c>
      <c r="I4" s="60">
        <f>Entrate_Uscite!W16-Entrate_Uscite!W50</f>
        <v>-393392.43000000017</v>
      </c>
      <c r="J4" s="59">
        <f t="shared" si="0"/>
        <v>-201484.59000000032</v>
      </c>
      <c r="K4" s="60">
        <f>Entrate_Uscite!X16-Entrate_Uscite!X50</f>
        <v>-393392.35000000009</v>
      </c>
    </row>
    <row r="5" spans="1:11" x14ac:dyDescent="0.3">
      <c r="A5" s="126" t="s">
        <v>299</v>
      </c>
      <c r="B5" s="61">
        <f>Entrate_Uscite!B58</f>
        <v>2617066.2200000286</v>
      </c>
      <c r="C5" s="61">
        <f>Entrate_Uscite!E58</f>
        <v>35496405.630000025</v>
      </c>
      <c r="D5" s="61">
        <f>Entrate_Uscite!H58</f>
        <v>51269199.569999993</v>
      </c>
      <c r="E5" s="61">
        <f>Entrate_Uscite!K58</f>
        <v>61317859.439999968</v>
      </c>
      <c r="F5" s="61">
        <f>Entrate_Uscite!N58</f>
        <v>73508154.679999977</v>
      </c>
      <c r="G5" s="61">
        <f>Entrate_Uscite!Q58</f>
        <v>30885706.199999958</v>
      </c>
      <c r="H5" s="61">
        <f>Entrate_Uscite!T58</f>
        <v>54862238.259999931</v>
      </c>
      <c r="I5" s="61">
        <f>Entrate_Uscite!W58</f>
        <v>22563646.219999969</v>
      </c>
      <c r="J5" s="61">
        <f t="shared" si="0"/>
        <v>-32298592.039999962</v>
      </c>
      <c r="K5" s="61">
        <f>Entrate_Uscite!X58</f>
        <v>-43510494.650000006</v>
      </c>
    </row>
    <row r="6" spans="1:11" x14ac:dyDescent="0.3">
      <c r="A6" s="36" t="s">
        <v>300</v>
      </c>
      <c r="B6" s="62">
        <f>Entrate_Uscite!B59</f>
        <v>1924031.7200000286</v>
      </c>
      <c r="C6" s="62">
        <f>Entrate_Uscite!E59</f>
        <v>37162896.019999981</v>
      </c>
      <c r="D6" s="62">
        <f>Entrate_Uscite!H59</f>
        <v>50334472.379999995</v>
      </c>
      <c r="E6" s="62">
        <f>Entrate_Uscite!K59</f>
        <v>60345082.779999971</v>
      </c>
      <c r="F6" s="62">
        <f>Entrate_Uscite!N59</f>
        <v>73227867.119999975</v>
      </c>
      <c r="G6" s="62">
        <f>Entrate_Uscite!Q59</f>
        <v>29646141.969999999</v>
      </c>
      <c r="H6" s="62">
        <f>Entrate_Uscite!T59</f>
        <v>54539818.72999993</v>
      </c>
      <c r="I6" s="62">
        <f>Entrate_Uscite!W59</f>
        <v>22230202.439999998</v>
      </c>
      <c r="J6" s="62">
        <f t="shared" si="0"/>
        <v>-32309616.289999932</v>
      </c>
      <c r="K6" s="62">
        <f>Entrate_Uscite!X59</f>
        <v>-43843938.430000037</v>
      </c>
    </row>
    <row r="7" spans="1:11" x14ac:dyDescent="0.3">
      <c r="J7" s="6"/>
    </row>
    <row r="8" spans="1:11" x14ac:dyDescent="0.3">
      <c r="J8" s="6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showGridLines="0" workbookViewId="0">
      <selection activeCell="K2" sqref="K2:K23"/>
    </sheetView>
  </sheetViews>
  <sheetFormatPr defaultRowHeight="14.4" x14ac:dyDescent="0.3"/>
  <cols>
    <col min="1" max="1" width="36.44140625" bestFit="1" customWidth="1"/>
    <col min="2" max="7" width="11.109375" bestFit="1" customWidth="1"/>
    <col min="8" max="11" width="11.109375" style="112" bestFit="1" customWidth="1"/>
    <col min="14" max="14" width="10" bestFit="1" customWidth="1"/>
  </cols>
  <sheetData>
    <row r="1" spans="1:11" x14ac:dyDescent="0.3">
      <c r="A1" s="39"/>
      <c r="B1" s="95">
        <v>2014</v>
      </c>
      <c r="C1" s="95">
        <v>2015</v>
      </c>
      <c r="D1" s="95">
        <v>2016</v>
      </c>
      <c r="E1" s="95">
        <v>2017</v>
      </c>
      <c r="F1" s="95">
        <v>2018</v>
      </c>
      <c r="G1" s="95">
        <v>2019</v>
      </c>
      <c r="H1" s="95">
        <v>2020</v>
      </c>
      <c r="I1" s="95">
        <v>2021</v>
      </c>
      <c r="J1" s="95">
        <v>2022</v>
      </c>
      <c r="K1" s="95">
        <v>2023</v>
      </c>
    </row>
    <row r="2" spans="1:11" x14ac:dyDescent="0.3">
      <c r="A2" t="s">
        <v>5</v>
      </c>
      <c r="B2" s="1">
        <v>255431483.72</v>
      </c>
      <c r="C2" s="1">
        <v>261437749.93000001</v>
      </c>
      <c r="D2" s="1">
        <v>243384971.38999999</v>
      </c>
      <c r="E2" s="1">
        <v>268415214.83000001</v>
      </c>
      <c r="F2" s="1">
        <v>272674469.64999998</v>
      </c>
      <c r="G2" s="1">
        <v>297938363.48000002</v>
      </c>
      <c r="H2" s="1">
        <v>326065939.73000002</v>
      </c>
      <c r="I2" s="1">
        <v>326399702.92000002</v>
      </c>
      <c r="J2" s="1">
        <v>349256177.64999998</v>
      </c>
      <c r="K2" s="1">
        <v>307771182.18000001</v>
      </c>
    </row>
    <row r="3" spans="1:11" x14ac:dyDescent="0.3">
      <c r="A3" t="s">
        <v>6</v>
      </c>
      <c r="B3" s="1">
        <v>202767598.31999999</v>
      </c>
      <c r="C3" s="1">
        <v>210169390.91</v>
      </c>
      <c r="D3" s="1">
        <v>215663226.25</v>
      </c>
      <c r="E3" s="1">
        <v>235080257.16</v>
      </c>
      <c r="F3" s="1">
        <v>270957800.13999999</v>
      </c>
      <c r="G3" s="1">
        <v>284052746.93000001</v>
      </c>
      <c r="H3" s="1">
        <v>334196750.91000003</v>
      </c>
      <c r="I3" s="1">
        <v>313046269.56999999</v>
      </c>
      <c r="J3" s="1">
        <v>315760257.98000002</v>
      </c>
      <c r="K3" s="1">
        <v>365193588.76999998</v>
      </c>
    </row>
    <row r="4" spans="1:11" x14ac:dyDescent="0.3">
      <c r="A4" t="s">
        <v>7</v>
      </c>
      <c r="B4" s="1">
        <v>135853431.44</v>
      </c>
      <c r="C4" s="1">
        <v>137607516.15000001</v>
      </c>
      <c r="D4" s="1">
        <v>123802687.39</v>
      </c>
      <c r="E4" s="1">
        <v>142231950.53</v>
      </c>
      <c r="F4" s="1">
        <v>109674006.94</v>
      </c>
      <c r="G4" s="1">
        <v>92137943.469999999</v>
      </c>
      <c r="H4" s="1">
        <v>99645732.450000003</v>
      </c>
      <c r="I4" s="1">
        <v>102193900.55</v>
      </c>
      <c r="J4" s="1">
        <v>105344812.34999999</v>
      </c>
      <c r="K4" s="1">
        <v>116276646.28</v>
      </c>
    </row>
    <row r="5" spans="1:11" x14ac:dyDescent="0.3">
      <c r="A5" t="s">
        <v>8</v>
      </c>
      <c r="B5" s="1">
        <v>14839982</v>
      </c>
      <c r="C5" s="1">
        <v>13596033.539999999</v>
      </c>
      <c r="D5" s="1">
        <v>7932138.29</v>
      </c>
      <c r="E5" s="1">
        <v>6506533.2199999997</v>
      </c>
      <c r="F5" s="1">
        <v>6005201.3600000003</v>
      </c>
      <c r="G5" s="1">
        <v>7973661.2599999998</v>
      </c>
      <c r="H5" s="1">
        <v>10193551.9</v>
      </c>
      <c r="I5" s="1">
        <v>11262687.359999999</v>
      </c>
      <c r="J5" s="1">
        <v>11616455.880000001</v>
      </c>
      <c r="K5" s="1">
        <v>12137518.58</v>
      </c>
    </row>
    <row r="6" spans="1:11" x14ac:dyDescent="0.3">
      <c r="A6" t="s">
        <v>9</v>
      </c>
      <c r="B6" s="1">
        <v>135249308.78999999</v>
      </c>
      <c r="C6" s="1">
        <v>128617678.08</v>
      </c>
      <c r="D6" s="1">
        <v>104491528.38</v>
      </c>
      <c r="E6" s="1">
        <v>101585822.47</v>
      </c>
      <c r="F6" s="1">
        <v>91756660.129999995</v>
      </c>
      <c r="G6" s="1">
        <v>97808989.25</v>
      </c>
      <c r="H6" s="1">
        <v>91585306.569999993</v>
      </c>
      <c r="I6" s="1">
        <v>103348993.2</v>
      </c>
      <c r="J6" s="1">
        <v>121062697.34</v>
      </c>
      <c r="K6" s="1">
        <v>107538250.93000001</v>
      </c>
    </row>
    <row r="7" spans="1:11" x14ac:dyDescent="0.3">
      <c r="A7" s="4" t="s">
        <v>0</v>
      </c>
      <c r="B7" s="3">
        <f t="shared" ref="B7:G7" si="0">B2+B3-B4-B5-B6</f>
        <v>172256359.80999997</v>
      </c>
      <c r="C7" s="3">
        <f t="shared" si="0"/>
        <v>191785913.07000005</v>
      </c>
      <c r="D7" s="3">
        <f t="shared" si="0"/>
        <v>222821843.57999998</v>
      </c>
      <c r="E7" s="3">
        <f t="shared" si="0"/>
        <v>253171165.77000001</v>
      </c>
      <c r="F7" s="3">
        <f t="shared" si="0"/>
        <v>336196401.35999995</v>
      </c>
      <c r="G7" s="3">
        <f t="shared" si="0"/>
        <v>384070516.43000007</v>
      </c>
      <c r="H7" s="3">
        <f t="shared" ref="H7:K7" si="1">H2+H3-H4-H5-H6</f>
        <v>458838099.72000009</v>
      </c>
      <c r="I7" s="3">
        <f t="shared" ref="I7:J7" si="2">I2+I3-I4-I5-I6</f>
        <v>422640391.38000005</v>
      </c>
      <c r="J7" s="3">
        <f t="shared" si="2"/>
        <v>426992470.05999994</v>
      </c>
      <c r="K7" s="3">
        <f t="shared" si="1"/>
        <v>437012355.16000003</v>
      </c>
    </row>
    <row r="8" spans="1:11" x14ac:dyDescent="0.3">
      <c r="A8" t="s">
        <v>10</v>
      </c>
      <c r="B8" s="1">
        <v>52832531.030000001</v>
      </c>
      <c r="C8" s="1">
        <v>76185332.719999999</v>
      </c>
      <c r="D8" s="1">
        <v>93517996.5</v>
      </c>
      <c r="E8" s="1">
        <v>117188982.55</v>
      </c>
      <c r="F8" s="1">
        <v>140267242.68000001</v>
      </c>
      <c r="G8" s="1">
        <v>167194677.44999999</v>
      </c>
      <c r="H8" s="1">
        <v>187520633.27000001</v>
      </c>
      <c r="I8" s="1">
        <v>178274350.94</v>
      </c>
      <c r="J8" s="1">
        <v>186364313.81999999</v>
      </c>
      <c r="K8" s="1">
        <v>192119620.08000001</v>
      </c>
    </row>
    <row r="9" spans="1:11" x14ac:dyDescent="0.3">
      <c r="A9" t="s">
        <v>11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</row>
    <row r="10" spans="1:11" x14ac:dyDescent="0.3">
      <c r="A10" t="s">
        <v>12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797895.3</v>
      </c>
      <c r="I10" s="1">
        <v>797895.3</v>
      </c>
      <c r="J10" s="1">
        <v>0</v>
      </c>
      <c r="K10" s="1">
        <v>0</v>
      </c>
    </row>
    <row r="11" spans="1:11" x14ac:dyDescent="0.3">
      <c r="A11" t="s">
        <v>13</v>
      </c>
      <c r="B11" s="1">
        <v>45000000</v>
      </c>
      <c r="C11" s="1">
        <v>48000000</v>
      </c>
      <c r="D11" s="1">
        <v>48000000</v>
      </c>
      <c r="E11" s="1">
        <v>59512845</v>
      </c>
      <c r="F11" s="1">
        <v>60132966.310000002</v>
      </c>
      <c r="G11" s="1">
        <v>64996240.200000003</v>
      </c>
      <c r="H11" s="1">
        <v>55473989.5</v>
      </c>
      <c r="I11" s="1">
        <v>54994689.030000001</v>
      </c>
      <c r="J11" s="1">
        <v>48166160.159999996</v>
      </c>
      <c r="K11" s="1">
        <v>46314041.600000001</v>
      </c>
    </row>
    <row r="12" spans="1:11" x14ac:dyDescent="0.3">
      <c r="A12" t="s">
        <v>14</v>
      </c>
      <c r="B12" s="1">
        <v>26442.19</v>
      </c>
      <c r="C12" s="1">
        <v>33442.19</v>
      </c>
      <c r="D12" s="1">
        <v>713300</v>
      </c>
      <c r="E12" s="1">
        <v>1550300</v>
      </c>
      <c r="F12" s="1">
        <v>930178.69</v>
      </c>
      <c r="G12" s="1">
        <v>1897248.69</v>
      </c>
      <c r="H12" s="1">
        <v>3233583.84</v>
      </c>
      <c r="I12" s="1">
        <v>10332342.689999999</v>
      </c>
      <c r="J12" s="1">
        <v>15120810.08</v>
      </c>
      <c r="K12" s="1">
        <v>16008736.73</v>
      </c>
    </row>
    <row r="13" spans="1:11" x14ac:dyDescent="0.3">
      <c r="A13" s="4" t="s">
        <v>1</v>
      </c>
      <c r="B13" s="3">
        <f t="shared" ref="B13:G13" si="3">SUM(B8:B12)</f>
        <v>97858973.219999999</v>
      </c>
      <c r="C13" s="3">
        <f t="shared" si="3"/>
        <v>124218774.91</v>
      </c>
      <c r="D13" s="3">
        <f t="shared" si="3"/>
        <v>142231296.5</v>
      </c>
      <c r="E13" s="3">
        <f t="shared" si="3"/>
        <v>178252127.55000001</v>
      </c>
      <c r="F13" s="3">
        <f t="shared" si="3"/>
        <v>201330387.68000001</v>
      </c>
      <c r="G13" s="3">
        <f t="shared" si="3"/>
        <v>234088166.33999997</v>
      </c>
      <c r="H13" s="3">
        <f t="shared" ref="H13:K13" si="4">SUM(H8:H12)</f>
        <v>247026101.91000003</v>
      </c>
      <c r="I13" s="3">
        <f t="shared" ref="I13:J13" si="5">SUM(I8:I12)</f>
        <v>244399277.96000001</v>
      </c>
      <c r="J13" s="3">
        <f t="shared" si="5"/>
        <v>249651284.06</v>
      </c>
      <c r="K13" s="3">
        <f t="shared" si="4"/>
        <v>254442398.41</v>
      </c>
    </row>
    <row r="14" spans="1:11" x14ac:dyDescent="0.3">
      <c r="A14" t="s">
        <v>16</v>
      </c>
      <c r="B14" s="1">
        <v>15125667.09</v>
      </c>
      <c r="C14" s="1">
        <v>21562288.07</v>
      </c>
      <c r="D14" s="1">
        <v>24694271.280000001</v>
      </c>
      <c r="E14" s="1">
        <v>18591685.93</v>
      </c>
      <c r="F14" s="1">
        <v>32615889.02</v>
      </c>
      <c r="G14" s="1">
        <v>33986246.840000004</v>
      </c>
      <c r="H14" s="1">
        <v>40540716.32</v>
      </c>
      <c r="I14" s="1">
        <v>33942696.939999998</v>
      </c>
      <c r="J14" s="1">
        <v>34407175.829999998</v>
      </c>
      <c r="K14" s="1">
        <v>31333469.350000001</v>
      </c>
    </row>
    <row r="15" spans="1:11" x14ac:dyDescent="0.3">
      <c r="A15" t="s">
        <v>15</v>
      </c>
      <c r="B15" s="1">
        <v>37868170.030000001</v>
      </c>
      <c r="C15" s="1">
        <v>39346090.32</v>
      </c>
      <c r="D15" s="1">
        <v>48663176.880000003</v>
      </c>
      <c r="E15" s="1">
        <v>48820317</v>
      </c>
      <c r="F15" s="1">
        <v>75709013.939999998</v>
      </c>
      <c r="G15" s="1">
        <v>79273314.590000004</v>
      </c>
      <c r="H15" s="1">
        <v>108815273.66</v>
      </c>
      <c r="I15" s="1">
        <v>100449032.47</v>
      </c>
      <c r="J15" s="1">
        <v>101651098.23</v>
      </c>
      <c r="K15" s="1">
        <v>98913713.510000005</v>
      </c>
    </row>
    <row r="16" spans="1:11" x14ac:dyDescent="0.3">
      <c r="A16" t="s">
        <v>17</v>
      </c>
      <c r="B16" s="1">
        <v>4690931.32</v>
      </c>
      <c r="C16" s="1">
        <v>4871132.68</v>
      </c>
      <c r="D16" s="1">
        <v>5063021.4400000004</v>
      </c>
      <c r="E16" s="1">
        <v>4055964.82</v>
      </c>
      <c r="F16" s="1">
        <v>3594410.28</v>
      </c>
      <c r="G16" s="1">
        <v>3594410.28</v>
      </c>
      <c r="H16" s="1">
        <v>3736171.53</v>
      </c>
      <c r="I16" s="1">
        <v>3736171.53</v>
      </c>
      <c r="J16" s="1">
        <v>3793769.74</v>
      </c>
      <c r="K16" s="1">
        <v>3793769.74</v>
      </c>
    </row>
    <row r="17" spans="1:11" x14ac:dyDescent="0.3">
      <c r="A17" t="s">
        <v>18</v>
      </c>
      <c r="B17" s="1">
        <v>914272.48</v>
      </c>
      <c r="C17" s="1">
        <v>259821.99</v>
      </c>
      <c r="D17" s="1">
        <v>399853.08</v>
      </c>
      <c r="E17" s="1">
        <v>994496.82</v>
      </c>
      <c r="F17" s="1">
        <v>11934445.949999999</v>
      </c>
      <c r="G17" s="1">
        <v>14108456.84</v>
      </c>
      <c r="H17" s="1">
        <v>14920981.35</v>
      </c>
      <c r="I17" s="1">
        <v>15316638.689999999</v>
      </c>
      <c r="J17" s="1">
        <v>12140981.42</v>
      </c>
      <c r="K17" s="1">
        <v>10152484.779999999</v>
      </c>
    </row>
    <row r="18" spans="1:11" x14ac:dyDescent="0.3">
      <c r="A18" t="s">
        <v>19</v>
      </c>
      <c r="B18" s="1">
        <v>871512.29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</row>
    <row r="19" spans="1:11" x14ac:dyDescent="0.3">
      <c r="A19" s="4" t="s">
        <v>2</v>
      </c>
      <c r="B19" s="3">
        <f t="shared" ref="B19:G19" si="6">SUM(B14:B18)</f>
        <v>59470553.210000001</v>
      </c>
      <c r="C19" s="3">
        <f t="shared" si="6"/>
        <v>66039333.060000002</v>
      </c>
      <c r="D19" s="3">
        <f t="shared" si="6"/>
        <v>78820322.679999992</v>
      </c>
      <c r="E19" s="3">
        <f t="shared" si="6"/>
        <v>72462464.569999993</v>
      </c>
      <c r="F19" s="3">
        <f t="shared" si="6"/>
        <v>123853759.19</v>
      </c>
      <c r="G19" s="3">
        <f t="shared" si="6"/>
        <v>130962428.55000001</v>
      </c>
      <c r="H19" s="3">
        <f t="shared" ref="H19:K19" si="7">SUM(H14:H18)</f>
        <v>168013142.85999998</v>
      </c>
      <c r="I19" s="3">
        <f t="shared" ref="I19:J19" si="8">SUM(I14:I18)</f>
        <v>153444539.63</v>
      </c>
      <c r="J19" s="3">
        <f t="shared" si="8"/>
        <v>151993025.22</v>
      </c>
      <c r="K19" s="3">
        <f t="shared" si="7"/>
        <v>144193437.38</v>
      </c>
    </row>
    <row r="20" spans="1:11" x14ac:dyDescent="0.3">
      <c r="A20" s="4" t="s">
        <v>3</v>
      </c>
      <c r="B20" s="3">
        <v>533194.63</v>
      </c>
      <c r="C20" s="3">
        <v>476095.04</v>
      </c>
      <c r="D20" s="3">
        <v>436775.36</v>
      </c>
      <c r="E20" s="3">
        <v>148983.79</v>
      </c>
      <c r="F20" s="3">
        <v>2907875.45</v>
      </c>
      <c r="G20" s="3">
        <v>1849440.39</v>
      </c>
      <c r="H20" s="3">
        <v>467496.47</v>
      </c>
      <c r="I20" s="3">
        <v>1966796.16</v>
      </c>
      <c r="J20" s="3">
        <v>2558261.64</v>
      </c>
      <c r="K20" s="3">
        <v>3139825.84</v>
      </c>
    </row>
    <row r="21" spans="1:11" x14ac:dyDescent="0.3">
      <c r="A21" s="64" t="s">
        <v>4</v>
      </c>
      <c r="B21" s="35">
        <f t="shared" ref="B21:G21" si="9">B7-B13-B19-B20</f>
        <v>14393638.749999972</v>
      </c>
      <c r="C21" s="35">
        <f t="shared" si="9"/>
        <v>1051710.0600000536</v>
      </c>
      <c r="D21" s="35">
        <f t="shared" si="9"/>
        <v>1333449.0399999912</v>
      </c>
      <c r="E21" s="35">
        <f t="shared" si="9"/>
        <v>2307589.8600000059</v>
      </c>
      <c r="F21" s="35">
        <f t="shared" si="9"/>
        <v>8104379.0399999497</v>
      </c>
      <c r="G21" s="35">
        <f t="shared" si="9"/>
        <v>17170481.15000008</v>
      </c>
      <c r="H21" s="35">
        <f t="shared" ref="H21:K21" si="10">H7-H13-H19-H20</f>
        <v>43331358.480000079</v>
      </c>
      <c r="I21" s="35">
        <f t="shared" ref="I21:J21" si="11">I7-I13-I19-I20</f>
        <v>22829777.630000051</v>
      </c>
      <c r="J21" s="35">
        <f t="shared" si="11"/>
        <v>22789899.139999941</v>
      </c>
      <c r="K21" s="35">
        <f t="shared" si="10"/>
        <v>35236693.530000031</v>
      </c>
    </row>
    <row r="22" spans="1:11" x14ac:dyDescent="0.3">
      <c r="A22" t="s">
        <v>356</v>
      </c>
      <c r="B22" s="1"/>
      <c r="C22" s="1"/>
      <c r="D22" s="1">
        <v>-11738270.359999999</v>
      </c>
      <c r="E22" s="1">
        <v>-18995220.079999998</v>
      </c>
      <c r="F22" s="1">
        <v>-13829738.65</v>
      </c>
      <c r="G22" s="1">
        <v>-19539089.379999999</v>
      </c>
      <c r="H22" s="1">
        <v>-12055217.789999999</v>
      </c>
      <c r="I22" s="1">
        <v>-65815644.460000001</v>
      </c>
      <c r="J22" s="1">
        <v>-42669337.520000003</v>
      </c>
      <c r="K22" s="1">
        <v>-35128727.43</v>
      </c>
    </row>
    <row r="23" spans="1:11" x14ac:dyDescent="0.3">
      <c r="A23" t="s">
        <v>357</v>
      </c>
      <c r="B23" s="6">
        <f t="shared" ref="B23:G23" si="12">B8/B3*100</f>
        <v>26.055706862307332</v>
      </c>
      <c r="C23" s="6">
        <f t="shared" si="12"/>
        <v>36.249490180339599</v>
      </c>
      <c r="D23" s="6">
        <f t="shared" si="12"/>
        <v>43.362977604532617</v>
      </c>
      <c r="E23" s="6">
        <f t="shared" si="12"/>
        <v>49.850627171229867</v>
      </c>
      <c r="F23" s="6">
        <f t="shared" si="12"/>
        <v>51.767191277581212</v>
      </c>
      <c r="G23" s="6">
        <f t="shared" si="12"/>
        <v>58.860433231861087</v>
      </c>
      <c r="H23" s="114">
        <f t="shared" ref="H23:K23" si="13">H8/H3*100</f>
        <v>56.110848701967107</v>
      </c>
      <c r="I23" s="114">
        <f t="shared" ref="I23:J23" si="14">I8/I3*100</f>
        <v>56.948243205350266</v>
      </c>
      <c r="J23" s="114">
        <f t="shared" si="14"/>
        <v>59.020826437190252</v>
      </c>
      <c r="K23" s="114">
        <f t="shared" si="13"/>
        <v>52.60761031623629</v>
      </c>
    </row>
  </sheetData>
  <conditionalFormatting sqref="D21:G21 K21">
    <cfRule type="cellIs" dxfId="107" priority="24" operator="greaterThan">
      <formula>0</formula>
    </cfRule>
  </conditionalFormatting>
  <conditionalFormatting sqref="D21:G21 K21">
    <cfRule type="cellIs" dxfId="106" priority="21" operator="greaterThan">
      <formula>0</formula>
    </cfRule>
    <cfRule type="cellIs" dxfId="105" priority="22" operator="lessThan">
      <formula>0</formula>
    </cfRule>
  </conditionalFormatting>
  <conditionalFormatting sqref="C21">
    <cfRule type="cellIs" dxfId="104" priority="15" operator="greaterThan">
      <formula>0</formula>
    </cfRule>
  </conditionalFormatting>
  <conditionalFormatting sqref="C21">
    <cfRule type="cellIs" dxfId="103" priority="13" operator="greaterThan">
      <formula>0</formula>
    </cfRule>
    <cfRule type="cellIs" dxfId="102" priority="14" operator="lessThan">
      <formula>0</formula>
    </cfRule>
  </conditionalFormatting>
  <conditionalFormatting sqref="B21">
    <cfRule type="cellIs" dxfId="101" priority="12" operator="greaterThan">
      <formula>0</formula>
    </cfRule>
  </conditionalFormatting>
  <conditionalFormatting sqref="B21">
    <cfRule type="cellIs" dxfId="100" priority="10" operator="greaterThan">
      <formula>0</formula>
    </cfRule>
    <cfRule type="cellIs" dxfId="99" priority="11" operator="lessThan">
      <formula>0</formula>
    </cfRule>
  </conditionalFormatting>
  <conditionalFormatting sqref="H21">
    <cfRule type="cellIs" dxfId="98" priority="9" operator="greaterThan">
      <formula>0</formula>
    </cfRule>
  </conditionalFormatting>
  <conditionalFormatting sqref="H21">
    <cfRule type="cellIs" dxfId="97" priority="7" operator="greaterThan">
      <formula>0</formula>
    </cfRule>
    <cfRule type="cellIs" dxfId="96" priority="8" operator="lessThan">
      <formula>0</formula>
    </cfRule>
  </conditionalFormatting>
  <conditionalFormatting sqref="I21">
    <cfRule type="cellIs" dxfId="95" priority="6" operator="greaterThan">
      <formula>0</formula>
    </cfRule>
  </conditionalFormatting>
  <conditionalFormatting sqref="I21">
    <cfRule type="cellIs" dxfId="94" priority="4" operator="greaterThan">
      <formula>0</formula>
    </cfRule>
    <cfRule type="cellIs" dxfId="93" priority="5" operator="lessThan">
      <formula>0</formula>
    </cfRule>
  </conditionalFormatting>
  <conditionalFormatting sqref="J21">
    <cfRule type="cellIs" dxfId="92" priority="3" operator="greaterThan">
      <formula>0</formula>
    </cfRule>
  </conditionalFormatting>
  <conditionalFormatting sqref="J21">
    <cfRule type="cellIs" dxfId="91" priority="1" operator="greaterThan">
      <formula>0</formula>
    </cfRule>
    <cfRule type="cellIs" dxfId="90" priority="2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workbookViewId="0">
      <pane xSplit="2" ySplit="1" topLeftCell="F2" activePane="bottomRight" state="frozen"/>
      <selection pane="topRight" activeCell="C1" sqref="C1"/>
      <selection pane="bottomLeft" activeCell="A2" sqref="A2"/>
      <selection pane="bottomRight" activeCell="L2" sqref="L2:L29"/>
    </sheetView>
  </sheetViews>
  <sheetFormatPr defaultRowHeight="14.4" x14ac:dyDescent="0.3"/>
  <cols>
    <col min="1" max="1" width="65.33203125" bestFit="1" customWidth="1"/>
    <col min="2" max="2" width="10.88671875" customWidth="1"/>
    <col min="3" max="8" width="11.109375" bestFit="1" customWidth="1"/>
    <col min="9" max="9" width="11.109375" style="112" bestFit="1" customWidth="1"/>
    <col min="10" max="12" width="11.77734375" style="112" bestFit="1" customWidth="1"/>
    <col min="13" max="13" width="12.33203125" style="112" bestFit="1" customWidth="1"/>
  </cols>
  <sheetData>
    <row r="1" spans="1:13" x14ac:dyDescent="0.3">
      <c r="C1" s="94">
        <v>2014</v>
      </c>
      <c r="D1" s="94">
        <v>2015</v>
      </c>
      <c r="E1" s="97">
        <v>2016</v>
      </c>
      <c r="F1" s="96">
        <v>2017</v>
      </c>
      <c r="G1" s="96">
        <v>2018</v>
      </c>
      <c r="H1" s="99">
        <v>2019</v>
      </c>
      <c r="I1" s="141">
        <v>2020</v>
      </c>
      <c r="J1" s="145">
        <v>2021</v>
      </c>
      <c r="K1" s="152">
        <v>2022</v>
      </c>
      <c r="L1" s="133">
        <v>2023</v>
      </c>
      <c r="M1" s="123" t="s">
        <v>266</v>
      </c>
    </row>
    <row r="2" spans="1:13" x14ac:dyDescent="0.3">
      <c r="A2" t="s">
        <v>236</v>
      </c>
      <c r="B2" s="24" t="s">
        <v>260</v>
      </c>
      <c r="C2" s="89">
        <v>128950084.68000001</v>
      </c>
      <c r="D2" s="89">
        <v>124243595.69</v>
      </c>
      <c r="E2" s="1">
        <v>105227707.04000001</v>
      </c>
      <c r="F2" s="1">
        <v>141259716.15000001</v>
      </c>
      <c r="G2" s="1">
        <v>135172914.22999999</v>
      </c>
      <c r="H2" s="1">
        <v>134538367.65000001</v>
      </c>
      <c r="I2" s="1">
        <v>130910918.36</v>
      </c>
      <c r="J2" s="1">
        <v>129229761.86</v>
      </c>
      <c r="K2" s="1">
        <v>130200329.09999999</v>
      </c>
      <c r="L2" s="1">
        <v>131242559.98</v>
      </c>
      <c r="M2" s="1">
        <f>L2-K2</f>
        <v>1042230.8800000101</v>
      </c>
    </row>
    <row r="3" spans="1:13" x14ac:dyDescent="0.3">
      <c r="A3" t="s">
        <v>237</v>
      </c>
      <c r="B3" s="24" t="s">
        <v>260</v>
      </c>
      <c r="C3" s="89">
        <v>0</v>
      </c>
      <c r="D3" s="89">
        <v>0</v>
      </c>
      <c r="E3" s="1">
        <v>17633995.850000001</v>
      </c>
      <c r="F3" s="1">
        <v>17819878.600000001</v>
      </c>
      <c r="G3" s="1">
        <v>17699989.460000001</v>
      </c>
      <c r="H3" s="1">
        <v>17699809.460000001</v>
      </c>
      <c r="I3" s="1">
        <v>18009886.510000002</v>
      </c>
      <c r="J3" s="1">
        <v>18373390.670000002</v>
      </c>
      <c r="K3" s="1">
        <v>20203021.68</v>
      </c>
      <c r="L3" s="1">
        <v>20776120.18</v>
      </c>
      <c r="M3" s="1">
        <f t="shared" ref="M3:M29" si="0">L3-K3</f>
        <v>573098.5</v>
      </c>
    </row>
    <row r="4" spans="1:13" x14ac:dyDescent="0.3">
      <c r="A4" t="s">
        <v>238</v>
      </c>
      <c r="B4" s="24" t="s">
        <v>260</v>
      </c>
      <c r="C4" s="89">
        <f>63603540.95+10700944.96</f>
        <v>74304485.909999996</v>
      </c>
      <c r="D4" s="89">
        <f>64554351.89+10759752.04</f>
        <v>75314103.930000007</v>
      </c>
      <c r="E4" s="1">
        <v>72400089.530000001</v>
      </c>
      <c r="F4" s="1">
        <v>71224092.849999994</v>
      </c>
      <c r="G4" s="1">
        <v>76191756.430000007</v>
      </c>
      <c r="H4" s="1">
        <v>85109360.379999995</v>
      </c>
      <c r="I4" s="1">
        <v>110967939.01000001</v>
      </c>
      <c r="J4" s="1">
        <v>90653880.329999998</v>
      </c>
      <c r="K4" s="1">
        <v>99788440</v>
      </c>
      <c r="L4" s="1">
        <v>112218932.65000001</v>
      </c>
      <c r="M4" s="1">
        <f t="shared" si="0"/>
        <v>12430492.650000006</v>
      </c>
    </row>
    <row r="5" spans="1:13" x14ac:dyDescent="0.3">
      <c r="A5" t="s">
        <v>239</v>
      </c>
      <c r="B5" s="24" t="s">
        <v>260</v>
      </c>
      <c r="C5" s="89">
        <f>8118888.03+5685+5677534.46</f>
        <v>13802107.49</v>
      </c>
      <c r="D5" s="89">
        <f>8719622.19+3110+9115228.96</f>
        <v>17837961.149999999</v>
      </c>
      <c r="E5" s="1">
        <v>14264585.25</v>
      </c>
      <c r="F5" s="1">
        <v>22256470.920000002</v>
      </c>
      <c r="G5" s="1">
        <v>22478235.530000001</v>
      </c>
      <c r="H5" s="1">
        <v>18653581.760000002</v>
      </c>
      <c r="I5" s="1">
        <v>17453319.350000001</v>
      </c>
      <c r="J5" s="1">
        <v>21556013.109999999</v>
      </c>
      <c r="K5" s="1">
        <v>21689944.469999999</v>
      </c>
      <c r="L5" s="1">
        <v>21508449.59</v>
      </c>
      <c r="M5" s="1">
        <f t="shared" si="0"/>
        <v>-181494.87999999896</v>
      </c>
    </row>
    <row r="6" spans="1:13" x14ac:dyDescent="0.3">
      <c r="A6" t="s">
        <v>240</v>
      </c>
      <c r="B6" s="24" t="s">
        <v>260</v>
      </c>
      <c r="C6" s="89"/>
      <c r="D6" s="89">
        <v>0</v>
      </c>
      <c r="E6" s="89">
        <v>0</v>
      </c>
      <c r="F6" s="89">
        <v>0</v>
      </c>
      <c r="G6" s="89">
        <v>0</v>
      </c>
      <c r="H6" s="89">
        <v>0</v>
      </c>
      <c r="I6" s="89">
        <v>0</v>
      </c>
      <c r="J6" s="89">
        <v>0</v>
      </c>
      <c r="K6" s="89">
        <v>0</v>
      </c>
      <c r="L6" s="89">
        <v>0</v>
      </c>
      <c r="M6" s="1">
        <f t="shared" si="0"/>
        <v>0</v>
      </c>
    </row>
    <row r="7" spans="1:13" x14ac:dyDescent="0.3">
      <c r="A7" t="s">
        <v>241</v>
      </c>
      <c r="B7" s="24" t="s">
        <v>260</v>
      </c>
      <c r="C7" s="89"/>
      <c r="D7" s="89">
        <v>0</v>
      </c>
      <c r="E7" s="89">
        <v>0</v>
      </c>
      <c r="F7" s="89">
        <v>0</v>
      </c>
      <c r="G7" s="89">
        <v>0</v>
      </c>
      <c r="H7" s="89">
        <v>0</v>
      </c>
      <c r="I7" s="89">
        <v>0</v>
      </c>
      <c r="J7" s="89">
        <v>0</v>
      </c>
      <c r="K7" s="89">
        <v>0</v>
      </c>
      <c r="L7" s="89">
        <v>0</v>
      </c>
      <c r="M7" s="1">
        <f t="shared" si="0"/>
        <v>0</v>
      </c>
    </row>
    <row r="8" spans="1:13" x14ac:dyDescent="0.3">
      <c r="A8" t="s">
        <v>242</v>
      </c>
      <c r="B8" s="24" t="s">
        <v>260</v>
      </c>
      <c r="C8" s="89"/>
      <c r="D8" s="89">
        <v>0</v>
      </c>
      <c r="E8" s="89">
        <v>0</v>
      </c>
      <c r="F8" s="89">
        <v>0</v>
      </c>
      <c r="G8" s="89">
        <v>0</v>
      </c>
      <c r="H8" s="89">
        <v>0</v>
      </c>
      <c r="I8" s="89">
        <v>0</v>
      </c>
      <c r="J8" s="89">
        <v>0</v>
      </c>
      <c r="K8" s="89">
        <v>0</v>
      </c>
      <c r="L8" s="89">
        <v>0</v>
      </c>
      <c r="M8" s="1">
        <f t="shared" si="0"/>
        <v>0</v>
      </c>
    </row>
    <row r="9" spans="1:13" x14ac:dyDescent="0.3">
      <c r="A9" s="30" t="s">
        <v>243</v>
      </c>
      <c r="B9" s="31" t="s">
        <v>260</v>
      </c>
      <c r="C9" s="90">
        <v>17437012.719999999</v>
      </c>
      <c r="D9" s="90">
        <v>17344280.460000001</v>
      </c>
      <c r="E9" s="32">
        <v>16694176.08</v>
      </c>
      <c r="F9" s="32">
        <v>19053841.530000001</v>
      </c>
      <c r="G9" s="32">
        <v>13679584.789999999</v>
      </c>
      <c r="H9" s="32">
        <v>16553203.51</v>
      </c>
      <c r="I9" s="32">
        <v>9774424.9399999995</v>
      </c>
      <c r="J9" s="32">
        <v>15772283.800000001</v>
      </c>
      <c r="K9" s="1">
        <v>15716565.140000001</v>
      </c>
      <c r="L9" s="1">
        <v>17428074.620000001</v>
      </c>
      <c r="M9" s="1">
        <f t="shared" si="0"/>
        <v>1711509.4800000004</v>
      </c>
    </row>
    <row r="10" spans="1:13" x14ac:dyDescent="0.3">
      <c r="A10" s="33" t="s">
        <v>264</v>
      </c>
      <c r="B10" s="34" t="s">
        <v>260</v>
      </c>
      <c r="C10" s="88">
        <f t="shared" ref="C10:H10" si="1">SUM(C2:C9)</f>
        <v>234493690.80000001</v>
      </c>
      <c r="D10" s="88">
        <f t="shared" si="1"/>
        <v>234739941.23000002</v>
      </c>
      <c r="E10" s="88">
        <f t="shared" si="1"/>
        <v>226220553.75000003</v>
      </c>
      <c r="F10" s="88">
        <f t="shared" si="1"/>
        <v>271614000.04999995</v>
      </c>
      <c r="G10" s="88">
        <f t="shared" si="1"/>
        <v>265222480.44</v>
      </c>
      <c r="H10" s="88">
        <f t="shared" si="1"/>
        <v>272554322.75999999</v>
      </c>
      <c r="I10" s="88">
        <f t="shared" ref="I10:L10" si="2">SUM(I2:I9)</f>
        <v>287116488.17000002</v>
      </c>
      <c r="J10" s="88">
        <f t="shared" ref="J10:K10" si="3">SUM(J2:J9)</f>
        <v>275585329.77000004</v>
      </c>
      <c r="K10" s="88">
        <f t="shared" si="3"/>
        <v>287598300.38999999</v>
      </c>
      <c r="L10" s="88">
        <f t="shared" si="2"/>
        <v>303174137.01999998</v>
      </c>
      <c r="M10" s="11">
        <f t="shared" si="0"/>
        <v>15575836.629999995</v>
      </c>
    </row>
    <row r="11" spans="1:13" x14ac:dyDescent="0.3">
      <c r="A11" t="s">
        <v>244</v>
      </c>
      <c r="B11" s="24" t="s">
        <v>261</v>
      </c>
      <c r="C11" s="89">
        <v>1944576.54</v>
      </c>
      <c r="D11" s="89">
        <v>1599299.14</v>
      </c>
      <c r="E11" s="1">
        <v>1421009.74</v>
      </c>
      <c r="F11" s="1">
        <v>1794841.56</v>
      </c>
      <c r="G11" s="1">
        <v>1310511.6000000001</v>
      </c>
      <c r="H11" s="1">
        <v>966683.28</v>
      </c>
      <c r="I11" s="1">
        <v>2512672.88</v>
      </c>
      <c r="J11" s="1">
        <v>2348051.15</v>
      </c>
      <c r="K11" s="1">
        <v>2137852.21</v>
      </c>
      <c r="L11" s="1">
        <v>1999280.99</v>
      </c>
      <c r="M11" s="1">
        <f t="shared" si="0"/>
        <v>-138571.21999999997</v>
      </c>
    </row>
    <row r="12" spans="1:13" x14ac:dyDescent="0.3">
      <c r="A12" t="s">
        <v>245</v>
      </c>
      <c r="B12" s="24" t="s">
        <v>261</v>
      </c>
      <c r="C12" s="89">
        <v>88729374.349999994</v>
      </c>
      <c r="D12" s="89">
        <v>99644280.930000007</v>
      </c>
      <c r="E12" s="1">
        <v>92602175.099999994</v>
      </c>
      <c r="F12" s="1">
        <v>111444214.22</v>
      </c>
      <c r="G12" s="1">
        <v>114645915.3</v>
      </c>
      <c r="H12" s="1">
        <v>109526381.73999999</v>
      </c>
      <c r="I12" s="1">
        <v>106824479.41</v>
      </c>
      <c r="J12" s="1">
        <v>118551585.13</v>
      </c>
      <c r="K12" s="1">
        <v>130706222.8</v>
      </c>
      <c r="L12" s="1">
        <v>141453714.33000001</v>
      </c>
      <c r="M12" s="1">
        <f t="shared" si="0"/>
        <v>10747491.530000016</v>
      </c>
    </row>
    <row r="13" spans="1:13" x14ac:dyDescent="0.3">
      <c r="A13" t="s">
        <v>246</v>
      </c>
      <c r="B13" s="24" t="s">
        <v>261</v>
      </c>
      <c r="C13" s="89">
        <v>1568429.54</v>
      </c>
      <c r="D13" s="89">
        <v>953673.75</v>
      </c>
      <c r="E13" s="1">
        <v>398247.94</v>
      </c>
      <c r="F13" s="1">
        <v>201444.19</v>
      </c>
      <c r="G13" s="1">
        <v>473605.73</v>
      </c>
      <c r="H13" s="1">
        <v>421897.17</v>
      </c>
      <c r="I13" s="1">
        <v>606209.93000000005</v>
      </c>
      <c r="J13" s="1">
        <v>527625.06000000006</v>
      </c>
      <c r="K13" s="1">
        <v>702845.56</v>
      </c>
      <c r="L13" s="1">
        <v>883172.76</v>
      </c>
      <c r="M13" s="1">
        <f t="shared" si="0"/>
        <v>180327.19999999995</v>
      </c>
    </row>
    <row r="14" spans="1:13" x14ac:dyDescent="0.3">
      <c r="A14" t="s">
        <v>247</v>
      </c>
      <c r="B14" s="24" t="s">
        <v>261</v>
      </c>
      <c r="C14" s="89">
        <v>31824120.489999998</v>
      </c>
      <c r="D14" s="89">
        <v>31374411.100000001</v>
      </c>
      <c r="E14" s="1">
        <v>31007035.760000002</v>
      </c>
      <c r="F14" s="1">
        <v>36394512.130000003</v>
      </c>
      <c r="G14" s="1">
        <v>37828680.100000001</v>
      </c>
      <c r="H14" s="1">
        <v>30826885.949999999</v>
      </c>
      <c r="I14" s="1">
        <v>43553461.960000001</v>
      </c>
      <c r="J14" s="1">
        <v>42001778.060000002</v>
      </c>
      <c r="K14" s="1">
        <v>39546983.890000001</v>
      </c>
      <c r="L14" s="1">
        <v>54238166.009999998</v>
      </c>
      <c r="M14" s="1">
        <f t="shared" si="0"/>
        <v>14691182.119999997</v>
      </c>
    </row>
    <row r="15" spans="1:13" x14ac:dyDescent="0.3">
      <c r="A15" t="s">
        <v>248</v>
      </c>
      <c r="B15" s="24" t="s">
        <v>261</v>
      </c>
      <c r="C15" s="89">
        <v>52525500.979999997</v>
      </c>
      <c r="D15" s="89">
        <v>49706182.100000001</v>
      </c>
      <c r="E15" s="1">
        <v>49732400.149999999</v>
      </c>
      <c r="F15" s="1">
        <v>47919941.149999999</v>
      </c>
      <c r="G15" s="1">
        <v>47309857.990000002</v>
      </c>
      <c r="H15" s="1">
        <v>47166799.159999996</v>
      </c>
      <c r="I15" s="1">
        <v>47048665.719999999</v>
      </c>
      <c r="J15" s="1">
        <v>45142590.07</v>
      </c>
      <c r="K15" s="1">
        <v>46202717.939999998</v>
      </c>
      <c r="L15" s="1">
        <v>50724270.479999997</v>
      </c>
      <c r="M15" s="1">
        <f t="shared" si="0"/>
        <v>4521552.5399999991</v>
      </c>
    </row>
    <row r="16" spans="1:13" x14ac:dyDescent="0.3">
      <c r="A16" t="s">
        <v>249</v>
      </c>
      <c r="B16" s="24" t="s">
        <v>261</v>
      </c>
      <c r="C16" s="89">
        <f>538380.09+30169762.49+21964016.67</f>
        <v>52672159.25</v>
      </c>
      <c r="D16" s="89">
        <f>458900.05+30560275.43+16501920</f>
        <v>47521095.480000004</v>
      </c>
      <c r="E16" s="1">
        <v>34495070.43</v>
      </c>
      <c r="F16" s="1">
        <v>55190292.960000001</v>
      </c>
      <c r="G16" s="1">
        <v>52814941.93</v>
      </c>
      <c r="H16" s="1">
        <v>47693704.630000003</v>
      </c>
      <c r="I16" s="1">
        <v>45136210.200000003</v>
      </c>
      <c r="J16" s="1">
        <v>58912629.130000003</v>
      </c>
      <c r="K16" s="1">
        <v>52570919.810000002</v>
      </c>
      <c r="L16" s="1">
        <v>51060024.149999999</v>
      </c>
      <c r="M16" s="1">
        <f t="shared" si="0"/>
        <v>-1510895.6600000039</v>
      </c>
    </row>
    <row r="17" spans="1:13" x14ac:dyDescent="0.3">
      <c r="A17" t="s">
        <v>250</v>
      </c>
      <c r="B17" s="24" t="s">
        <v>261</v>
      </c>
      <c r="C17" s="89">
        <v>7639.53</v>
      </c>
      <c r="D17" s="89">
        <v>6710.07</v>
      </c>
      <c r="E17" s="1">
        <v>-19685.39</v>
      </c>
      <c r="F17" s="1">
        <v>6771.86</v>
      </c>
      <c r="G17" s="1">
        <v>22739.51</v>
      </c>
      <c r="H17" s="1">
        <v>176465.82</v>
      </c>
      <c r="I17" s="1">
        <v>58791.98</v>
      </c>
      <c r="J17" s="1">
        <v>-8582.99</v>
      </c>
      <c r="K17" s="1">
        <v>-4161.9799999999996</v>
      </c>
      <c r="L17" s="1">
        <v>9364.7900000000009</v>
      </c>
      <c r="M17" s="1">
        <f t="shared" si="0"/>
        <v>13526.77</v>
      </c>
    </row>
    <row r="18" spans="1:13" x14ac:dyDescent="0.3">
      <c r="A18" t="s">
        <v>251</v>
      </c>
      <c r="B18" s="24" t="s">
        <v>261</v>
      </c>
      <c r="C18" s="89">
        <v>0</v>
      </c>
      <c r="D18" s="89">
        <v>0</v>
      </c>
      <c r="E18" s="1">
        <v>48000000</v>
      </c>
      <c r="F18" s="1">
        <v>11512845</v>
      </c>
      <c r="G18" s="1">
        <v>0</v>
      </c>
      <c r="H18" s="1">
        <v>6042394.8200000003</v>
      </c>
      <c r="I18" s="1">
        <v>1297895.3</v>
      </c>
      <c r="J18" s="1">
        <v>5144458.38</v>
      </c>
      <c r="K18" s="1">
        <v>0</v>
      </c>
      <c r="L18" s="1">
        <v>3701272.92</v>
      </c>
      <c r="M18" s="1">
        <f t="shared" si="0"/>
        <v>3701272.92</v>
      </c>
    </row>
    <row r="19" spans="1:13" x14ac:dyDescent="0.3">
      <c r="A19" t="s">
        <v>14</v>
      </c>
      <c r="B19" s="24" t="s">
        <v>261</v>
      </c>
      <c r="C19" s="89">
        <v>0</v>
      </c>
      <c r="D19" s="89">
        <v>0</v>
      </c>
      <c r="E19" s="1">
        <v>713300</v>
      </c>
      <c r="F19" s="1">
        <v>837000</v>
      </c>
      <c r="G19" s="1">
        <v>0</v>
      </c>
      <c r="H19" s="1">
        <v>480570</v>
      </c>
      <c r="I19" s="1">
        <v>829335.15</v>
      </c>
      <c r="J19" s="1">
        <v>1475000</v>
      </c>
      <c r="K19" s="1">
        <v>1468000</v>
      </c>
      <c r="L19" s="1">
        <v>430345.6</v>
      </c>
      <c r="M19" s="1">
        <f t="shared" si="0"/>
        <v>-1037654.4</v>
      </c>
    </row>
    <row r="20" spans="1:13" x14ac:dyDescent="0.3">
      <c r="A20" s="30" t="s">
        <v>252</v>
      </c>
      <c r="B20" s="31" t="s">
        <v>261</v>
      </c>
      <c r="C20" s="90">
        <v>4004628.03</v>
      </c>
      <c r="D20" s="90">
        <v>2886254.73</v>
      </c>
      <c r="E20" s="32">
        <v>2646110.33</v>
      </c>
      <c r="F20" s="32">
        <v>5512601.0300000003</v>
      </c>
      <c r="G20" s="32">
        <v>3419881.14</v>
      </c>
      <c r="H20" s="32">
        <v>2768651.16</v>
      </c>
      <c r="I20" s="32">
        <v>2763127.15</v>
      </c>
      <c r="J20" s="32">
        <v>6407472.5899999999</v>
      </c>
      <c r="K20" s="1">
        <v>3430551.17</v>
      </c>
      <c r="L20" s="1">
        <v>5174786.67</v>
      </c>
      <c r="M20" s="1">
        <f t="shared" si="0"/>
        <v>1744235.5</v>
      </c>
    </row>
    <row r="21" spans="1:13" x14ac:dyDescent="0.3">
      <c r="A21" s="33" t="s">
        <v>265</v>
      </c>
      <c r="B21" s="34" t="s">
        <v>261</v>
      </c>
      <c r="C21" s="88">
        <f t="shared" ref="C21:H21" si="4">SUM(C11:C20)</f>
        <v>233276428.71000001</v>
      </c>
      <c r="D21" s="88">
        <f t="shared" si="4"/>
        <v>233691907.29999998</v>
      </c>
      <c r="E21" s="88">
        <f t="shared" si="4"/>
        <v>260995664.06000003</v>
      </c>
      <c r="F21" s="88">
        <f t="shared" si="4"/>
        <v>270814464.10000002</v>
      </c>
      <c r="G21" s="88">
        <f t="shared" si="4"/>
        <v>257826133.29999998</v>
      </c>
      <c r="H21" s="88">
        <f t="shared" si="4"/>
        <v>246070433.72999996</v>
      </c>
      <c r="I21" s="88">
        <f t="shared" ref="I21:L21" si="5">SUM(I11:I20)</f>
        <v>250630849.68000004</v>
      </c>
      <c r="J21" s="88">
        <f t="shared" ref="J21:K21" si="6">SUM(J11:J20)</f>
        <v>280502606.57999998</v>
      </c>
      <c r="K21" s="88">
        <f t="shared" si="6"/>
        <v>276761931.39999998</v>
      </c>
      <c r="L21" s="88">
        <f t="shared" si="5"/>
        <v>309674398.70000005</v>
      </c>
      <c r="M21" s="11">
        <f t="shared" si="0"/>
        <v>32912467.300000072</v>
      </c>
    </row>
    <row r="22" spans="1:13" x14ac:dyDescent="0.3">
      <c r="A22" t="s">
        <v>253</v>
      </c>
      <c r="B22" s="24" t="s">
        <v>260</v>
      </c>
      <c r="C22" s="89">
        <v>571143.55000000005</v>
      </c>
      <c r="D22" s="89">
        <v>433637.37</v>
      </c>
      <c r="E22" s="1">
        <v>242606.93</v>
      </c>
      <c r="F22" s="1">
        <v>560851.62</v>
      </c>
      <c r="G22" s="1">
        <v>180856.5</v>
      </c>
      <c r="H22" s="1">
        <v>3520741.55</v>
      </c>
      <c r="I22" s="1">
        <v>68862.8</v>
      </c>
      <c r="J22" s="1">
        <v>175879.02</v>
      </c>
      <c r="K22" s="1">
        <v>216690.92</v>
      </c>
      <c r="L22" s="1">
        <v>1556558.54</v>
      </c>
      <c r="M22" s="1">
        <f t="shared" si="0"/>
        <v>1339867.6200000001</v>
      </c>
    </row>
    <row r="23" spans="1:13" x14ac:dyDescent="0.3">
      <c r="A23" t="s">
        <v>254</v>
      </c>
      <c r="B23" s="24" t="s">
        <v>261</v>
      </c>
      <c r="C23" s="89">
        <v>2175055.27</v>
      </c>
      <c r="D23" s="89">
        <v>1935311.58</v>
      </c>
      <c r="E23" s="1">
        <v>2185578.89</v>
      </c>
      <c r="F23" s="1">
        <v>1500045.23</v>
      </c>
      <c r="G23" s="1">
        <v>1326891.73</v>
      </c>
      <c r="H23" s="1">
        <v>1200332.53</v>
      </c>
      <c r="I23" s="1">
        <v>1109360.83</v>
      </c>
      <c r="J23" s="1">
        <v>939187.08</v>
      </c>
      <c r="K23" s="1">
        <v>889261.46</v>
      </c>
      <c r="L23" s="1">
        <v>2073171.32</v>
      </c>
      <c r="M23" s="1">
        <f t="shared" si="0"/>
        <v>1183909.8600000001</v>
      </c>
    </row>
    <row r="24" spans="1:13" x14ac:dyDescent="0.3">
      <c r="A24" t="s">
        <v>255</v>
      </c>
      <c r="B24" s="24" t="s">
        <v>260</v>
      </c>
      <c r="C24" s="89">
        <v>0</v>
      </c>
      <c r="D24" s="89">
        <v>0</v>
      </c>
      <c r="E24" s="1">
        <v>0</v>
      </c>
      <c r="F24" s="1">
        <v>0</v>
      </c>
      <c r="G24" s="1">
        <v>0</v>
      </c>
      <c r="H24" s="1">
        <v>0</v>
      </c>
      <c r="I24" s="1">
        <v>2576106.75</v>
      </c>
      <c r="J24" s="1">
        <v>0</v>
      </c>
      <c r="K24" s="1">
        <v>0</v>
      </c>
      <c r="L24" s="1">
        <v>0</v>
      </c>
      <c r="M24" s="1">
        <f t="shared" si="0"/>
        <v>0</v>
      </c>
    </row>
    <row r="25" spans="1:13" x14ac:dyDescent="0.3">
      <c r="A25" t="s">
        <v>256</v>
      </c>
      <c r="B25" s="24" t="s">
        <v>260</v>
      </c>
      <c r="C25" s="89">
        <v>19112972.109999999</v>
      </c>
      <c r="D25" s="89">
        <v>15046285.1</v>
      </c>
      <c r="E25" s="1">
        <v>79177111.75</v>
      </c>
      <c r="F25" s="1">
        <v>9270562.0199999996</v>
      </c>
      <c r="G25" s="1">
        <v>36332718.780000001</v>
      </c>
      <c r="H25" s="1">
        <v>22116339.539999999</v>
      </c>
      <c r="I25" s="1">
        <v>19034716.309999999</v>
      </c>
      <c r="J25" s="1">
        <v>15273786.869999999</v>
      </c>
      <c r="K25" s="1">
        <v>16416994.91</v>
      </c>
      <c r="L25" s="1">
        <v>16837596.280000001</v>
      </c>
      <c r="M25" s="1">
        <f t="shared" si="0"/>
        <v>420601.37000000104</v>
      </c>
    </row>
    <row r="26" spans="1:13" x14ac:dyDescent="0.3">
      <c r="A26" t="s">
        <v>257</v>
      </c>
      <c r="B26" s="24" t="s">
        <v>261</v>
      </c>
      <c r="C26" s="89">
        <v>19839835.379999999</v>
      </c>
      <c r="D26" s="89">
        <v>19866399.620000001</v>
      </c>
      <c r="E26" s="1">
        <v>15496147.890000001</v>
      </c>
      <c r="F26" s="1">
        <v>10687100.529999999</v>
      </c>
      <c r="G26" s="1">
        <v>38364732.710000001</v>
      </c>
      <c r="H26" s="1">
        <v>41520774.369999997</v>
      </c>
      <c r="I26" s="1">
        <v>23214572.510000002</v>
      </c>
      <c r="J26" s="1">
        <v>203817446.47</v>
      </c>
      <c r="K26" s="1">
        <v>9498073.0199999996</v>
      </c>
      <c r="L26" s="1">
        <v>6841963.5099999998</v>
      </c>
      <c r="M26" s="1">
        <f t="shared" si="0"/>
        <v>-2656109.5099999998</v>
      </c>
    </row>
    <row r="27" spans="1:13" x14ac:dyDescent="0.3">
      <c r="A27" t="s">
        <v>258</v>
      </c>
      <c r="B27" s="24" t="s">
        <v>261</v>
      </c>
      <c r="C27" s="89">
        <v>941251.66</v>
      </c>
      <c r="D27" s="89">
        <v>2668459.11</v>
      </c>
      <c r="E27" s="1">
        <v>2985856.58</v>
      </c>
      <c r="F27" s="1">
        <v>2780934.93</v>
      </c>
      <c r="G27" s="1">
        <v>2889530.5</v>
      </c>
      <c r="H27" s="1">
        <v>2762803.25</v>
      </c>
      <c r="I27" s="1">
        <v>2744602.7</v>
      </c>
      <c r="J27" s="1">
        <v>2716635.39</v>
      </c>
      <c r="K27" s="1">
        <v>2830624.97</v>
      </c>
      <c r="L27" s="1">
        <v>3348899.97</v>
      </c>
      <c r="M27" s="1">
        <f t="shared" si="0"/>
        <v>518275</v>
      </c>
    </row>
    <row r="28" spans="1:13" x14ac:dyDescent="0.3">
      <c r="A28" s="10" t="s">
        <v>259</v>
      </c>
      <c r="B28" s="34" t="s">
        <v>262</v>
      </c>
      <c r="C28" s="91">
        <f>SUM(C2:C9)-SUM(C11:C20)+C22-C23+C24+C25-C26-C27</f>
        <v>-2054764.5599999949</v>
      </c>
      <c r="D28" s="91">
        <f>SUM(D2:D9)-SUM(D11:D20)+D22-D23+D24+D25-D26-D27</f>
        <v>-7942213.9099999629</v>
      </c>
      <c r="E28" s="35">
        <f t="shared" ref="E28:L28" si="7">E10-E21+E22-E23+E24+E25-E26-E27</f>
        <v>23977025.009999998</v>
      </c>
      <c r="F28" s="35">
        <f t="shared" si="7"/>
        <v>-4337131.1000000704</v>
      </c>
      <c r="G28" s="35">
        <f t="shared" si="7"/>
        <v>1328767.4800000116</v>
      </c>
      <c r="H28" s="35">
        <f t="shared" si="7"/>
        <v>6637059.9700000361</v>
      </c>
      <c r="I28" s="35">
        <f t="shared" si="7"/>
        <v>31096788.309999976</v>
      </c>
      <c r="J28" s="35">
        <f t="shared" ref="J28:K28" si="8">J10-J21+J22-J23+J24+J25-J26-J27</f>
        <v>-196940879.85999992</v>
      </c>
      <c r="K28" s="35">
        <f t="shared" si="8"/>
        <v>14252095.37000001</v>
      </c>
      <c r="L28" s="35">
        <f t="shared" si="7"/>
        <v>-370141.66000006674</v>
      </c>
      <c r="M28" s="35">
        <f t="shared" si="0"/>
        <v>-14622237.030000078</v>
      </c>
    </row>
    <row r="29" spans="1:13" s="112" customFormat="1" x14ac:dyDescent="0.3">
      <c r="A29" s="66" t="s">
        <v>365</v>
      </c>
      <c r="B29" s="148"/>
      <c r="C29" s="149">
        <f>C10-SUM(C11:C15)+C17</f>
        <v>57909328.430000007</v>
      </c>
      <c r="D29" s="149">
        <f t="shared" ref="D29:L29" si="9">D10-SUM(D11:D15)+D17</f>
        <v>51468804.280000009</v>
      </c>
      <c r="E29" s="149">
        <f t="shared" si="9"/>
        <v>51039999.670000032</v>
      </c>
      <c r="F29" s="149">
        <f t="shared" si="9"/>
        <v>73865818.659999952</v>
      </c>
      <c r="G29" s="149">
        <f t="shared" si="9"/>
        <v>63676649.229999997</v>
      </c>
      <c r="H29" s="149">
        <f t="shared" si="9"/>
        <v>83822141.280000001</v>
      </c>
      <c r="I29" s="149">
        <f t="shared" si="9"/>
        <v>86629790.250000015</v>
      </c>
      <c r="J29" s="149">
        <f t="shared" si="9"/>
        <v>67005117.31000004</v>
      </c>
      <c r="K29" s="149">
        <f t="shared" ref="K29" si="10">K10-SUM(K11:K15)+K17</f>
        <v>68297516.010000005</v>
      </c>
      <c r="L29" s="149">
        <f t="shared" si="9"/>
        <v>53884897.239999987</v>
      </c>
      <c r="M29" s="149">
        <f t="shared" si="0"/>
        <v>-14412618.770000018</v>
      </c>
    </row>
  </sheetData>
  <conditionalFormatting sqref="C28:H28 L28:M28">
    <cfRule type="cellIs" dxfId="89" priority="21" operator="greaterThan">
      <formula>0</formula>
    </cfRule>
  </conditionalFormatting>
  <conditionalFormatting sqref="I28">
    <cfRule type="cellIs" dxfId="88" priority="11" operator="greaterThan">
      <formula>0</formula>
    </cfRule>
  </conditionalFormatting>
  <conditionalFormatting sqref="J28">
    <cfRule type="cellIs" dxfId="87" priority="10" operator="greaterThan">
      <formula>0</formula>
    </cfRule>
  </conditionalFormatting>
  <conditionalFormatting sqref="C29:J29 L29:M29">
    <cfRule type="cellIs" dxfId="86" priority="9" operator="greaterThan">
      <formula>0</formula>
    </cfRule>
  </conditionalFormatting>
  <conditionalFormatting sqref="C29:J29 L29">
    <cfRule type="cellIs" dxfId="85" priority="8" operator="greaterThan">
      <formula>0</formula>
    </cfRule>
  </conditionalFormatting>
  <conditionalFormatting sqref="C29:J29 L29">
    <cfRule type="cellIs" dxfId="84" priority="7" operator="greaterThan">
      <formula>0</formula>
    </cfRule>
  </conditionalFormatting>
  <conditionalFormatting sqref="C29:J29 L29">
    <cfRule type="cellIs" dxfId="83" priority="6" operator="greaterThan">
      <formula>0</formula>
    </cfRule>
  </conditionalFormatting>
  <conditionalFormatting sqref="K28">
    <cfRule type="cellIs" dxfId="82" priority="5" operator="greaterThan">
      <formula>0</formula>
    </cfRule>
  </conditionalFormatting>
  <conditionalFormatting sqref="K29">
    <cfRule type="cellIs" dxfId="81" priority="4" operator="greaterThan">
      <formula>0</formula>
    </cfRule>
  </conditionalFormatting>
  <conditionalFormatting sqref="K29">
    <cfRule type="cellIs" dxfId="80" priority="3" operator="greaterThan">
      <formula>0</formula>
    </cfRule>
  </conditionalFormatting>
  <conditionalFormatting sqref="K29">
    <cfRule type="cellIs" dxfId="79" priority="2" operator="greaterThan">
      <formula>0</formula>
    </cfRule>
  </conditionalFormatting>
  <conditionalFormatting sqref="K29">
    <cfRule type="cellIs" dxfId="78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showGridLines="0" workbookViewId="0">
      <selection activeCell="H18" sqref="H18"/>
    </sheetView>
  </sheetViews>
  <sheetFormatPr defaultRowHeight="14.4" x14ac:dyDescent="0.3"/>
  <cols>
    <col min="1" max="1" width="50.6640625" bestFit="1" customWidth="1"/>
    <col min="2" max="7" width="11.5546875" bestFit="1" customWidth="1"/>
    <col min="8" max="8" width="11.5546875" style="112" bestFit="1" customWidth="1"/>
    <col min="9" max="11" width="12.21875" style="112" bestFit="1" customWidth="1"/>
    <col min="12" max="12" width="12.33203125" style="112" bestFit="1" customWidth="1"/>
  </cols>
  <sheetData>
    <row r="1" spans="1:12" x14ac:dyDescent="0.3">
      <c r="A1" s="39"/>
      <c r="B1" s="40">
        <v>2014</v>
      </c>
      <c r="C1" s="40">
        <v>2015</v>
      </c>
      <c r="D1" s="40">
        <v>2016</v>
      </c>
      <c r="E1" s="40">
        <v>2017</v>
      </c>
      <c r="F1" s="40">
        <v>2018</v>
      </c>
      <c r="G1" s="40">
        <v>2019</v>
      </c>
      <c r="H1" s="128">
        <v>2020</v>
      </c>
      <c r="I1" s="128">
        <v>2021</v>
      </c>
      <c r="J1" s="128">
        <v>2022</v>
      </c>
      <c r="K1" s="128">
        <v>2023</v>
      </c>
      <c r="L1" s="128" t="s">
        <v>266</v>
      </c>
    </row>
    <row r="2" spans="1:12" x14ac:dyDescent="0.3">
      <c r="A2" s="65" t="s">
        <v>346</v>
      </c>
      <c r="B2" s="59">
        <f>Conto_economico!C10</f>
        <v>234493690.80000001</v>
      </c>
      <c r="C2" s="59">
        <f>Conto_economico!D10</f>
        <v>234739941.23000002</v>
      </c>
      <c r="D2" s="59">
        <f>Conto_economico!E10</f>
        <v>226220553.75000003</v>
      </c>
      <c r="E2" s="59">
        <f>Conto_economico!F10</f>
        <v>271614000.04999995</v>
      </c>
      <c r="F2" s="59">
        <f>Conto_economico!G10</f>
        <v>265222480.44</v>
      </c>
      <c r="G2" s="59">
        <f>Conto_economico!H10</f>
        <v>272554322.75999999</v>
      </c>
      <c r="H2" s="59">
        <f>Conto_economico!I10</f>
        <v>287116488.17000002</v>
      </c>
      <c r="I2" s="59">
        <f>Conto_economico!J10</f>
        <v>275585329.77000004</v>
      </c>
      <c r="J2" s="59">
        <f>Conto_economico!K10</f>
        <v>287598300.38999999</v>
      </c>
      <c r="K2" s="59">
        <f>Conto_economico!L10</f>
        <v>303174137.01999998</v>
      </c>
      <c r="L2" s="59">
        <f t="shared" ref="L2:L16" si="0">K2-J2</f>
        <v>15575836.629999995</v>
      </c>
    </row>
    <row r="3" spans="1:12" x14ac:dyDescent="0.3">
      <c r="A3" s="65" t="s">
        <v>341</v>
      </c>
      <c r="B3" s="59">
        <f>Conto_economico!C2</f>
        <v>128950084.68000001</v>
      </c>
      <c r="C3" s="59">
        <f>Conto_economico!D2</f>
        <v>124243595.69</v>
      </c>
      <c r="D3" s="59">
        <f>Conto_economico!E2</f>
        <v>105227707.04000001</v>
      </c>
      <c r="E3" s="59">
        <f>Conto_economico!F2</f>
        <v>141259716.15000001</v>
      </c>
      <c r="F3" s="59">
        <f>Conto_economico!G2</f>
        <v>135172914.22999999</v>
      </c>
      <c r="G3" s="59">
        <f>Conto_economico!H2</f>
        <v>134538367.65000001</v>
      </c>
      <c r="H3" s="59">
        <f>Conto_economico!I2</f>
        <v>130910918.36</v>
      </c>
      <c r="I3" s="59">
        <f>Conto_economico!J2</f>
        <v>129229761.86</v>
      </c>
      <c r="J3" s="59">
        <f>Conto_economico!K2</f>
        <v>130200329.09999999</v>
      </c>
      <c r="K3" s="59">
        <f>Conto_economico!L2</f>
        <v>131242559.98</v>
      </c>
      <c r="L3" s="59">
        <f t="shared" si="0"/>
        <v>1042230.8800000101</v>
      </c>
    </row>
    <row r="4" spans="1:12" x14ac:dyDescent="0.3">
      <c r="A4" s="65" t="s">
        <v>342</v>
      </c>
      <c r="B4" s="59">
        <f>Conto_economico!C4</f>
        <v>74304485.909999996</v>
      </c>
      <c r="C4" s="59">
        <f>Conto_economico!D4</f>
        <v>75314103.930000007</v>
      </c>
      <c r="D4" s="59">
        <f>Conto_economico!E4</f>
        <v>72400089.530000001</v>
      </c>
      <c r="E4" s="59">
        <f>Conto_economico!F4</f>
        <v>71224092.849999994</v>
      </c>
      <c r="F4" s="59">
        <f>Conto_economico!G4</f>
        <v>76191756.430000007</v>
      </c>
      <c r="G4" s="59">
        <f>Conto_economico!H4</f>
        <v>85109360.379999995</v>
      </c>
      <c r="H4" s="59">
        <f>Conto_economico!I4</f>
        <v>110967939.01000001</v>
      </c>
      <c r="I4" s="59">
        <f>Conto_economico!J4</f>
        <v>90653880.329999998</v>
      </c>
      <c r="J4" s="59">
        <f>Conto_economico!K4</f>
        <v>99788440</v>
      </c>
      <c r="K4" s="59">
        <f>Conto_economico!L4</f>
        <v>112218932.65000001</v>
      </c>
      <c r="L4" s="59">
        <f t="shared" si="0"/>
        <v>12430492.650000006</v>
      </c>
    </row>
    <row r="5" spans="1:12" x14ac:dyDescent="0.3">
      <c r="A5" s="65" t="s">
        <v>347</v>
      </c>
      <c r="B5" s="60">
        <f>Conto_economico!C21</f>
        <v>233276428.71000001</v>
      </c>
      <c r="C5" s="60">
        <f>Conto_economico!D21</f>
        <v>233691907.29999998</v>
      </c>
      <c r="D5" s="60">
        <f>Conto_economico!E21</f>
        <v>260995664.06000003</v>
      </c>
      <c r="E5" s="60">
        <f>Conto_economico!F21</f>
        <v>270814464.10000002</v>
      </c>
      <c r="F5" s="60">
        <f>Conto_economico!G21</f>
        <v>257826133.29999998</v>
      </c>
      <c r="G5" s="60">
        <f>Conto_economico!H21</f>
        <v>246070433.72999996</v>
      </c>
      <c r="H5" s="60">
        <f>Conto_economico!I21</f>
        <v>250630849.68000004</v>
      </c>
      <c r="I5" s="60">
        <f>Conto_economico!J21</f>
        <v>280502606.57999998</v>
      </c>
      <c r="J5" s="60">
        <f>Conto_economico!K21</f>
        <v>276761931.39999998</v>
      </c>
      <c r="K5" s="60">
        <f>Conto_economico!L21</f>
        <v>309674398.70000005</v>
      </c>
      <c r="L5" s="59">
        <f t="shared" si="0"/>
        <v>32912467.300000072</v>
      </c>
    </row>
    <row r="6" spans="1:12" x14ac:dyDescent="0.3">
      <c r="A6" s="65" t="s">
        <v>343</v>
      </c>
      <c r="B6" s="59">
        <f>Conto_economico!C12</f>
        <v>88729374.349999994</v>
      </c>
      <c r="C6" s="59">
        <f>Conto_economico!D12</f>
        <v>99644280.930000007</v>
      </c>
      <c r="D6" s="59">
        <f>Conto_economico!E12</f>
        <v>92602175.099999994</v>
      </c>
      <c r="E6" s="59">
        <f>Conto_economico!F12</f>
        <v>111444214.22</v>
      </c>
      <c r="F6" s="59">
        <f>Conto_economico!G12</f>
        <v>114645915.3</v>
      </c>
      <c r="G6" s="59">
        <f>Conto_economico!H12</f>
        <v>109526381.73999999</v>
      </c>
      <c r="H6" s="59">
        <f>Conto_economico!I12</f>
        <v>106824479.41</v>
      </c>
      <c r="I6" s="59">
        <f>Conto_economico!J12</f>
        <v>118551585.13</v>
      </c>
      <c r="J6" s="59">
        <f>Conto_economico!K12</f>
        <v>130706222.8</v>
      </c>
      <c r="K6" s="59">
        <f>Conto_economico!L12</f>
        <v>141453714.33000001</v>
      </c>
      <c r="L6" s="59">
        <f t="shared" si="0"/>
        <v>10747491.530000016</v>
      </c>
    </row>
    <row r="7" spans="1:12" x14ac:dyDescent="0.3">
      <c r="A7" s="65" t="s">
        <v>344</v>
      </c>
      <c r="B7" s="59">
        <f>Conto_economico!C15</f>
        <v>52525500.979999997</v>
      </c>
      <c r="C7" s="59">
        <f>Conto_economico!D15</f>
        <v>49706182.100000001</v>
      </c>
      <c r="D7" s="59">
        <f>Conto_economico!E15</f>
        <v>49732400.149999999</v>
      </c>
      <c r="E7" s="59">
        <f>Conto_economico!F15</f>
        <v>47919941.149999999</v>
      </c>
      <c r="F7" s="59">
        <f>Conto_economico!G15</f>
        <v>47309857.990000002</v>
      </c>
      <c r="G7" s="59">
        <f>Conto_economico!H15</f>
        <v>47166799.159999996</v>
      </c>
      <c r="H7" s="59">
        <f>Conto_economico!I15</f>
        <v>47048665.719999999</v>
      </c>
      <c r="I7" s="59">
        <f>Conto_economico!J15</f>
        <v>45142590.07</v>
      </c>
      <c r="J7" s="59">
        <f>Conto_economico!K15</f>
        <v>46202717.939999998</v>
      </c>
      <c r="K7" s="59">
        <f>Conto_economico!L15</f>
        <v>50724270.479999997</v>
      </c>
      <c r="L7" s="59">
        <f t="shared" si="0"/>
        <v>4521552.5399999991</v>
      </c>
    </row>
    <row r="8" spans="1:12" x14ac:dyDescent="0.3">
      <c r="A8" s="65" t="s">
        <v>345</v>
      </c>
      <c r="B8" s="59">
        <f>Conto_economico!C16</f>
        <v>52672159.25</v>
      </c>
      <c r="C8" s="59">
        <f>Conto_economico!D16</f>
        <v>47521095.480000004</v>
      </c>
      <c r="D8" s="59">
        <f>Conto_economico!E16</f>
        <v>34495070.43</v>
      </c>
      <c r="E8" s="59">
        <f>Conto_economico!F16</f>
        <v>55190292.960000001</v>
      </c>
      <c r="F8" s="59">
        <f>Conto_economico!G16</f>
        <v>52814941.93</v>
      </c>
      <c r="G8" s="59">
        <f>Conto_economico!H16</f>
        <v>47693704.630000003</v>
      </c>
      <c r="H8" s="59">
        <f>Conto_economico!I16</f>
        <v>45136210.200000003</v>
      </c>
      <c r="I8" s="59">
        <f>Conto_economico!J16</f>
        <v>58912629.130000003</v>
      </c>
      <c r="J8" s="59">
        <f>Conto_economico!K16</f>
        <v>52570919.810000002</v>
      </c>
      <c r="K8" s="59">
        <f>Conto_economico!L16</f>
        <v>51060024.149999999</v>
      </c>
      <c r="L8" s="59">
        <f t="shared" si="0"/>
        <v>-1510895.6600000039</v>
      </c>
    </row>
    <row r="9" spans="1:12" s="112" customFormat="1" x14ac:dyDescent="0.3">
      <c r="A9" s="126" t="s">
        <v>365</v>
      </c>
      <c r="B9" s="61">
        <f>Conto_economico!C29</f>
        <v>57909328.430000007</v>
      </c>
      <c r="C9" s="61">
        <f>Conto_economico!D29</f>
        <v>51468804.280000009</v>
      </c>
      <c r="D9" s="61">
        <f>Conto_economico!E29</f>
        <v>51039999.670000032</v>
      </c>
      <c r="E9" s="61">
        <f>Conto_economico!F29</f>
        <v>73865818.659999952</v>
      </c>
      <c r="F9" s="61">
        <f>Conto_economico!G29</f>
        <v>63676649.229999997</v>
      </c>
      <c r="G9" s="61">
        <f>Conto_economico!H29</f>
        <v>83822141.280000001</v>
      </c>
      <c r="H9" s="61">
        <f>Conto_economico!I29</f>
        <v>86629790.250000015</v>
      </c>
      <c r="I9" s="61">
        <f>Conto_economico!J29</f>
        <v>67005117.31000004</v>
      </c>
      <c r="J9" s="61">
        <f>Conto_economico!K29</f>
        <v>68297516.010000005</v>
      </c>
      <c r="K9" s="61">
        <f>Conto_economico!L29</f>
        <v>53884897.239999987</v>
      </c>
      <c r="L9" s="61">
        <f t="shared" si="0"/>
        <v>-14412618.770000018</v>
      </c>
    </row>
    <row r="10" spans="1:12" x14ac:dyDescent="0.3">
      <c r="A10" s="44" t="s">
        <v>307</v>
      </c>
      <c r="B10" s="61">
        <f t="shared" ref="B10:G10" si="1">B2-B5</f>
        <v>1217262.0900000036</v>
      </c>
      <c r="C10" s="61">
        <f t="shared" si="1"/>
        <v>1048033.930000037</v>
      </c>
      <c r="D10" s="61">
        <f t="shared" si="1"/>
        <v>-34775110.310000002</v>
      </c>
      <c r="E10" s="61">
        <f t="shared" si="1"/>
        <v>799535.94999992847</v>
      </c>
      <c r="F10" s="61">
        <f t="shared" si="1"/>
        <v>7396347.1400000155</v>
      </c>
      <c r="G10" s="61">
        <f t="shared" si="1"/>
        <v>26483889.030000031</v>
      </c>
      <c r="H10" s="61">
        <f t="shared" ref="H10:K10" si="2">H2-H5</f>
        <v>36485638.48999998</v>
      </c>
      <c r="I10" s="61">
        <f t="shared" ref="I10:J10" si="3">I2-I5</f>
        <v>-4917276.8099999428</v>
      </c>
      <c r="J10" s="61">
        <f t="shared" si="3"/>
        <v>10836368.99000001</v>
      </c>
      <c r="K10" s="61">
        <f t="shared" si="2"/>
        <v>-6500261.6800000668</v>
      </c>
      <c r="L10" s="61">
        <f t="shared" si="0"/>
        <v>-17336630.670000076</v>
      </c>
    </row>
    <row r="11" spans="1:12" x14ac:dyDescent="0.3">
      <c r="A11" s="65" t="s">
        <v>308</v>
      </c>
      <c r="B11" s="59">
        <f>Conto_economico!C22-Conto_economico!C23</f>
        <v>-1603911.72</v>
      </c>
      <c r="C11" s="59">
        <f>Conto_economico!D22-Conto_economico!D23</f>
        <v>-1501674.21</v>
      </c>
      <c r="D11" s="59">
        <f>Conto_economico!E22-Conto_economico!E23</f>
        <v>-1942971.9600000002</v>
      </c>
      <c r="E11" s="59">
        <f>Conto_economico!F22-Conto_economico!F23</f>
        <v>-939193.61</v>
      </c>
      <c r="F11" s="59">
        <f>Conto_economico!G22-Conto_economico!G23</f>
        <v>-1146035.23</v>
      </c>
      <c r="G11" s="59">
        <f>Conto_economico!H22-Conto_economico!H23</f>
        <v>2320409.0199999996</v>
      </c>
      <c r="H11" s="59">
        <f>Conto_economico!I22-Conto_economico!I23</f>
        <v>-1040498.03</v>
      </c>
      <c r="I11" s="59">
        <f>Conto_economico!J22-Conto_economico!J23</f>
        <v>-763308.05999999994</v>
      </c>
      <c r="J11" s="59">
        <f>Conto_economico!K22-Conto_economico!K23</f>
        <v>-672570.53999999992</v>
      </c>
      <c r="K11" s="59">
        <f>Conto_economico!L22-Conto_economico!L23</f>
        <v>-516612.78</v>
      </c>
      <c r="L11" s="59">
        <f t="shared" si="0"/>
        <v>155957.75999999989</v>
      </c>
    </row>
    <row r="12" spans="1:12" x14ac:dyDescent="0.3">
      <c r="A12" s="65" t="s">
        <v>309</v>
      </c>
      <c r="B12" s="60">
        <f>Conto_economico!C25-Conto_economico!C26</f>
        <v>-726863.26999999955</v>
      </c>
      <c r="C12" s="60">
        <f>Conto_economico!D25-Conto_economico!D26</f>
        <v>-4820114.5200000014</v>
      </c>
      <c r="D12" s="60">
        <f>Conto_economico!E25-Conto_economico!E26</f>
        <v>63680963.859999999</v>
      </c>
      <c r="E12" s="60">
        <f>Conto_economico!F25-Conto_economico!F26</f>
        <v>-1416538.5099999998</v>
      </c>
      <c r="F12" s="60">
        <f>Conto_economico!G25-Conto_economico!G26</f>
        <v>-2032013.9299999997</v>
      </c>
      <c r="G12" s="60">
        <f>Conto_economico!H25-Conto_economico!H26</f>
        <v>-19404434.829999998</v>
      </c>
      <c r="H12" s="60">
        <f>Conto_economico!I25-Conto_economico!I26</f>
        <v>-4179856.200000003</v>
      </c>
      <c r="I12" s="60">
        <f>Conto_economico!J25-Conto_economico!J26</f>
        <v>-188543659.59999999</v>
      </c>
      <c r="J12" s="60">
        <f>Conto_economico!K25-Conto_economico!K26</f>
        <v>6918921.8900000006</v>
      </c>
      <c r="K12" s="60">
        <f>Conto_economico!L25-Conto_economico!L26</f>
        <v>9995632.7700000014</v>
      </c>
      <c r="L12" s="59">
        <f t="shared" si="0"/>
        <v>3076710.8800000008</v>
      </c>
    </row>
    <row r="13" spans="1:12" x14ac:dyDescent="0.3">
      <c r="A13" s="65" t="s">
        <v>255</v>
      </c>
      <c r="B13" s="60">
        <f>Conto_economico!C24</f>
        <v>0</v>
      </c>
      <c r="C13" s="60">
        <f>Conto_economico!D24</f>
        <v>0</v>
      </c>
      <c r="D13" s="60">
        <f>Conto_economico!E24</f>
        <v>0</v>
      </c>
      <c r="E13" s="60">
        <f>Conto_economico!F24</f>
        <v>0</v>
      </c>
      <c r="F13" s="60">
        <f>Conto_economico!G24</f>
        <v>0</v>
      </c>
      <c r="G13" s="60">
        <f>Conto_economico!H24</f>
        <v>0</v>
      </c>
      <c r="H13" s="60">
        <f>Conto_economico!I24</f>
        <v>2576106.75</v>
      </c>
      <c r="I13" s="60">
        <f>Conto_economico!J24</f>
        <v>0</v>
      </c>
      <c r="J13" s="60">
        <f>Conto_economico!K24</f>
        <v>0</v>
      </c>
      <c r="K13" s="60">
        <f>Conto_economico!L24</f>
        <v>0</v>
      </c>
      <c r="L13" s="59">
        <f t="shared" si="0"/>
        <v>0</v>
      </c>
    </row>
    <row r="14" spans="1:12" x14ac:dyDescent="0.3">
      <c r="A14" s="44" t="s">
        <v>310</v>
      </c>
      <c r="B14" s="61">
        <f t="shared" ref="B14:G14" si="4">SUM(B10:B13)</f>
        <v>-1113512.8999999959</v>
      </c>
      <c r="C14" s="61">
        <f t="shared" si="4"/>
        <v>-5273754.7999999644</v>
      </c>
      <c r="D14" s="61">
        <f t="shared" si="4"/>
        <v>26962881.589999996</v>
      </c>
      <c r="E14" s="61">
        <f t="shared" si="4"/>
        <v>-1556196.1700000712</v>
      </c>
      <c r="F14" s="61">
        <f t="shared" si="4"/>
        <v>4218297.9800000153</v>
      </c>
      <c r="G14" s="61">
        <f t="shared" si="4"/>
        <v>9399863.2200000323</v>
      </c>
      <c r="H14" s="61">
        <f t="shared" ref="H14:K14" si="5">SUM(H10:H13)</f>
        <v>33841391.009999976</v>
      </c>
      <c r="I14" s="61">
        <f t="shared" ref="I14:J14" si="6">SUM(I10:I13)</f>
        <v>-194224244.46999994</v>
      </c>
      <c r="J14" s="61">
        <f t="shared" si="6"/>
        <v>17082720.340000011</v>
      </c>
      <c r="K14" s="61">
        <f t="shared" si="5"/>
        <v>2978758.3099999344</v>
      </c>
      <c r="L14" s="61">
        <f t="shared" si="0"/>
        <v>-14103962.030000076</v>
      </c>
    </row>
    <row r="15" spans="1:12" x14ac:dyDescent="0.3">
      <c r="A15" s="65" t="s">
        <v>258</v>
      </c>
      <c r="B15" s="59">
        <f>Conto_economico!C27</f>
        <v>941251.66</v>
      </c>
      <c r="C15" s="59">
        <f>Conto_economico!D27</f>
        <v>2668459.11</v>
      </c>
      <c r="D15" s="59">
        <f>Conto_economico!E27</f>
        <v>2985856.58</v>
      </c>
      <c r="E15" s="59">
        <f>Conto_economico!F27</f>
        <v>2780934.93</v>
      </c>
      <c r="F15" s="59">
        <f>Conto_economico!G27</f>
        <v>2889530.5</v>
      </c>
      <c r="G15" s="59">
        <f>Conto_economico!H27</f>
        <v>2762803.25</v>
      </c>
      <c r="H15" s="59">
        <f>Conto_economico!I27</f>
        <v>2744602.7</v>
      </c>
      <c r="I15" s="59">
        <f>Conto_economico!J27</f>
        <v>2716635.39</v>
      </c>
      <c r="J15" s="59">
        <f>Conto_economico!K27</f>
        <v>2830624.97</v>
      </c>
      <c r="K15" s="59">
        <f>Conto_economico!L27</f>
        <v>3348899.97</v>
      </c>
      <c r="L15" s="59">
        <f t="shared" si="0"/>
        <v>518275</v>
      </c>
    </row>
    <row r="16" spans="1:12" x14ac:dyDescent="0.3">
      <c r="A16" s="64" t="s">
        <v>259</v>
      </c>
      <c r="B16" s="62">
        <f t="shared" ref="B16:G16" si="7">B14-B15</f>
        <v>-2054764.5599999959</v>
      </c>
      <c r="C16" s="62">
        <f t="shared" si="7"/>
        <v>-7942213.9099999648</v>
      </c>
      <c r="D16" s="62">
        <f t="shared" si="7"/>
        <v>23977025.009999998</v>
      </c>
      <c r="E16" s="62">
        <f t="shared" si="7"/>
        <v>-4337131.1000000713</v>
      </c>
      <c r="F16" s="62">
        <f t="shared" si="7"/>
        <v>1328767.4800000153</v>
      </c>
      <c r="G16" s="62">
        <f t="shared" si="7"/>
        <v>6637059.9700000323</v>
      </c>
      <c r="H16" s="62">
        <f t="shared" ref="H16:K16" si="8">H14-H15</f>
        <v>31096788.309999976</v>
      </c>
      <c r="I16" s="62">
        <f t="shared" ref="I16:J16" si="9">I14-I15</f>
        <v>-196940879.85999992</v>
      </c>
      <c r="J16" s="62">
        <f t="shared" si="9"/>
        <v>14252095.37000001</v>
      </c>
      <c r="K16" s="62">
        <f t="shared" si="8"/>
        <v>-370141.66000006581</v>
      </c>
      <c r="L16" s="62">
        <f t="shared" si="0"/>
        <v>-14622237.030000076</v>
      </c>
    </row>
    <row r="18" spans="2:3" x14ac:dyDescent="0.3">
      <c r="B18" s="92"/>
      <c r="C18" s="92"/>
    </row>
    <row r="19" spans="2:3" x14ac:dyDescent="0.3">
      <c r="B19" s="102"/>
      <c r="C19" s="102"/>
    </row>
    <row r="20" spans="2:3" x14ac:dyDescent="0.3">
      <c r="B20" s="92"/>
      <c r="C20" s="92"/>
    </row>
  </sheetData>
  <conditionalFormatting sqref="B16:G16 K16:L16">
    <cfRule type="cellIs" dxfId="77" priority="17" operator="greaterThan">
      <formula>0</formula>
    </cfRule>
  </conditionalFormatting>
  <conditionalFormatting sqref="B10:G10 B14:G14 K14:L14 K10:L10 L9">
    <cfRule type="cellIs" dxfId="76" priority="16" operator="lessThan">
      <formula>0</formula>
    </cfRule>
  </conditionalFormatting>
  <conditionalFormatting sqref="H16">
    <cfRule type="cellIs" dxfId="75" priority="8" operator="greaterThan">
      <formula>0</formula>
    </cfRule>
  </conditionalFormatting>
  <conditionalFormatting sqref="H14 H10">
    <cfRule type="cellIs" dxfId="74" priority="7" operator="lessThan">
      <formula>0</formula>
    </cfRule>
  </conditionalFormatting>
  <conditionalFormatting sqref="I16">
    <cfRule type="cellIs" dxfId="73" priority="6" operator="greaterThan">
      <formula>0</formula>
    </cfRule>
  </conditionalFormatting>
  <conditionalFormatting sqref="I14 I10">
    <cfRule type="cellIs" dxfId="72" priority="5" operator="lessThan">
      <formula>0</formula>
    </cfRule>
  </conditionalFormatting>
  <conditionalFormatting sqref="B9:I9 K9">
    <cfRule type="cellIs" dxfId="71" priority="4" operator="lessThan">
      <formula>0</formula>
    </cfRule>
  </conditionalFormatting>
  <conditionalFormatting sqref="J16">
    <cfRule type="cellIs" dxfId="70" priority="3" operator="greaterThan">
      <formula>0</formula>
    </cfRule>
  </conditionalFormatting>
  <conditionalFormatting sqref="J14 J10">
    <cfRule type="cellIs" dxfId="69" priority="2" operator="lessThan">
      <formula>0</formula>
    </cfRule>
  </conditionalFormatting>
  <conditionalFormatting sqref="J9">
    <cfRule type="cellIs" dxfId="68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showGridLines="0" topLeftCell="B1" workbookViewId="0">
      <selection activeCell="K2" sqref="K2:K28"/>
    </sheetView>
  </sheetViews>
  <sheetFormatPr defaultRowHeight="14.4" x14ac:dyDescent="0.3"/>
  <cols>
    <col min="1" max="1" width="51.6640625" style="30" bestFit="1" customWidth="1"/>
    <col min="2" max="7" width="12.6640625" bestFit="1" customWidth="1"/>
    <col min="8" max="11" width="12.6640625" style="112" bestFit="1" customWidth="1"/>
    <col min="12" max="13" width="12.6640625" bestFit="1" customWidth="1"/>
  </cols>
  <sheetData>
    <row r="1" spans="1:11" x14ac:dyDescent="0.3">
      <c r="A1" s="67"/>
      <c r="B1" s="95">
        <v>2014</v>
      </c>
      <c r="C1" s="95">
        <v>2015</v>
      </c>
      <c r="D1" s="95">
        <v>2016</v>
      </c>
      <c r="E1" s="95">
        <v>2017</v>
      </c>
      <c r="F1" s="95">
        <v>2018</v>
      </c>
      <c r="G1" s="95">
        <v>2019</v>
      </c>
      <c r="H1" s="95">
        <v>2020</v>
      </c>
      <c r="I1" s="95">
        <v>2021</v>
      </c>
      <c r="J1" s="95">
        <v>2022</v>
      </c>
      <c r="K1" s="95">
        <v>2023</v>
      </c>
    </row>
    <row r="2" spans="1:11" x14ac:dyDescent="0.3">
      <c r="A2" s="30" t="s">
        <v>212</v>
      </c>
      <c r="B2" s="1">
        <v>0</v>
      </c>
      <c r="C2" s="1">
        <v>0</v>
      </c>
      <c r="D2" s="1">
        <v>0</v>
      </c>
      <c r="E2" s="1">
        <v>0</v>
      </c>
      <c r="F2" s="1">
        <v>0</v>
      </c>
      <c r="G2" s="1">
        <v>0</v>
      </c>
      <c r="H2" s="1">
        <v>0</v>
      </c>
      <c r="I2" s="1">
        <v>0</v>
      </c>
      <c r="J2" s="1">
        <v>0</v>
      </c>
      <c r="K2" s="1">
        <v>0</v>
      </c>
    </row>
    <row r="3" spans="1:11" x14ac:dyDescent="0.3">
      <c r="A3" s="30" t="s">
        <v>213</v>
      </c>
      <c r="B3" s="1">
        <v>473989.99</v>
      </c>
      <c r="C3" s="1">
        <v>77946.89</v>
      </c>
      <c r="D3" s="1">
        <v>173939.39</v>
      </c>
      <c r="E3" s="1">
        <v>116775.11</v>
      </c>
      <c r="F3" s="1">
        <v>416689.12</v>
      </c>
      <c r="G3" s="1">
        <v>474578.77</v>
      </c>
      <c r="H3" s="1">
        <v>704675.28</v>
      </c>
      <c r="I3" s="1">
        <v>1092793.94</v>
      </c>
      <c r="J3" s="1">
        <v>1820154.79</v>
      </c>
      <c r="K3" s="1">
        <v>2926783.88</v>
      </c>
    </row>
    <row r="4" spans="1:11" x14ac:dyDescent="0.3">
      <c r="A4" s="30" t="s">
        <v>214</v>
      </c>
      <c r="B4" s="1">
        <v>877024401.12</v>
      </c>
      <c r="C4" s="1">
        <v>880648987.13999999</v>
      </c>
      <c r="D4" s="1">
        <v>964153844.08000004</v>
      </c>
      <c r="E4" s="1">
        <v>1295664255.8599999</v>
      </c>
      <c r="F4" s="1">
        <v>1299708753.3199999</v>
      </c>
      <c r="G4" s="1">
        <v>1279084340.23</v>
      </c>
      <c r="H4" s="1">
        <v>1273658721.2</v>
      </c>
      <c r="I4" s="1">
        <v>1093954258.23</v>
      </c>
      <c r="J4" s="1">
        <v>1101027931.8399999</v>
      </c>
      <c r="K4" s="1">
        <v>1146365629.8699999</v>
      </c>
    </row>
    <row r="5" spans="1:11" x14ac:dyDescent="0.3">
      <c r="A5" s="30" t="s">
        <v>228</v>
      </c>
      <c r="B5" s="1">
        <f>26021511.26+32219962.71+36244.37</f>
        <v>58277718.339999996</v>
      </c>
      <c r="C5" s="1">
        <f>26371674.9+36557008.47+256219.2</f>
        <v>63184902.57</v>
      </c>
      <c r="D5" s="1">
        <v>67877386.629999995</v>
      </c>
      <c r="E5" s="1">
        <v>75508441.299999997</v>
      </c>
      <c r="F5" s="1">
        <v>82410417.409999996</v>
      </c>
      <c r="G5" s="1">
        <v>81815759.590000004</v>
      </c>
      <c r="H5" s="1">
        <v>84325828.209999993</v>
      </c>
      <c r="I5" s="1">
        <v>87380480.650000006</v>
      </c>
      <c r="J5" s="1">
        <v>89418398.769999996</v>
      </c>
      <c r="K5" s="1">
        <v>93424818.620000005</v>
      </c>
    </row>
    <row r="6" spans="1:11" x14ac:dyDescent="0.3">
      <c r="A6" s="30" t="s">
        <v>229</v>
      </c>
      <c r="B6" s="1">
        <f>11408711+13390151.12</f>
        <v>24798862.119999997</v>
      </c>
      <c r="C6" s="1">
        <f>673919.31+11408711+15293875.97</f>
        <v>27376506.280000001</v>
      </c>
      <c r="D6" s="1">
        <v>29407747.329999998</v>
      </c>
      <c r="E6" s="1">
        <v>31252130.77</v>
      </c>
      <c r="F6" s="1">
        <v>33021970.920000002</v>
      </c>
      <c r="G6" s="1">
        <v>32228066.75</v>
      </c>
      <c r="H6" s="1">
        <v>32634135.100000001</v>
      </c>
      <c r="I6" s="1">
        <v>33752395.950000003</v>
      </c>
      <c r="J6" s="1">
        <v>33944304.090000004</v>
      </c>
      <c r="K6" s="1">
        <v>34946511.619999997</v>
      </c>
    </row>
    <row r="7" spans="1:11" x14ac:dyDescent="0.3">
      <c r="A7" s="30" t="s">
        <v>230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</row>
    <row r="8" spans="1:11" x14ac:dyDescent="0.3">
      <c r="A8" s="30" t="s">
        <v>231</v>
      </c>
      <c r="B8" s="1">
        <v>418432.68</v>
      </c>
      <c r="C8" s="1">
        <v>411722.61</v>
      </c>
      <c r="D8" s="1">
        <v>431408</v>
      </c>
      <c r="E8" s="1">
        <v>424636.14</v>
      </c>
      <c r="F8" s="1">
        <v>401896.63</v>
      </c>
      <c r="G8" s="1">
        <v>225430.81</v>
      </c>
      <c r="H8" s="1">
        <v>166638.82999999999</v>
      </c>
      <c r="I8" s="1">
        <v>175221.82</v>
      </c>
      <c r="J8" s="1">
        <v>179383.8</v>
      </c>
      <c r="K8" s="1">
        <v>170019.01</v>
      </c>
    </row>
    <row r="9" spans="1:11" x14ac:dyDescent="0.3">
      <c r="A9" s="30" t="s">
        <v>215</v>
      </c>
      <c r="B9" s="1">
        <v>283961328.44</v>
      </c>
      <c r="C9" s="1">
        <v>292067482.57999998</v>
      </c>
      <c r="D9" s="1">
        <v>204577438.53</v>
      </c>
      <c r="E9" s="1">
        <v>195320776.47999999</v>
      </c>
      <c r="F9" s="1">
        <v>123512996.34999999</v>
      </c>
      <c r="G9" s="1">
        <v>116979940.38</v>
      </c>
      <c r="H9" s="1">
        <v>141354295.88999999</v>
      </c>
      <c r="I9" s="1">
        <v>128565079.09999999</v>
      </c>
      <c r="J9" s="1">
        <v>125773461.02</v>
      </c>
      <c r="K9" s="1">
        <v>168512670.09999999</v>
      </c>
    </row>
    <row r="10" spans="1:11" x14ac:dyDescent="0.3">
      <c r="A10" s="30" t="s">
        <v>232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</row>
    <row r="11" spans="1:11" x14ac:dyDescent="0.3">
      <c r="A11" s="30" t="s">
        <v>216</v>
      </c>
      <c r="B11" s="1">
        <v>255431483.72</v>
      </c>
      <c r="C11" s="1">
        <v>261542045.93000001</v>
      </c>
      <c r="D11" s="1">
        <v>243489267.38999999</v>
      </c>
      <c r="E11" s="1">
        <v>268519510.82999998</v>
      </c>
      <c r="F11" s="1">
        <v>279956326.75999999</v>
      </c>
      <c r="G11" s="1">
        <v>305466389.81</v>
      </c>
      <c r="H11" s="1">
        <v>332450197.29000002</v>
      </c>
      <c r="I11" s="1">
        <v>335178915.22000003</v>
      </c>
      <c r="J11" s="1">
        <v>356257153.75</v>
      </c>
      <c r="K11" s="1">
        <v>316341335.06</v>
      </c>
    </row>
    <row r="12" spans="1:11" x14ac:dyDescent="0.3">
      <c r="A12" s="30" t="s">
        <v>217</v>
      </c>
      <c r="B12" s="1">
        <v>20849.240000000002</v>
      </c>
      <c r="C12" s="1">
        <v>6528.48</v>
      </c>
      <c r="D12" s="1">
        <v>3792.23</v>
      </c>
      <c r="E12" s="1">
        <v>3792.23</v>
      </c>
      <c r="F12" s="1">
        <v>3792.23</v>
      </c>
      <c r="G12" s="1">
        <v>0</v>
      </c>
      <c r="H12" s="1">
        <v>226951.99</v>
      </c>
      <c r="I12" s="1">
        <v>70835.929999999993</v>
      </c>
      <c r="J12" s="1">
        <v>74408.66</v>
      </c>
      <c r="K12" s="1">
        <v>22034.400000000001</v>
      </c>
    </row>
    <row r="13" spans="1:11" x14ac:dyDescent="0.3">
      <c r="A13" s="10" t="s">
        <v>218</v>
      </c>
      <c r="B13" s="11">
        <f t="shared" ref="B13:G13" si="0">SUM(B2:B12)</f>
        <v>1500407065.6500001</v>
      </c>
      <c r="C13" s="11">
        <f t="shared" si="0"/>
        <v>1525316122.48</v>
      </c>
      <c r="D13" s="11">
        <f t="shared" si="0"/>
        <v>1510114823.5799999</v>
      </c>
      <c r="E13" s="11">
        <f t="shared" si="0"/>
        <v>1866810318.7199998</v>
      </c>
      <c r="F13" s="11">
        <f t="shared" si="0"/>
        <v>1819432842.74</v>
      </c>
      <c r="G13" s="11">
        <f t="shared" si="0"/>
        <v>1816274506.3399997</v>
      </c>
      <c r="H13" s="11">
        <f t="shared" ref="H13:K13" si="1">SUM(H2:H12)</f>
        <v>1865521443.7899997</v>
      </c>
      <c r="I13" s="11">
        <f t="shared" ref="I13:J13" si="2">SUM(I2:I12)</f>
        <v>1680169980.8400002</v>
      </c>
      <c r="J13" s="11">
        <f t="shared" si="2"/>
        <v>1708495196.7199998</v>
      </c>
      <c r="K13" s="11">
        <f t="shared" si="1"/>
        <v>1762709802.5599997</v>
      </c>
    </row>
    <row r="14" spans="1:11" x14ac:dyDescent="0.3">
      <c r="A14" s="30" t="s">
        <v>219</v>
      </c>
      <c r="B14" s="1">
        <v>911975231.75999999</v>
      </c>
      <c r="C14" s="1">
        <v>911975231.75999999</v>
      </c>
      <c r="D14" s="1">
        <v>911975231.75999999</v>
      </c>
      <c r="E14" s="1">
        <v>36643864.829999998</v>
      </c>
      <c r="F14" s="1">
        <v>36643864.829999998</v>
      </c>
      <c r="G14" s="1">
        <v>36643864.829999998</v>
      </c>
      <c r="H14" s="1">
        <v>36643864.829999998</v>
      </c>
      <c r="I14" s="1">
        <v>36643864.829999998</v>
      </c>
      <c r="J14" s="1">
        <v>36643864.829999998</v>
      </c>
      <c r="K14" s="1">
        <v>36643864.829999998</v>
      </c>
    </row>
    <row r="15" spans="1:11" x14ac:dyDescent="0.3">
      <c r="A15" s="30" t="s">
        <v>220</v>
      </c>
      <c r="B15" s="1">
        <f>5214748.41+40929172.18</f>
        <v>46143920.590000004</v>
      </c>
      <c r="C15" s="1">
        <f>8067168.08+41564068.75</f>
        <v>49631236.829999998</v>
      </c>
      <c r="D15" s="1">
        <v>46663404.520000003</v>
      </c>
      <c r="E15" s="1">
        <v>1250848075.6199999</v>
      </c>
      <c r="F15" s="1">
        <v>1256677071.49</v>
      </c>
      <c r="G15" s="1">
        <v>1260411527.71</v>
      </c>
      <c r="H15" s="1">
        <v>1129587369.3499999</v>
      </c>
      <c r="I15" s="1">
        <v>1137374324.4100001</v>
      </c>
      <c r="J15" s="1">
        <v>1141918395.6099999</v>
      </c>
      <c r="K15" s="1">
        <v>1149410341.99</v>
      </c>
    </row>
    <row r="16" spans="1:11" x14ac:dyDescent="0.3">
      <c r="A16" s="30" t="s">
        <v>235</v>
      </c>
      <c r="B16" s="1">
        <v>40929172.18</v>
      </c>
      <c r="C16" s="1">
        <v>41564068.75</v>
      </c>
      <c r="D16" s="1">
        <v>41863047.740000002</v>
      </c>
      <c r="E16" s="1">
        <v>44236708.490000002</v>
      </c>
      <c r="F16" s="1">
        <v>47450558.799999997</v>
      </c>
      <c r="G16" s="1">
        <v>49856247.539999999</v>
      </c>
      <c r="H16" s="1">
        <v>52478412.640000001</v>
      </c>
      <c r="I16" s="1">
        <v>53627322.850000001</v>
      </c>
      <c r="J16" s="1">
        <v>55924875.689999998</v>
      </c>
      <c r="K16" s="1">
        <v>58014332.399999999</v>
      </c>
    </row>
    <row r="17" spans="1:13" x14ac:dyDescent="0.3">
      <c r="A17" s="30" t="s">
        <v>221</v>
      </c>
      <c r="B17" s="1">
        <v>-2054764.56</v>
      </c>
      <c r="C17" s="1">
        <v>-7942214.9100000001</v>
      </c>
      <c r="D17" s="1">
        <v>23977025.010000002</v>
      </c>
      <c r="E17" s="1">
        <v>-4337131.0999999996</v>
      </c>
      <c r="F17" s="1">
        <v>1328767.48</v>
      </c>
      <c r="G17" s="1">
        <v>6637059.9699999997</v>
      </c>
      <c r="H17" s="1">
        <v>31096788.309999999</v>
      </c>
      <c r="I17" s="1">
        <v>-196940879.86000001</v>
      </c>
      <c r="J17" s="1">
        <v>14252095.300000001</v>
      </c>
      <c r="K17" s="1">
        <v>-370141.66</v>
      </c>
    </row>
    <row r="18" spans="1:13" s="112" customFormat="1" x14ac:dyDescent="0.3">
      <c r="A18" s="30" t="s">
        <v>362</v>
      </c>
      <c r="B18" s="1"/>
      <c r="C18" s="1"/>
      <c r="D18" s="1"/>
      <c r="E18" s="1"/>
      <c r="F18" s="1"/>
      <c r="G18" s="1"/>
      <c r="H18" s="1">
        <v>140083383.43000001</v>
      </c>
      <c r="I18" s="1">
        <v>168604064.99000001</v>
      </c>
      <c r="J18" s="1">
        <v>-28336814.800000001</v>
      </c>
      <c r="K18" s="1">
        <v>-14084719.57</v>
      </c>
    </row>
    <row r="19" spans="1:13" s="112" customFormat="1" x14ac:dyDescent="0.3">
      <c r="A19" s="30" t="s">
        <v>363</v>
      </c>
      <c r="B19" s="1"/>
      <c r="C19" s="1"/>
      <c r="D19" s="1"/>
      <c r="E19" s="1"/>
      <c r="F19" s="1"/>
      <c r="G19" s="1"/>
      <c r="H19" s="1">
        <v>0</v>
      </c>
      <c r="I19" s="1">
        <v>0</v>
      </c>
      <c r="J19" s="1">
        <v>0</v>
      </c>
      <c r="K19" s="1">
        <v>0</v>
      </c>
    </row>
    <row r="20" spans="1:13" x14ac:dyDescent="0.3">
      <c r="A20" s="30" t="s">
        <v>222</v>
      </c>
      <c r="B20" s="1">
        <v>67664224.890000001</v>
      </c>
      <c r="C20" s="1">
        <v>81302065.629999995</v>
      </c>
      <c r="D20" s="1">
        <v>48713300</v>
      </c>
      <c r="E20" s="1">
        <v>61063145</v>
      </c>
      <c r="F20" s="1">
        <v>61063145</v>
      </c>
      <c r="G20" s="1">
        <v>66903988.82</v>
      </c>
      <c r="H20" s="1">
        <v>59505468.640000001</v>
      </c>
      <c r="I20" s="1">
        <v>66124927.020000003</v>
      </c>
      <c r="J20" s="1">
        <v>63286970.240000002</v>
      </c>
      <c r="K20" s="1">
        <v>62322778.329999998</v>
      </c>
    </row>
    <row r="21" spans="1:13" x14ac:dyDescent="0.3">
      <c r="A21" s="30" t="s">
        <v>209</v>
      </c>
      <c r="B21" s="1">
        <f>41017000+9186951.55+297226.48</f>
        <v>50501178.029999994</v>
      </c>
      <c r="C21" s="1">
        <f>41017000+8524288.15+297226.48</f>
        <v>49838514.629999995</v>
      </c>
      <c r="D21" s="1">
        <v>51710507.850000001</v>
      </c>
      <c r="E21" s="1">
        <v>51138586.939999998</v>
      </c>
      <c r="F21" s="1">
        <v>49939350.420000002</v>
      </c>
      <c r="G21" s="1">
        <v>48612500.460000001</v>
      </c>
      <c r="H21" s="1">
        <v>48332153.270000003</v>
      </c>
      <c r="I21" s="1">
        <v>47089668.530000001</v>
      </c>
      <c r="J21" s="1">
        <v>46768434.039999999</v>
      </c>
      <c r="K21" s="1">
        <v>46443962.18</v>
      </c>
    </row>
    <row r="22" spans="1:13" x14ac:dyDescent="0.3">
      <c r="A22" s="30" t="s">
        <v>223</v>
      </c>
      <c r="B22" s="1">
        <v>57367958.390000001</v>
      </c>
      <c r="C22" s="1">
        <v>68970974.700000003</v>
      </c>
      <c r="D22" s="1">
        <v>53380785.840000004</v>
      </c>
      <c r="E22" s="1">
        <v>93584029.829999998</v>
      </c>
      <c r="F22" s="1">
        <v>68851900.400000006</v>
      </c>
      <c r="G22" s="1">
        <v>56168556.240000002</v>
      </c>
      <c r="H22" s="1">
        <v>58022498.859999999</v>
      </c>
      <c r="I22" s="1">
        <v>52106106.270000003</v>
      </c>
      <c r="J22" s="1">
        <v>58919970.630000003</v>
      </c>
      <c r="K22" s="1">
        <v>69384401.5</v>
      </c>
    </row>
    <row r="23" spans="1:13" x14ac:dyDescent="0.3">
      <c r="A23" s="30" t="s">
        <v>224</v>
      </c>
      <c r="B23" s="1">
        <f>982706.56+14208561.36</f>
        <v>15191267.92</v>
      </c>
      <c r="C23" s="1">
        <f>1254613.46+13650969.62</f>
        <v>14905583.079999998</v>
      </c>
      <c r="D23" s="1">
        <v>13631912.710000001</v>
      </c>
      <c r="E23" s="1">
        <v>18790447.289999999</v>
      </c>
      <c r="F23" s="1">
        <v>17231104.710000001</v>
      </c>
      <c r="G23" s="1">
        <v>13022370.890000001</v>
      </c>
      <c r="H23" s="1">
        <v>17423059.170000002</v>
      </c>
      <c r="I23" s="1">
        <v>26618963.57</v>
      </c>
      <c r="J23" s="1">
        <v>22770360.609999999</v>
      </c>
      <c r="K23" s="1">
        <v>22290913.289999999</v>
      </c>
    </row>
    <row r="24" spans="1:13" x14ac:dyDescent="0.3">
      <c r="A24" s="30" t="s">
        <v>225</v>
      </c>
      <c r="B24" s="1">
        <f>380373.67+624835.05+22869967.65</f>
        <v>23875176.369999997</v>
      </c>
      <c r="C24" s="1">
        <f>2326878.38+642203.68+22289351.51</f>
        <v>25258433.57</v>
      </c>
      <c r="D24" s="1">
        <v>28023531.07</v>
      </c>
      <c r="E24" s="1">
        <v>25430439.77</v>
      </c>
      <c r="F24" s="1">
        <v>23231668.260000002</v>
      </c>
      <c r="G24" s="1">
        <v>22941756.07</v>
      </c>
      <c r="H24" s="1">
        <v>24194973.780000001</v>
      </c>
      <c r="I24" s="1">
        <v>23466550.579999998</v>
      </c>
      <c r="J24" s="1">
        <v>23397533.09</v>
      </c>
      <c r="K24" s="1">
        <v>24111890.98</v>
      </c>
      <c r="L24" s="1"/>
      <c r="M24" s="1"/>
    </row>
    <row r="25" spans="1:13" x14ac:dyDescent="0.3">
      <c r="A25" s="30" t="s">
        <v>226</v>
      </c>
      <c r="B25" s="1">
        <v>329742872.25999999</v>
      </c>
      <c r="C25" s="1">
        <v>331376297.19</v>
      </c>
      <c r="D25" s="1">
        <v>332039124.81999999</v>
      </c>
      <c r="E25" s="1">
        <v>333648860.54000002</v>
      </c>
      <c r="F25" s="1">
        <v>304465970.14999998</v>
      </c>
      <c r="G25" s="1">
        <v>304932881.35000002</v>
      </c>
      <c r="H25" s="1">
        <v>320631884.14999998</v>
      </c>
      <c r="I25" s="1">
        <v>319082390.5</v>
      </c>
      <c r="J25" s="1">
        <v>328874387.04000002</v>
      </c>
      <c r="K25" s="1">
        <v>366556510.69</v>
      </c>
    </row>
    <row r="26" spans="1:13" x14ac:dyDescent="0.3">
      <c r="A26" s="66" t="s">
        <v>227</v>
      </c>
      <c r="B26" s="3">
        <f t="shared" ref="B26:G26" si="3">SUM(B14:B25)-B16</f>
        <v>1500407065.6500001</v>
      </c>
      <c r="C26" s="3">
        <f t="shared" si="3"/>
        <v>1525316122.48</v>
      </c>
      <c r="D26" s="3">
        <f t="shared" si="3"/>
        <v>1510114823.5799997</v>
      </c>
      <c r="E26" s="3">
        <f t="shared" si="3"/>
        <v>1866810318.7199998</v>
      </c>
      <c r="F26" s="3">
        <f t="shared" si="3"/>
        <v>1819432842.74</v>
      </c>
      <c r="G26" s="3">
        <f t="shared" si="3"/>
        <v>1816274506.3400002</v>
      </c>
      <c r="H26" s="3">
        <f t="shared" ref="H26:K26" si="4">SUM(H14:H25)-H16</f>
        <v>1865521443.7899997</v>
      </c>
      <c r="I26" s="3">
        <f t="shared" ref="I26" si="5">SUM(I14:I25)-I16</f>
        <v>1680169980.8399997</v>
      </c>
      <c r="J26" s="3">
        <f t="shared" ref="J26" si="6">SUM(J14:J25)-J16</f>
        <v>1708495196.5899997</v>
      </c>
      <c r="K26" s="3">
        <f t="shared" si="4"/>
        <v>1762709802.5599999</v>
      </c>
    </row>
    <row r="27" spans="1:13" x14ac:dyDescent="0.3">
      <c r="A27" s="10" t="s">
        <v>267</v>
      </c>
      <c r="B27" s="11">
        <f t="shared" ref="B27:K27" si="7">B14+B15+B17+B18+B19</f>
        <v>956064387.79000008</v>
      </c>
      <c r="C27" s="11">
        <f t="shared" si="7"/>
        <v>953664253.68000007</v>
      </c>
      <c r="D27" s="11">
        <f t="shared" si="7"/>
        <v>982615661.28999996</v>
      </c>
      <c r="E27" s="11">
        <f t="shared" si="7"/>
        <v>1283154809.3499999</v>
      </c>
      <c r="F27" s="11">
        <f t="shared" si="7"/>
        <v>1294649703.8</v>
      </c>
      <c r="G27" s="11">
        <f t="shared" si="7"/>
        <v>1303692452.51</v>
      </c>
      <c r="H27" s="11">
        <f t="shared" ref="H27:J27" si="8">H14+H15+H17+H18+H19</f>
        <v>1337411405.9199998</v>
      </c>
      <c r="I27" s="11">
        <f t="shared" si="8"/>
        <v>1145681374.3699999</v>
      </c>
      <c r="J27" s="11">
        <f t="shared" si="8"/>
        <v>1164477540.9399998</v>
      </c>
      <c r="K27" s="11">
        <f t="shared" si="7"/>
        <v>1171599345.5899999</v>
      </c>
    </row>
    <row r="28" spans="1:13" x14ac:dyDescent="0.3">
      <c r="F28" s="114">
        <f t="shared" ref="F28:K28" si="9">F27/F26*100</f>
        <v>71.156773329995758</v>
      </c>
      <c r="G28" s="114">
        <f t="shared" si="9"/>
        <v>71.778381954888999</v>
      </c>
      <c r="H28" s="114">
        <f t="shared" si="9"/>
        <v>71.691022924020118</v>
      </c>
      <c r="I28" s="114">
        <f t="shared" si="9"/>
        <v>68.188420661891442</v>
      </c>
      <c r="J28" s="114">
        <f t="shared" si="9"/>
        <v>68.158081056604118</v>
      </c>
      <c r="K28" s="114">
        <f t="shared" si="9"/>
        <v>66.465809850746567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8"/>
  <sheetViews>
    <sheetView tabSelected="1" topLeftCell="B75" workbookViewId="0">
      <selection activeCell="K89" sqref="K89:K93"/>
    </sheetView>
  </sheetViews>
  <sheetFormatPr defaultRowHeight="14.4" x14ac:dyDescent="0.3"/>
  <cols>
    <col min="2" max="2" width="83.33203125" bestFit="1" customWidth="1"/>
    <col min="3" max="3" width="11.88671875" customWidth="1"/>
    <col min="6" max="7" width="9.109375" style="112"/>
    <col min="8" max="10" width="8.88671875" style="112"/>
    <col min="11" max="11" width="9.109375" style="112"/>
  </cols>
  <sheetData>
    <row r="1" spans="1:11" x14ac:dyDescent="0.3">
      <c r="A1" s="159" t="s">
        <v>210</v>
      </c>
      <c r="B1" s="159"/>
      <c r="C1" s="2" t="s">
        <v>211</v>
      </c>
      <c r="D1" s="2">
        <v>2016</v>
      </c>
      <c r="E1" s="98">
        <v>2017</v>
      </c>
      <c r="F1" s="98">
        <v>2018</v>
      </c>
      <c r="G1" s="98">
        <v>2019</v>
      </c>
      <c r="H1" s="98">
        <v>2020</v>
      </c>
      <c r="I1" s="98">
        <v>2021</v>
      </c>
      <c r="J1" s="98">
        <v>2022</v>
      </c>
      <c r="K1" s="98">
        <v>2023</v>
      </c>
    </row>
    <row r="2" spans="1:11" x14ac:dyDescent="0.3">
      <c r="A2" t="s">
        <v>77</v>
      </c>
    </row>
    <row r="3" spans="1:11" x14ac:dyDescent="0.3">
      <c r="A3" s="8" t="s">
        <v>78</v>
      </c>
      <c r="B3" s="8" t="s">
        <v>79</v>
      </c>
      <c r="C3" s="9">
        <v>48</v>
      </c>
      <c r="D3" s="7">
        <v>24.54</v>
      </c>
      <c r="E3" s="7">
        <v>19.64</v>
      </c>
      <c r="F3" s="113">
        <v>21.22</v>
      </c>
      <c r="G3" s="113">
        <v>20.59</v>
      </c>
      <c r="H3" s="113">
        <v>18.239999999999998</v>
      </c>
      <c r="I3" s="113">
        <v>18.440000000000001</v>
      </c>
      <c r="J3" s="113">
        <v>18.04</v>
      </c>
      <c r="K3" s="113">
        <v>19.350000000000001</v>
      </c>
    </row>
    <row r="4" spans="1:11" x14ac:dyDescent="0.3">
      <c r="A4" t="s">
        <v>80</v>
      </c>
      <c r="D4" s="7"/>
      <c r="E4" s="7"/>
      <c r="F4" s="113"/>
      <c r="G4" s="113"/>
      <c r="H4" s="113"/>
      <c r="I4" s="113"/>
      <c r="J4" s="113"/>
      <c r="K4" s="113"/>
    </row>
    <row r="5" spans="1:11" x14ac:dyDescent="0.3">
      <c r="A5" t="s">
        <v>81</v>
      </c>
      <c r="B5" t="s">
        <v>82</v>
      </c>
      <c r="D5" s="7">
        <v>96.73</v>
      </c>
      <c r="E5" s="7">
        <v>105.78</v>
      </c>
      <c r="F5" s="113">
        <v>98.72</v>
      </c>
      <c r="G5" s="113">
        <v>99.38</v>
      </c>
      <c r="H5" s="113">
        <v>101.11</v>
      </c>
      <c r="I5" s="113">
        <v>99.31</v>
      </c>
      <c r="J5" s="113">
        <v>96.57</v>
      </c>
      <c r="K5" s="113">
        <v>99.98</v>
      </c>
    </row>
    <row r="6" spans="1:11" x14ac:dyDescent="0.3">
      <c r="A6" t="s">
        <v>83</v>
      </c>
      <c r="B6" t="s">
        <v>84</v>
      </c>
      <c r="D6" s="7">
        <v>97.2</v>
      </c>
      <c r="E6" s="7">
        <v>101.13</v>
      </c>
      <c r="F6" s="113">
        <v>98.04</v>
      </c>
      <c r="G6" s="113">
        <v>100.92</v>
      </c>
      <c r="H6" s="113">
        <v>103.61</v>
      </c>
      <c r="I6" s="113">
        <v>100.13</v>
      </c>
      <c r="J6" s="113">
        <v>96.84</v>
      </c>
      <c r="K6" s="113">
        <v>97.17</v>
      </c>
    </row>
    <row r="7" spans="1:11" x14ac:dyDescent="0.3">
      <c r="A7" t="s">
        <v>85</v>
      </c>
      <c r="B7" t="s">
        <v>86</v>
      </c>
      <c r="D7" s="7">
        <v>63.55</v>
      </c>
      <c r="E7" s="7">
        <v>74.489999999999995</v>
      </c>
      <c r="F7" s="113">
        <v>66.81</v>
      </c>
      <c r="G7" s="113">
        <v>65.260000000000005</v>
      </c>
      <c r="H7" s="113">
        <v>58.17</v>
      </c>
      <c r="I7" s="113">
        <v>63.09</v>
      </c>
      <c r="J7" s="113">
        <v>59.12</v>
      </c>
      <c r="K7" s="113">
        <v>59.32</v>
      </c>
    </row>
    <row r="8" spans="1:11" x14ac:dyDescent="0.3">
      <c r="A8" t="s">
        <v>87</v>
      </c>
      <c r="B8" t="s">
        <v>88</v>
      </c>
      <c r="D8" s="7">
        <v>63.86</v>
      </c>
      <c r="E8" s="7">
        <v>71.209999999999994</v>
      </c>
      <c r="F8" s="113">
        <v>66.349999999999994</v>
      </c>
      <c r="G8" s="113">
        <v>66.27</v>
      </c>
      <c r="H8" s="113">
        <v>59.61</v>
      </c>
      <c r="I8" s="113">
        <v>63.61</v>
      </c>
      <c r="J8" s="113">
        <v>59.29</v>
      </c>
      <c r="K8" s="113">
        <v>57.65</v>
      </c>
    </row>
    <row r="9" spans="1:11" x14ac:dyDescent="0.3">
      <c r="A9" t="s">
        <v>89</v>
      </c>
      <c r="B9" t="s">
        <v>90</v>
      </c>
      <c r="D9" s="7">
        <v>93.84</v>
      </c>
      <c r="E9" s="7">
        <v>96.11</v>
      </c>
      <c r="F9" s="113">
        <v>83.6</v>
      </c>
      <c r="G9" s="113">
        <v>97.08</v>
      </c>
      <c r="H9" s="113">
        <v>98.88</v>
      </c>
      <c r="I9" s="113">
        <v>89.54</v>
      </c>
      <c r="J9" s="113">
        <v>93.9</v>
      </c>
      <c r="K9" s="113">
        <v>95.16</v>
      </c>
    </row>
    <row r="10" spans="1:11" x14ac:dyDescent="0.3">
      <c r="A10" t="s">
        <v>91</v>
      </c>
      <c r="B10" t="s">
        <v>92</v>
      </c>
      <c r="D10" s="7">
        <v>94.51</v>
      </c>
      <c r="E10" s="7">
        <v>99.45</v>
      </c>
      <c r="F10" s="113">
        <v>83.11</v>
      </c>
      <c r="G10" s="113">
        <v>96.77</v>
      </c>
      <c r="H10" s="113">
        <v>94.06</v>
      </c>
      <c r="I10" s="113">
        <v>87.42</v>
      </c>
      <c r="J10" s="113">
        <v>86.63</v>
      </c>
      <c r="K10" s="113">
        <v>86.25</v>
      </c>
    </row>
    <row r="11" spans="1:11" x14ac:dyDescent="0.3">
      <c r="A11" t="s">
        <v>93</v>
      </c>
      <c r="B11" t="s">
        <v>94</v>
      </c>
      <c r="D11" s="7">
        <v>54.81</v>
      </c>
      <c r="E11" s="7">
        <v>61.48</v>
      </c>
      <c r="F11" s="113">
        <v>51.43</v>
      </c>
      <c r="G11" s="113">
        <v>60.07</v>
      </c>
      <c r="H11" s="113">
        <v>52.62</v>
      </c>
      <c r="I11" s="113">
        <v>51.68</v>
      </c>
      <c r="J11" s="113">
        <v>55.74</v>
      </c>
      <c r="K11" s="113">
        <v>54.76</v>
      </c>
    </row>
    <row r="12" spans="1:11" x14ac:dyDescent="0.3">
      <c r="A12" s="8" t="s">
        <v>95</v>
      </c>
      <c r="B12" s="8" t="s">
        <v>96</v>
      </c>
      <c r="C12" s="9">
        <v>22</v>
      </c>
      <c r="D12" s="7">
        <v>55.2</v>
      </c>
      <c r="E12" s="7">
        <v>63.62</v>
      </c>
      <c r="F12" s="113">
        <v>51.13</v>
      </c>
      <c r="G12" s="113">
        <v>59.88</v>
      </c>
      <c r="H12" s="113">
        <v>50.05</v>
      </c>
      <c r="I12" s="113">
        <v>50.46</v>
      </c>
      <c r="J12" s="113">
        <v>51.43</v>
      </c>
      <c r="K12" s="113">
        <v>49.63</v>
      </c>
    </row>
    <row r="13" spans="1:11" x14ac:dyDescent="0.3">
      <c r="A13" t="s">
        <v>97</v>
      </c>
      <c r="D13" s="7"/>
      <c r="E13" s="7"/>
      <c r="F13" s="113"/>
      <c r="G13" s="113"/>
      <c r="H13" s="113"/>
      <c r="I13" s="113"/>
      <c r="J13" s="113"/>
      <c r="K13" s="113"/>
    </row>
    <row r="14" spans="1:11" x14ac:dyDescent="0.3">
      <c r="A14" t="s">
        <v>98</v>
      </c>
      <c r="B14" t="s">
        <v>99</v>
      </c>
      <c r="D14" s="7">
        <v>0</v>
      </c>
      <c r="E14" s="7">
        <v>0</v>
      </c>
      <c r="F14" s="113">
        <v>0</v>
      </c>
      <c r="G14" s="113">
        <v>0</v>
      </c>
      <c r="H14" s="113">
        <v>0</v>
      </c>
      <c r="I14" s="113">
        <v>0</v>
      </c>
      <c r="J14" s="113">
        <v>0</v>
      </c>
      <c r="K14" s="113">
        <v>0</v>
      </c>
    </row>
    <row r="15" spans="1:11" x14ac:dyDescent="0.3">
      <c r="A15" s="8" t="s">
        <v>100</v>
      </c>
      <c r="B15" s="8" t="s">
        <v>101</v>
      </c>
      <c r="C15" s="9">
        <v>0</v>
      </c>
      <c r="D15" s="7">
        <v>0</v>
      </c>
      <c r="E15" s="7">
        <v>0</v>
      </c>
      <c r="F15" s="113">
        <v>0</v>
      </c>
      <c r="G15" s="113">
        <v>0</v>
      </c>
      <c r="H15" s="113">
        <v>0</v>
      </c>
      <c r="I15" s="113">
        <v>0</v>
      </c>
      <c r="J15" s="113">
        <v>0</v>
      </c>
      <c r="K15" s="113">
        <v>0</v>
      </c>
    </row>
    <row r="16" spans="1:11" x14ac:dyDescent="0.3">
      <c r="A16" t="s">
        <v>102</v>
      </c>
      <c r="D16" s="7"/>
      <c r="E16" s="7"/>
      <c r="F16" s="113"/>
      <c r="G16" s="113"/>
      <c r="H16" s="113"/>
      <c r="I16" s="113"/>
      <c r="J16" s="113"/>
      <c r="K16" s="113"/>
    </row>
    <row r="17" spans="1:11" x14ac:dyDescent="0.3">
      <c r="A17" t="s">
        <v>103</v>
      </c>
      <c r="B17" t="s">
        <v>104</v>
      </c>
      <c r="D17" s="7">
        <v>26.49</v>
      </c>
      <c r="E17" s="7">
        <v>25.96</v>
      </c>
      <c r="F17" s="113">
        <v>24.4</v>
      </c>
      <c r="G17" s="113">
        <v>29.59</v>
      </c>
      <c r="H17" s="113">
        <v>27.63</v>
      </c>
      <c r="I17" s="113">
        <v>25.46</v>
      </c>
      <c r="J17" s="113">
        <v>25.83</v>
      </c>
      <c r="K17" s="113">
        <v>26.07</v>
      </c>
    </row>
    <row r="18" spans="1:11" x14ac:dyDescent="0.3">
      <c r="A18" t="s">
        <v>105</v>
      </c>
      <c r="B18" t="s">
        <v>106</v>
      </c>
      <c r="D18" s="7">
        <v>15.38</v>
      </c>
      <c r="E18" s="7">
        <v>14</v>
      </c>
      <c r="F18" s="113">
        <v>15.29</v>
      </c>
      <c r="G18" s="113">
        <v>17.32</v>
      </c>
      <c r="H18" s="113">
        <v>18.18</v>
      </c>
      <c r="I18" s="113">
        <v>19.29</v>
      </c>
      <c r="J18" s="113">
        <v>16.34</v>
      </c>
      <c r="K18" s="113">
        <v>19.71</v>
      </c>
    </row>
    <row r="19" spans="1:11" x14ac:dyDescent="0.3">
      <c r="A19" t="s">
        <v>107</v>
      </c>
      <c r="B19" t="s">
        <v>108</v>
      </c>
      <c r="D19" s="7">
        <v>1.21</v>
      </c>
      <c r="E19" s="7">
        <v>1.67</v>
      </c>
      <c r="F19" s="113">
        <v>1.33</v>
      </c>
      <c r="G19" s="113">
        <v>1.53</v>
      </c>
      <c r="H19" s="113">
        <v>1.85</v>
      </c>
      <c r="I19" s="113">
        <v>3.03</v>
      </c>
      <c r="J19" s="113">
        <v>3.12</v>
      </c>
      <c r="K19" s="113">
        <v>3.11</v>
      </c>
    </row>
    <row r="20" spans="1:11" x14ac:dyDescent="0.3">
      <c r="A20" t="s">
        <v>109</v>
      </c>
      <c r="B20" t="s">
        <v>110</v>
      </c>
      <c r="D20" s="7">
        <v>341.47</v>
      </c>
      <c r="E20" s="7">
        <v>301.67</v>
      </c>
      <c r="F20" s="113">
        <v>337.52</v>
      </c>
      <c r="G20" s="113">
        <v>322.05942348074439</v>
      </c>
      <c r="H20" s="113">
        <v>319.94</v>
      </c>
      <c r="I20" s="113">
        <v>308.42</v>
      </c>
      <c r="J20" s="113">
        <v>325.39999999999998</v>
      </c>
      <c r="K20" s="113">
        <v>367.48</v>
      </c>
    </row>
    <row r="21" spans="1:11" x14ac:dyDescent="0.3">
      <c r="A21" t="s">
        <v>111</v>
      </c>
      <c r="D21" s="7"/>
      <c r="E21" s="7"/>
      <c r="F21" s="113"/>
      <c r="G21" s="113"/>
      <c r="H21" s="113"/>
      <c r="I21" s="113"/>
      <c r="J21" s="113"/>
      <c r="K21" s="113"/>
    </row>
    <row r="22" spans="1:11" x14ac:dyDescent="0.3">
      <c r="A22" t="s">
        <v>112</v>
      </c>
      <c r="B22" t="s">
        <v>113</v>
      </c>
      <c r="D22" s="7">
        <v>32.24</v>
      </c>
      <c r="E22" s="7">
        <v>35.4</v>
      </c>
      <c r="F22" s="113">
        <v>35.67</v>
      </c>
      <c r="G22" s="113">
        <v>36.4</v>
      </c>
      <c r="H22" s="113">
        <v>32.81</v>
      </c>
      <c r="I22" s="113">
        <v>33.57</v>
      </c>
      <c r="J22" s="113">
        <v>34.35</v>
      </c>
      <c r="K22" s="113">
        <v>33.06</v>
      </c>
    </row>
    <row r="23" spans="1:11" x14ac:dyDescent="0.3">
      <c r="A23" t="s">
        <v>114</v>
      </c>
      <c r="D23" s="7"/>
      <c r="E23" s="7"/>
      <c r="F23" s="113"/>
      <c r="G23" s="113"/>
      <c r="H23" s="113"/>
      <c r="I23" s="113"/>
      <c r="J23" s="113"/>
      <c r="K23" s="113"/>
    </row>
    <row r="24" spans="1:11" x14ac:dyDescent="0.3">
      <c r="A24" t="s">
        <v>115</v>
      </c>
      <c r="B24" t="s">
        <v>116</v>
      </c>
      <c r="D24" s="7">
        <v>0.68</v>
      </c>
      <c r="E24" s="7">
        <v>0.56999999999999995</v>
      </c>
      <c r="F24" s="113">
        <v>0.52</v>
      </c>
      <c r="G24" s="113">
        <v>0.45</v>
      </c>
      <c r="H24" s="113">
        <v>0.38</v>
      </c>
      <c r="I24" s="113">
        <v>0.35</v>
      </c>
      <c r="J24" s="113">
        <v>0.31</v>
      </c>
      <c r="K24" s="113">
        <v>0.68</v>
      </c>
    </row>
    <row r="25" spans="1:11" x14ac:dyDescent="0.3">
      <c r="A25" t="s">
        <v>117</v>
      </c>
      <c r="B25" t="s">
        <v>118</v>
      </c>
      <c r="D25" s="7">
        <v>0</v>
      </c>
      <c r="E25" s="7">
        <v>0</v>
      </c>
      <c r="F25" s="113">
        <v>0</v>
      </c>
      <c r="G25" s="113">
        <v>0</v>
      </c>
      <c r="H25" s="113">
        <v>0</v>
      </c>
      <c r="I25" s="113">
        <v>0</v>
      </c>
      <c r="J25" s="113">
        <v>0</v>
      </c>
      <c r="K25" s="113">
        <v>0</v>
      </c>
    </row>
    <row r="26" spans="1:11" x14ac:dyDescent="0.3">
      <c r="A26" t="s">
        <v>119</v>
      </c>
      <c r="B26" t="s">
        <v>120</v>
      </c>
      <c r="D26" s="7">
        <v>0.71</v>
      </c>
      <c r="E26" s="7">
        <v>2.79</v>
      </c>
      <c r="F26" s="113">
        <v>0.16</v>
      </c>
      <c r="G26" s="113">
        <v>0.09</v>
      </c>
      <c r="H26" s="113">
        <v>0.77</v>
      </c>
      <c r="I26" s="113">
        <v>0.2</v>
      </c>
      <c r="J26" s="113">
        <v>0.22</v>
      </c>
      <c r="K26" s="113">
        <v>0.49</v>
      </c>
    </row>
    <row r="27" spans="1:11" x14ac:dyDescent="0.3">
      <c r="A27" t="s">
        <v>121</v>
      </c>
      <c r="D27" s="7"/>
      <c r="E27" s="7"/>
      <c r="F27" s="113"/>
      <c r="G27" s="113"/>
      <c r="H27" s="113"/>
      <c r="I27" s="113"/>
      <c r="J27" s="113"/>
      <c r="K27" s="113"/>
    </row>
    <row r="28" spans="1:11" x14ac:dyDescent="0.3">
      <c r="A28" t="s">
        <v>122</v>
      </c>
      <c r="B28" t="s">
        <v>123</v>
      </c>
      <c r="D28" s="7">
        <v>14.31</v>
      </c>
      <c r="E28" s="7">
        <v>13.06</v>
      </c>
      <c r="F28" s="113">
        <v>12.19</v>
      </c>
      <c r="G28" s="113">
        <v>9.8699999999999992</v>
      </c>
      <c r="H28" s="113">
        <v>10.31</v>
      </c>
      <c r="I28" s="113">
        <v>11.25</v>
      </c>
      <c r="J28" s="113">
        <v>12.12</v>
      </c>
      <c r="K28" s="113">
        <v>24.13</v>
      </c>
    </row>
    <row r="29" spans="1:11" x14ac:dyDescent="0.3">
      <c r="A29" t="s">
        <v>124</v>
      </c>
      <c r="B29" t="s">
        <v>125</v>
      </c>
      <c r="D29" s="7">
        <v>212.98</v>
      </c>
      <c r="E29" s="7">
        <v>202.46</v>
      </c>
      <c r="F29" s="113">
        <v>188.89</v>
      </c>
      <c r="G29" s="113">
        <v>132.24778047152017</v>
      </c>
      <c r="H29" s="113">
        <v>155.30000000000001</v>
      </c>
      <c r="I29" s="113">
        <v>178.35</v>
      </c>
      <c r="J29" s="113">
        <v>207.71</v>
      </c>
      <c r="K29" s="113">
        <v>450.28</v>
      </c>
    </row>
    <row r="30" spans="1:11" x14ac:dyDescent="0.3">
      <c r="A30" t="s">
        <v>126</v>
      </c>
      <c r="B30" t="s">
        <v>127</v>
      </c>
      <c r="D30" s="7">
        <v>4.41</v>
      </c>
      <c r="E30" s="7">
        <v>1.1100000000000001</v>
      </c>
      <c r="F30" s="113">
        <v>2.84</v>
      </c>
      <c r="G30" s="113">
        <v>8.257070663200814</v>
      </c>
      <c r="H30" s="113">
        <v>1.17</v>
      </c>
      <c r="I30" s="113">
        <v>4.24</v>
      </c>
      <c r="J30" s="113">
        <v>1.66</v>
      </c>
      <c r="K30" s="113">
        <v>81.17</v>
      </c>
    </row>
    <row r="31" spans="1:11" x14ac:dyDescent="0.3">
      <c r="A31" t="s">
        <v>128</v>
      </c>
      <c r="B31" t="s">
        <v>129</v>
      </c>
      <c r="D31" s="7">
        <v>217.39</v>
      </c>
      <c r="E31" s="7">
        <v>203.57</v>
      </c>
      <c r="F31" s="113">
        <v>191.73</v>
      </c>
      <c r="G31" s="113">
        <v>140.50485113472098</v>
      </c>
      <c r="H31" s="113">
        <v>156.47999999999999</v>
      </c>
      <c r="I31" s="113">
        <v>182.59</v>
      </c>
      <c r="J31" s="113">
        <v>209.37</v>
      </c>
      <c r="K31" s="113">
        <v>531.46</v>
      </c>
    </row>
    <row r="32" spans="1:11" x14ac:dyDescent="0.3">
      <c r="A32" t="s">
        <v>130</v>
      </c>
      <c r="B32" t="s">
        <v>131</v>
      </c>
      <c r="D32" s="7">
        <v>30.93</v>
      </c>
      <c r="E32" s="7">
        <v>40.5</v>
      </c>
      <c r="F32" s="113">
        <v>35.53</v>
      </c>
      <c r="G32" s="113">
        <v>57.59</v>
      </c>
      <c r="H32" s="113">
        <v>58.95</v>
      </c>
      <c r="I32" s="113">
        <v>36.21</v>
      </c>
      <c r="J32" s="113">
        <v>32.71</v>
      </c>
      <c r="K32" s="113">
        <v>24.92</v>
      </c>
    </row>
    <row r="33" spans="1:11" x14ac:dyDescent="0.3">
      <c r="A33" t="s">
        <v>132</v>
      </c>
      <c r="B33" t="s">
        <v>133</v>
      </c>
      <c r="D33" s="7">
        <v>0</v>
      </c>
      <c r="E33" s="7">
        <v>0</v>
      </c>
      <c r="F33" s="113">
        <v>-1.1399999999999999</v>
      </c>
      <c r="G33" s="113">
        <v>-1.0900000000000001</v>
      </c>
      <c r="H33" s="113">
        <v>0</v>
      </c>
      <c r="I33" s="113">
        <v>-0.85</v>
      </c>
      <c r="J33" s="113">
        <v>-0.13</v>
      </c>
      <c r="K33" s="113">
        <v>0</v>
      </c>
    </row>
    <row r="34" spans="1:11" x14ac:dyDescent="0.3">
      <c r="A34" t="s">
        <v>134</v>
      </c>
      <c r="B34" t="s">
        <v>135</v>
      </c>
      <c r="D34" s="7">
        <v>0</v>
      </c>
      <c r="E34" s="7">
        <v>1.93</v>
      </c>
      <c r="F34" s="113">
        <v>0</v>
      </c>
      <c r="G34" s="113">
        <v>0</v>
      </c>
      <c r="H34" s="113">
        <v>0</v>
      </c>
      <c r="I34" s="113">
        <v>0</v>
      </c>
      <c r="J34" s="113">
        <v>0</v>
      </c>
      <c r="K34" s="113">
        <v>0</v>
      </c>
    </row>
    <row r="35" spans="1:11" x14ac:dyDescent="0.3">
      <c r="A35" t="s">
        <v>136</v>
      </c>
      <c r="D35" s="7"/>
      <c r="E35" s="7"/>
      <c r="F35" s="113"/>
      <c r="G35" s="113"/>
      <c r="H35" s="113"/>
      <c r="I35" s="113"/>
      <c r="J35" s="113"/>
      <c r="K35" s="113"/>
    </row>
    <row r="36" spans="1:11" x14ac:dyDescent="0.3">
      <c r="A36" t="s">
        <v>137</v>
      </c>
      <c r="B36" t="s">
        <v>138</v>
      </c>
      <c r="D36" s="7">
        <v>50.92</v>
      </c>
      <c r="E36" s="7">
        <v>56.91</v>
      </c>
      <c r="F36" s="113">
        <v>65.150000000000006</v>
      </c>
      <c r="G36" s="113">
        <v>64.52</v>
      </c>
      <c r="H36" s="113">
        <v>70.2</v>
      </c>
      <c r="I36" s="113">
        <v>74.73</v>
      </c>
      <c r="J36" s="113">
        <v>71.37</v>
      </c>
      <c r="K36" s="113">
        <v>65.760000000000005</v>
      </c>
    </row>
    <row r="37" spans="1:11" x14ac:dyDescent="0.3">
      <c r="A37" t="s">
        <v>139</v>
      </c>
      <c r="B37" t="s">
        <v>140</v>
      </c>
      <c r="D37" s="7">
        <v>43.7</v>
      </c>
      <c r="E37" s="7">
        <v>64.77</v>
      </c>
      <c r="F37" s="113">
        <v>68.040000000000006</v>
      </c>
      <c r="G37" s="113">
        <v>55.65</v>
      </c>
      <c r="H37" s="113">
        <v>62.86</v>
      </c>
      <c r="I37" s="113">
        <v>58.63</v>
      </c>
      <c r="J37" s="113">
        <v>63.75</v>
      </c>
      <c r="K37" s="113">
        <v>79.69</v>
      </c>
    </row>
    <row r="38" spans="1:11" x14ac:dyDescent="0.3">
      <c r="A38" t="s">
        <v>141</v>
      </c>
      <c r="B38" t="s">
        <v>142</v>
      </c>
      <c r="D38" s="7">
        <v>0</v>
      </c>
      <c r="E38" s="7">
        <v>0</v>
      </c>
      <c r="F38" s="113">
        <v>0</v>
      </c>
      <c r="G38" s="113">
        <v>0</v>
      </c>
      <c r="H38" s="113">
        <v>0</v>
      </c>
      <c r="I38" s="113">
        <v>0</v>
      </c>
      <c r="J38" s="113">
        <v>0</v>
      </c>
      <c r="K38" s="113">
        <v>0</v>
      </c>
    </row>
    <row r="39" spans="1:11" x14ac:dyDescent="0.3">
      <c r="A39" t="s">
        <v>143</v>
      </c>
      <c r="B39" t="s">
        <v>144</v>
      </c>
      <c r="D39" s="7">
        <v>37.01</v>
      </c>
      <c r="E39" s="7">
        <v>47.05</v>
      </c>
      <c r="F39" s="113">
        <v>37.770000000000003</v>
      </c>
      <c r="G39" s="113">
        <v>35.28</v>
      </c>
      <c r="H39" s="113">
        <v>30.74</v>
      </c>
      <c r="I39" s="113">
        <v>32.24</v>
      </c>
      <c r="J39" s="113">
        <v>32.409999999999997</v>
      </c>
      <c r="K39" s="113">
        <v>35.96</v>
      </c>
    </row>
    <row r="40" spans="1:11" x14ac:dyDescent="0.3">
      <c r="A40" t="s">
        <v>145</v>
      </c>
      <c r="B40" t="s">
        <v>146</v>
      </c>
      <c r="D40" s="7">
        <v>19.600000000000001</v>
      </c>
      <c r="E40" s="7">
        <v>10.85</v>
      </c>
      <c r="F40" s="113">
        <v>41.18</v>
      </c>
      <c r="G40" s="113">
        <v>8.66</v>
      </c>
      <c r="H40" s="113">
        <v>34.81</v>
      </c>
      <c r="I40" s="113">
        <v>11.96</v>
      </c>
      <c r="J40" s="113">
        <v>16.55</v>
      </c>
      <c r="K40" s="113">
        <v>47.69</v>
      </c>
    </row>
    <row r="41" spans="1:11" x14ac:dyDescent="0.3">
      <c r="A41" t="s">
        <v>147</v>
      </c>
      <c r="B41" t="s">
        <v>148</v>
      </c>
      <c r="D41" s="7">
        <v>0</v>
      </c>
      <c r="E41" s="7">
        <v>0</v>
      </c>
      <c r="F41" s="113">
        <v>0</v>
      </c>
      <c r="G41" s="113">
        <v>0</v>
      </c>
      <c r="H41" s="113">
        <v>0</v>
      </c>
      <c r="I41" s="113">
        <v>100</v>
      </c>
      <c r="J41" s="113">
        <v>0</v>
      </c>
      <c r="K41" s="113">
        <v>0</v>
      </c>
    </row>
    <row r="42" spans="1:11" x14ac:dyDescent="0.3">
      <c r="A42" t="s">
        <v>149</v>
      </c>
      <c r="D42" s="7"/>
      <c r="E42" s="7"/>
      <c r="F42" s="113"/>
      <c r="G42" s="113"/>
      <c r="H42" s="113"/>
      <c r="I42" s="113"/>
      <c r="J42" s="113"/>
      <c r="K42" s="113"/>
    </row>
    <row r="43" spans="1:11" x14ac:dyDescent="0.3">
      <c r="A43" t="s">
        <v>150</v>
      </c>
      <c r="B43" t="s">
        <v>151</v>
      </c>
      <c r="D43" s="7">
        <v>71.37</v>
      </c>
      <c r="E43" s="7">
        <v>59.22</v>
      </c>
      <c r="F43" s="113">
        <v>67.23</v>
      </c>
      <c r="G43" s="113">
        <v>71.25</v>
      </c>
      <c r="H43" s="113">
        <v>67.66</v>
      </c>
      <c r="I43" s="113">
        <v>72.849999999999994</v>
      </c>
      <c r="J43" s="113">
        <v>72.13</v>
      </c>
      <c r="K43" s="113">
        <v>74.61</v>
      </c>
    </row>
    <row r="44" spans="1:11" x14ac:dyDescent="0.3">
      <c r="A44" t="s">
        <v>152</v>
      </c>
      <c r="B44" t="s">
        <v>153</v>
      </c>
      <c r="D44" s="7">
        <v>49.79</v>
      </c>
      <c r="E44" s="7">
        <v>41.52</v>
      </c>
      <c r="F44" s="113">
        <v>45.54</v>
      </c>
      <c r="G44" s="113">
        <v>52.75</v>
      </c>
      <c r="H44" s="113">
        <v>53.57</v>
      </c>
      <c r="I44" s="113">
        <v>58.18</v>
      </c>
      <c r="J44" s="113">
        <v>54.65</v>
      </c>
      <c r="K44" s="113">
        <v>55.7</v>
      </c>
    </row>
    <row r="45" spans="1:11" x14ac:dyDescent="0.3">
      <c r="A45" t="s">
        <v>154</v>
      </c>
      <c r="B45" t="s">
        <v>155</v>
      </c>
      <c r="D45" s="7">
        <v>75.73</v>
      </c>
      <c r="E45" s="7">
        <v>56.21</v>
      </c>
      <c r="F45" s="113">
        <v>42.41</v>
      </c>
      <c r="G45" s="113">
        <v>52.91</v>
      </c>
      <c r="H45" s="113">
        <v>56.24</v>
      </c>
      <c r="I45" s="113">
        <v>57.13</v>
      </c>
      <c r="J45" s="113">
        <v>56.44</v>
      </c>
      <c r="K45" s="113">
        <v>31.34</v>
      </c>
    </row>
    <row r="46" spans="1:11" x14ac:dyDescent="0.3">
      <c r="A46" t="s">
        <v>156</v>
      </c>
      <c r="B46" t="s">
        <v>157</v>
      </c>
      <c r="D46" s="7">
        <v>60.76</v>
      </c>
      <c r="E46" s="7">
        <v>50.43</v>
      </c>
      <c r="F46" s="113">
        <v>48.11</v>
      </c>
      <c r="G46" s="113">
        <v>63.9</v>
      </c>
      <c r="H46" s="113">
        <v>38.71</v>
      </c>
      <c r="I46" s="113">
        <v>58.76</v>
      </c>
      <c r="J46" s="113">
        <v>39.53</v>
      </c>
      <c r="K46" s="113">
        <v>29.56</v>
      </c>
    </row>
    <row r="47" spans="1:11" x14ac:dyDescent="0.3">
      <c r="A47" t="s">
        <v>158</v>
      </c>
      <c r="B47" t="s">
        <v>159</v>
      </c>
      <c r="D47" s="7">
        <v>25.12</v>
      </c>
      <c r="E47" s="7">
        <v>22.11</v>
      </c>
      <c r="F47" s="113">
        <v>20.67</v>
      </c>
      <c r="G47" s="113">
        <v>11.66</v>
      </c>
      <c r="H47" s="113">
        <v>-7</v>
      </c>
      <c r="I47" s="113">
        <v>-13.95</v>
      </c>
      <c r="J47" s="113">
        <v>-8.9600000000000009</v>
      </c>
      <c r="K47" s="113">
        <v>-14.43</v>
      </c>
    </row>
    <row r="48" spans="1:11" x14ac:dyDescent="0.3">
      <c r="A48" t="s">
        <v>160</v>
      </c>
      <c r="D48" s="7"/>
      <c r="E48" s="7"/>
      <c r="F48" s="113"/>
      <c r="G48" s="113"/>
      <c r="H48" s="113"/>
      <c r="I48" s="113"/>
      <c r="J48" s="113"/>
      <c r="K48" s="113"/>
    </row>
    <row r="49" spans="1:11" x14ac:dyDescent="0.3">
      <c r="A49" t="s">
        <v>161</v>
      </c>
      <c r="B49" t="s">
        <v>162</v>
      </c>
      <c r="D49" s="7">
        <v>0</v>
      </c>
      <c r="E49" s="7">
        <v>0</v>
      </c>
      <c r="F49" s="113">
        <v>0</v>
      </c>
      <c r="G49" s="113">
        <v>0</v>
      </c>
      <c r="H49" s="113">
        <v>0</v>
      </c>
      <c r="I49" s="113">
        <v>0</v>
      </c>
      <c r="J49" s="113">
        <v>0</v>
      </c>
      <c r="K49" s="113">
        <v>0</v>
      </c>
    </row>
    <row r="50" spans="1:11" x14ac:dyDescent="0.3">
      <c r="A50" t="s">
        <v>163</v>
      </c>
      <c r="B50" t="s">
        <v>164</v>
      </c>
      <c r="D50" s="7">
        <v>1.4</v>
      </c>
      <c r="E50" s="7">
        <v>0</v>
      </c>
      <c r="F50" s="113">
        <v>0</v>
      </c>
      <c r="G50" s="113">
        <v>0</v>
      </c>
      <c r="H50" s="113">
        <v>0.57999999999999996</v>
      </c>
      <c r="I50" s="113">
        <v>0</v>
      </c>
      <c r="J50" s="113">
        <v>0</v>
      </c>
      <c r="K50" s="113">
        <v>0</v>
      </c>
    </row>
    <row r="51" spans="1:11" x14ac:dyDescent="0.3">
      <c r="A51" s="8" t="s">
        <v>165</v>
      </c>
      <c r="B51" s="8" t="s">
        <v>166</v>
      </c>
      <c r="C51" s="9">
        <v>16</v>
      </c>
      <c r="D51" s="7">
        <v>0.98</v>
      </c>
      <c r="E51" s="7">
        <v>0.9</v>
      </c>
      <c r="F51" s="113">
        <v>0.88</v>
      </c>
      <c r="G51" s="113">
        <v>1.9</v>
      </c>
      <c r="H51" s="113">
        <v>0.47</v>
      </c>
      <c r="I51" s="113">
        <v>0.81</v>
      </c>
      <c r="J51" s="113">
        <v>0.42</v>
      </c>
      <c r="K51" s="113">
        <v>0.79</v>
      </c>
    </row>
    <row r="52" spans="1:11" x14ac:dyDescent="0.3">
      <c r="A52" t="s">
        <v>167</v>
      </c>
      <c r="B52" t="s">
        <v>168</v>
      </c>
      <c r="D52" s="7">
        <v>320.01</v>
      </c>
      <c r="E52" s="7">
        <v>326.68</v>
      </c>
      <c r="F52" s="113">
        <v>324.06</v>
      </c>
      <c r="G52" s="113">
        <v>315.11924429722495</v>
      </c>
      <c r="H52" s="113">
        <v>314.18</v>
      </c>
      <c r="I52" s="113">
        <v>308.32</v>
      </c>
      <c r="J52" s="113">
        <v>308.88</v>
      </c>
      <c r="K52" s="113">
        <v>309.43</v>
      </c>
    </row>
    <row r="53" spans="1:11" x14ac:dyDescent="0.3">
      <c r="A53" t="s">
        <v>169</v>
      </c>
      <c r="D53" s="7">
        <v>0.79445729896064288</v>
      </c>
      <c r="E53" s="7">
        <v>0.97032126171577715</v>
      </c>
      <c r="F53" s="113">
        <v>3.2755420478781394</v>
      </c>
      <c r="G53" s="113">
        <v>4.9521951637406181</v>
      </c>
      <c r="H53" s="113">
        <v>9.5456011557731912</v>
      </c>
      <c r="I53" s="113">
        <v>5.8670619977978422</v>
      </c>
      <c r="J53" s="113">
        <v>5.9364421055102161</v>
      </c>
      <c r="K53" s="113">
        <v>8.7815639344909417</v>
      </c>
    </row>
    <row r="54" spans="1:11" x14ac:dyDescent="0.3">
      <c r="A54" t="s">
        <v>170</v>
      </c>
      <c r="B54" t="s">
        <v>171</v>
      </c>
      <c r="D54" s="7">
        <v>0.59843730694258734</v>
      </c>
      <c r="E54" s="7">
        <v>0.91147420085603126</v>
      </c>
      <c r="F54" s="113">
        <v>2.410608503605534</v>
      </c>
      <c r="G54" s="113">
        <v>4.4706584899050794</v>
      </c>
      <c r="H54" s="113">
        <v>9.4437141349949947</v>
      </c>
      <c r="I54" s="113">
        <v>5.4017027467385574</v>
      </c>
      <c r="J54" s="113">
        <v>5.3373070341960736</v>
      </c>
      <c r="K54" s="113">
        <v>8.0630886321507056</v>
      </c>
    </row>
    <row r="55" spans="1:11" x14ac:dyDescent="0.3">
      <c r="A55" t="s">
        <v>172</v>
      </c>
      <c r="B55" t="s">
        <v>173</v>
      </c>
      <c r="D55" s="7">
        <v>0.19601999201805548</v>
      </c>
      <c r="E55" s="7">
        <v>5.8847060859745864E-2</v>
      </c>
      <c r="F55" s="113">
        <v>0.86493354427260516</v>
      </c>
      <c r="G55" s="113">
        <v>0.48153667383553905</v>
      </c>
      <c r="H55" s="113">
        <v>0.10188702077819684</v>
      </c>
      <c r="I55" s="113">
        <v>0.46535925105928516</v>
      </c>
      <c r="J55" s="113">
        <v>0.59913507131414279</v>
      </c>
      <c r="K55" s="113">
        <v>0.71847530234023693</v>
      </c>
    </row>
    <row r="56" spans="1:11" x14ac:dyDescent="0.3">
      <c r="A56" t="s">
        <v>174</v>
      </c>
      <c r="B56" t="s">
        <v>175</v>
      </c>
      <c r="D56" s="7">
        <v>63.83184620269715</v>
      </c>
      <c r="E56" s="7">
        <v>70.407752402553541</v>
      </c>
      <c r="F56" s="113">
        <v>59.884753931204315</v>
      </c>
      <c r="G56" s="113">
        <v>60.949267471996748</v>
      </c>
      <c r="H56" s="113">
        <v>53.837312564223517</v>
      </c>
      <c r="I56" s="113">
        <v>57.826767849137795</v>
      </c>
      <c r="J56" s="113">
        <v>58.467373915263565</v>
      </c>
      <c r="K56" s="113">
        <v>58.223159003557903</v>
      </c>
    </row>
    <row r="57" spans="1:11" x14ac:dyDescent="0.3">
      <c r="A57" t="s">
        <v>176</v>
      </c>
      <c r="B57" t="s">
        <v>177</v>
      </c>
      <c r="D57" s="7">
        <v>35.373696498342213</v>
      </c>
      <c r="E57" s="7">
        <v>28.621926335730674</v>
      </c>
      <c r="F57" s="113">
        <v>36.839704020917544</v>
      </c>
      <c r="G57" s="113">
        <v>34.098537364262626</v>
      </c>
      <c r="H57" s="113">
        <v>36.617086280003292</v>
      </c>
      <c r="I57" s="113">
        <v>36.306170153064365</v>
      </c>
      <c r="J57" s="113">
        <v>35.596183979226211</v>
      </c>
      <c r="K57" s="113">
        <v>32.99527706195115</v>
      </c>
    </row>
    <row r="58" spans="1:11" x14ac:dyDescent="0.3">
      <c r="A58" t="s">
        <v>178</v>
      </c>
      <c r="D58" s="7"/>
      <c r="E58" s="7"/>
      <c r="F58" s="113"/>
      <c r="G58" s="113"/>
      <c r="H58" s="113"/>
      <c r="I58" s="113"/>
      <c r="J58" s="113"/>
      <c r="K58" s="113"/>
    </row>
    <row r="59" spans="1:11" x14ac:dyDescent="0.3">
      <c r="A59" t="s">
        <v>179</v>
      </c>
      <c r="B59" t="s">
        <v>180</v>
      </c>
      <c r="D59" s="7" t="s">
        <v>355</v>
      </c>
      <c r="E59" s="7" t="s">
        <v>355</v>
      </c>
      <c r="F59" s="113" t="s">
        <v>355</v>
      </c>
      <c r="G59" s="113" t="s">
        <v>355</v>
      </c>
      <c r="H59" s="113" t="s">
        <v>355</v>
      </c>
      <c r="I59" s="113" t="s">
        <v>355</v>
      </c>
      <c r="J59" s="113" t="s">
        <v>355</v>
      </c>
      <c r="K59" s="113" t="s">
        <v>355</v>
      </c>
    </row>
    <row r="60" spans="1:11" x14ac:dyDescent="0.3">
      <c r="A60" t="s">
        <v>181</v>
      </c>
      <c r="B60" t="s">
        <v>182</v>
      </c>
      <c r="D60" s="7" t="s">
        <v>355</v>
      </c>
      <c r="E60" s="7" t="s">
        <v>355</v>
      </c>
      <c r="F60" s="113" t="s">
        <v>355</v>
      </c>
      <c r="G60" s="113" t="s">
        <v>355</v>
      </c>
      <c r="H60" s="113" t="s">
        <v>355</v>
      </c>
      <c r="I60" s="113" t="s">
        <v>355</v>
      </c>
      <c r="J60" s="113" t="s">
        <v>355</v>
      </c>
      <c r="K60" s="113" t="s">
        <v>355</v>
      </c>
    </row>
    <row r="61" spans="1:11" x14ac:dyDescent="0.3">
      <c r="A61" t="s">
        <v>183</v>
      </c>
      <c r="B61" t="s">
        <v>184</v>
      </c>
      <c r="D61" s="7">
        <v>0</v>
      </c>
      <c r="E61" s="7">
        <v>0</v>
      </c>
      <c r="F61" s="113">
        <v>0</v>
      </c>
      <c r="G61" s="113">
        <v>0</v>
      </c>
      <c r="H61" s="113">
        <v>0</v>
      </c>
      <c r="I61" s="113">
        <v>0</v>
      </c>
      <c r="J61" s="113">
        <v>0</v>
      </c>
      <c r="K61" s="113">
        <v>0</v>
      </c>
    </row>
    <row r="62" spans="1:11" x14ac:dyDescent="0.3">
      <c r="A62" s="8" t="s">
        <v>185</v>
      </c>
      <c r="B62" s="8" t="s">
        <v>186</v>
      </c>
      <c r="C62" s="9">
        <v>1.2</v>
      </c>
      <c r="D62" s="7">
        <v>0</v>
      </c>
      <c r="E62" s="7">
        <v>0</v>
      </c>
      <c r="F62" s="113">
        <v>0</v>
      </c>
      <c r="G62" s="113">
        <v>0</v>
      </c>
      <c r="H62" s="113">
        <v>0.57999999999999996</v>
      </c>
      <c r="I62" s="113">
        <v>0.56999999999999995</v>
      </c>
      <c r="J62" s="113">
        <v>0.56000000000000005</v>
      </c>
      <c r="K62" s="113">
        <v>0</v>
      </c>
    </row>
    <row r="63" spans="1:11" x14ac:dyDescent="0.3">
      <c r="A63" t="s">
        <v>187</v>
      </c>
      <c r="D63" s="7"/>
      <c r="E63" s="7"/>
      <c r="F63" s="113"/>
      <c r="G63" s="113"/>
      <c r="H63" s="113"/>
      <c r="I63" s="113"/>
      <c r="J63" s="113"/>
      <c r="K63" s="113"/>
    </row>
    <row r="64" spans="1:11" x14ac:dyDescent="0.3">
      <c r="A64" s="8" t="s">
        <v>188</v>
      </c>
      <c r="B64" s="8" t="s">
        <v>189</v>
      </c>
      <c r="C64" s="9">
        <v>1</v>
      </c>
      <c r="D64" s="7">
        <v>2.02</v>
      </c>
      <c r="E64" s="7">
        <v>0.24</v>
      </c>
      <c r="F64" s="113">
        <v>0</v>
      </c>
      <c r="G64" s="113">
        <v>0</v>
      </c>
      <c r="H64" s="113">
        <v>0.27</v>
      </c>
      <c r="I64" s="113">
        <v>1.51</v>
      </c>
      <c r="J64" s="113">
        <v>0.33</v>
      </c>
      <c r="K64" s="113">
        <v>0.5</v>
      </c>
    </row>
    <row r="65" spans="1:11" x14ac:dyDescent="0.3">
      <c r="A65" s="8" t="s">
        <v>190</v>
      </c>
      <c r="B65" s="8" t="s">
        <v>191</v>
      </c>
      <c r="C65" s="9"/>
      <c r="D65" s="7">
        <v>1</v>
      </c>
      <c r="E65" s="7">
        <v>0</v>
      </c>
      <c r="F65" s="113">
        <v>0.37</v>
      </c>
      <c r="G65" s="113">
        <v>0.36</v>
      </c>
      <c r="H65" s="113">
        <v>0</v>
      </c>
      <c r="I65" s="113">
        <v>0.05</v>
      </c>
      <c r="J65" s="113">
        <v>0.01</v>
      </c>
      <c r="K65" s="113">
        <v>0.01</v>
      </c>
    </row>
    <row r="66" spans="1:11" x14ac:dyDescent="0.3">
      <c r="A66" s="8" t="s">
        <v>192</v>
      </c>
      <c r="B66" s="8" t="s">
        <v>193</v>
      </c>
      <c r="C66" s="9">
        <v>0.6</v>
      </c>
      <c r="D66" s="7">
        <v>0</v>
      </c>
      <c r="E66" s="7">
        <v>0</v>
      </c>
      <c r="F66" s="113">
        <v>0</v>
      </c>
      <c r="G66" s="113">
        <v>0</v>
      </c>
      <c r="H66" s="113">
        <v>0</v>
      </c>
      <c r="I66" s="113">
        <v>0</v>
      </c>
      <c r="J66" s="113">
        <v>0</v>
      </c>
      <c r="K66" s="113">
        <v>0</v>
      </c>
    </row>
    <row r="67" spans="1:11" x14ac:dyDescent="0.3">
      <c r="A67" t="s">
        <v>194</v>
      </c>
      <c r="D67" s="7"/>
      <c r="E67" s="7"/>
      <c r="F67" s="113"/>
      <c r="G67" s="113"/>
      <c r="H67" s="113"/>
      <c r="I67" s="113"/>
      <c r="J67" s="113"/>
      <c r="K67" s="113"/>
    </row>
    <row r="68" spans="1:11" x14ac:dyDescent="0.3">
      <c r="A68" t="s">
        <v>195</v>
      </c>
      <c r="B68" t="s">
        <v>196</v>
      </c>
      <c r="D68" s="7">
        <v>36.996622878803116</v>
      </c>
      <c r="E68" s="7">
        <v>95.610361184459663</v>
      </c>
      <c r="F68" s="118">
        <v>93.393637181115395</v>
      </c>
      <c r="G68" s="118">
        <v>91.09</v>
      </c>
      <c r="H68" s="118">
        <v>89.32</v>
      </c>
      <c r="I68" s="118">
        <v>38.549999999999997</v>
      </c>
      <c r="J68" s="118">
        <v>30.43</v>
      </c>
      <c r="K68" s="118">
        <v>41.42</v>
      </c>
    </row>
    <row r="69" spans="1:11" x14ac:dyDescent="0.3">
      <c r="A69" t="s">
        <v>197</v>
      </c>
      <c r="D69" s="7"/>
      <c r="E69" s="7"/>
      <c r="F69" s="113"/>
      <c r="G69" s="113"/>
      <c r="H69" s="113"/>
      <c r="I69" s="113"/>
      <c r="J69" s="113"/>
      <c r="K69" s="113"/>
    </row>
    <row r="70" spans="1:11" x14ac:dyDescent="0.3">
      <c r="A70" t="s">
        <v>198</v>
      </c>
      <c r="B70" t="s">
        <v>199</v>
      </c>
      <c r="D70" s="7">
        <v>13.77</v>
      </c>
      <c r="E70" s="28">
        <v>11.46</v>
      </c>
      <c r="F70" s="113">
        <v>12.04</v>
      </c>
      <c r="G70" s="113">
        <v>11.41</v>
      </c>
      <c r="H70" s="113">
        <v>9.84</v>
      </c>
      <c r="I70" s="113">
        <v>11.53</v>
      </c>
      <c r="J70" s="113">
        <v>11.4</v>
      </c>
      <c r="K70" s="113">
        <v>13.16</v>
      </c>
    </row>
    <row r="71" spans="1:11" x14ac:dyDescent="0.3">
      <c r="A71" t="s">
        <v>200</v>
      </c>
      <c r="B71" t="s">
        <v>201</v>
      </c>
      <c r="D71" s="7">
        <v>15.45</v>
      </c>
      <c r="E71" s="28">
        <v>14.42</v>
      </c>
      <c r="F71" s="113">
        <v>14.48</v>
      </c>
      <c r="G71" s="113">
        <v>15.38</v>
      </c>
      <c r="H71" s="113">
        <v>13.06</v>
      </c>
      <c r="I71" s="113">
        <v>14.03</v>
      </c>
      <c r="J71" s="113">
        <v>13.89</v>
      </c>
      <c r="K71" s="113">
        <v>15.61</v>
      </c>
    </row>
    <row r="72" spans="1:11" x14ac:dyDescent="0.3">
      <c r="A72" t="s">
        <v>305</v>
      </c>
      <c r="D72" s="7"/>
      <c r="E72" s="7"/>
      <c r="F72" s="113"/>
      <c r="G72" s="113"/>
      <c r="H72" s="113"/>
      <c r="I72" s="113"/>
      <c r="J72" s="113"/>
      <c r="K72" s="113"/>
    </row>
    <row r="73" spans="1:11" x14ac:dyDescent="0.3">
      <c r="B73" t="s">
        <v>202</v>
      </c>
      <c r="D73" s="7">
        <v>55.82</v>
      </c>
      <c r="E73" s="7">
        <v>51.14</v>
      </c>
      <c r="F73" s="113">
        <v>48.67</v>
      </c>
      <c r="G73" s="113">
        <v>45.08</v>
      </c>
      <c r="H73" s="113">
        <v>39.49</v>
      </c>
      <c r="I73" s="113">
        <v>43.35</v>
      </c>
      <c r="J73" s="113">
        <v>45.062799928791328</v>
      </c>
      <c r="K73" s="113">
        <v>45.075823110419783</v>
      </c>
    </row>
    <row r="74" spans="1:11" x14ac:dyDescent="0.3">
      <c r="B74" t="s">
        <v>203</v>
      </c>
      <c r="D74" s="7">
        <v>73.11</v>
      </c>
      <c r="E74" s="7">
        <v>62.37</v>
      </c>
      <c r="F74" s="113">
        <v>65.709999999999994</v>
      </c>
      <c r="G74" s="113">
        <v>65.03</v>
      </c>
      <c r="H74" s="113">
        <v>62.62</v>
      </c>
      <c r="I74" s="113">
        <v>65.31</v>
      </c>
      <c r="J74" s="113">
        <v>66.774897315696052</v>
      </c>
      <c r="K74" s="113">
        <v>65.05299346496966</v>
      </c>
    </row>
    <row r="75" spans="1:11" x14ac:dyDescent="0.3">
      <c r="B75" t="s">
        <v>204</v>
      </c>
      <c r="D75" s="7">
        <v>24.79</v>
      </c>
      <c r="E75" s="7">
        <v>30.58</v>
      </c>
      <c r="F75" s="113">
        <v>25.87</v>
      </c>
      <c r="G75" s="113">
        <v>21.86</v>
      </c>
      <c r="H75" s="113">
        <v>16.05</v>
      </c>
      <c r="I75" s="113">
        <v>19.739999999999998</v>
      </c>
      <c r="J75" s="113">
        <v>20.638971494273132</v>
      </c>
      <c r="K75" s="113">
        <v>21.029358582185864</v>
      </c>
    </row>
    <row r="76" spans="1:11" x14ac:dyDescent="0.3">
      <c r="A76" s="8" t="s">
        <v>37</v>
      </c>
      <c r="B76" s="8"/>
      <c r="C76" s="9">
        <v>47</v>
      </c>
      <c r="D76" s="7">
        <v>54.029444977436611</v>
      </c>
      <c r="E76" s="7">
        <v>53.737113851454453</v>
      </c>
      <c r="F76" s="118">
        <v>50.556662867001236</v>
      </c>
      <c r="G76" s="118">
        <v>52.333828538091268</v>
      </c>
      <c r="H76" s="118">
        <v>45.115243927803874</v>
      </c>
      <c r="I76" s="118">
        <v>46.098489837010192</v>
      </c>
      <c r="J76" s="118">
        <v>49.195674787655605</v>
      </c>
      <c r="K76" s="118">
        <v>47.215526184068231</v>
      </c>
    </row>
    <row r="77" spans="1:11" x14ac:dyDescent="0.3">
      <c r="A77" s="29" t="s">
        <v>338</v>
      </c>
      <c r="B77" s="29"/>
      <c r="C77" s="58"/>
      <c r="D77" s="28">
        <v>51.160103671872271</v>
      </c>
      <c r="E77" s="28">
        <v>51.402507113387408</v>
      </c>
      <c r="F77" s="118">
        <v>48.169464714243915</v>
      </c>
      <c r="G77" s="118">
        <v>47.605462990508542</v>
      </c>
      <c r="H77" s="118">
        <v>43.108059948702738</v>
      </c>
      <c r="I77" s="118">
        <v>43.32112583473954</v>
      </c>
      <c r="J77" s="118">
        <v>46.920238184484973</v>
      </c>
      <c r="K77" s="118">
        <v>43.102236018213937</v>
      </c>
    </row>
    <row r="78" spans="1:11" x14ac:dyDescent="0.3">
      <c r="A78" t="s">
        <v>268</v>
      </c>
      <c r="D78" s="7"/>
      <c r="E78" s="7"/>
      <c r="F78" s="113"/>
      <c r="G78" s="113"/>
      <c r="H78" s="113"/>
      <c r="I78" s="113"/>
      <c r="J78" s="113"/>
      <c r="K78" s="113"/>
    </row>
    <row r="79" spans="1:11" x14ac:dyDescent="0.3">
      <c r="A79">
        <v>4</v>
      </c>
      <c r="B79" t="s">
        <v>205</v>
      </c>
      <c r="D79" s="7">
        <v>6.1051256937642835</v>
      </c>
      <c r="E79" s="7">
        <v>6.8718644244431317</v>
      </c>
      <c r="F79" s="118">
        <v>6.7388043711163483</v>
      </c>
      <c r="G79" s="118">
        <v>6.8370165745856362</v>
      </c>
      <c r="H79" s="118">
        <v>6.840285282040198</v>
      </c>
      <c r="I79" s="118">
        <v>7.3287077189939289</v>
      </c>
      <c r="J79" s="118">
        <v>6.3087393323971046</v>
      </c>
      <c r="K79" s="118">
        <v>6.6331096196867998</v>
      </c>
    </row>
    <row r="80" spans="1:11" x14ac:dyDescent="0.3">
      <c r="A80">
        <v>9</v>
      </c>
      <c r="B80" t="s">
        <v>350</v>
      </c>
      <c r="D80" s="7">
        <v>20.644248558058546</v>
      </c>
      <c r="E80" s="7">
        <v>21.822673510860007</v>
      </c>
      <c r="F80" s="118">
        <v>20.473537604456823</v>
      </c>
      <c r="G80" s="118">
        <v>20.741252302025785</v>
      </c>
      <c r="H80" s="118">
        <v>20.769397017505941</v>
      </c>
      <c r="I80" s="118">
        <v>20.912836079791848</v>
      </c>
      <c r="J80" s="118">
        <v>20.708652911310363</v>
      </c>
      <c r="K80" s="118">
        <v>22.058165548098433</v>
      </c>
    </row>
    <row r="81" spans="1:11" x14ac:dyDescent="0.3">
      <c r="A81">
        <v>10</v>
      </c>
      <c r="B81" t="s">
        <v>206</v>
      </c>
      <c r="D81" s="7">
        <v>13.73381216672108</v>
      </c>
      <c r="E81" s="7">
        <v>12.728561158055204</v>
      </c>
      <c r="F81" s="118">
        <v>14.913220484251125</v>
      </c>
      <c r="G81" s="118">
        <v>13.179097605893187</v>
      </c>
      <c r="H81" s="118">
        <v>9.3256969958936669</v>
      </c>
      <c r="I81" s="118">
        <v>13.573287077189939</v>
      </c>
      <c r="J81" s="118">
        <v>15.318137625580642</v>
      </c>
      <c r="K81" s="118">
        <v>16.275167785234899</v>
      </c>
    </row>
    <row r="82" spans="1:11" x14ac:dyDescent="0.3">
      <c r="A82">
        <v>12</v>
      </c>
      <c r="B82" t="s">
        <v>207</v>
      </c>
      <c r="D82" s="7">
        <v>16.639460224181086</v>
      </c>
      <c r="E82" s="7">
        <v>17.203752998360695</v>
      </c>
      <c r="F82" s="118">
        <v>15.888150846368115</v>
      </c>
      <c r="G82" s="118">
        <v>15.999079189686928</v>
      </c>
      <c r="H82" s="118">
        <v>20.239896261076289</v>
      </c>
      <c r="I82" s="118">
        <v>18.104943625325241</v>
      </c>
      <c r="J82" s="118">
        <v>18.81819163875986</v>
      </c>
      <c r="K82" s="118">
        <v>16.185682326621922</v>
      </c>
    </row>
    <row r="83" spans="1:11" x14ac:dyDescent="0.3">
      <c r="A83" t="s">
        <v>208</v>
      </c>
      <c r="D83" s="7"/>
      <c r="E83" s="7"/>
      <c r="F83" s="113"/>
      <c r="G83" s="113"/>
      <c r="H83" s="113"/>
      <c r="I83" s="113"/>
      <c r="J83" s="113"/>
      <c r="K83" s="113"/>
    </row>
    <row r="84" spans="1:11" x14ac:dyDescent="0.3">
      <c r="A84">
        <v>4</v>
      </c>
      <c r="B84" t="s">
        <v>205</v>
      </c>
      <c r="D84" s="7">
        <v>62.53</v>
      </c>
      <c r="E84" s="7">
        <v>58.15</v>
      </c>
      <c r="F84" s="113">
        <v>64</v>
      </c>
      <c r="G84" s="113">
        <v>65.849999999999994</v>
      </c>
      <c r="H84" s="113">
        <v>54.94</v>
      </c>
      <c r="I84" s="113">
        <v>68.180000000000007</v>
      </c>
      <c r="J84" s="113">
        <v>63.377573888754355</v>
      </c>
      <c r="K84" s="113">
        <v>69.55937422920401</v>
      </c>
    </row>
    <row r="85" spans="1:11" x14ac:dyDescent="0.3">
      <c r="A85">
        <v>9</v>
      </c>
      <c r="B85" t="s">
        <v>350</v>
      </c>
      <c r="D85" s="7">
        <v>66.58</v>
      </c>
      <c r="E85" s="7">
        <v>52.94</v>
      </c>
      <c r="F85" s="113">
        <v>64.42</v>
      </c>
      <c r="G85" s="113">
        <v>68.069999999999993</v>
      </c>
      <c r="H85" s="113">
        <v>69.430000000000007</v>
      </c>
      <c r="I85" s="113">
        <v>76</v>
      </c>
      <c r="J85" s="113">
        <v>71.356814540392094</v>
      </c>
      <c r="K85" s="113">
        <v>73.293360105981904</v>
      </c>
    </row>
    <row r="86" spans="1:11" x14ac:dyDescent="0.3">
      <c r="A86">
        <v>10</v>
      </c>
      <c r="B86" t="s">
        <v>206</v>
      </c>
      <c r="D86" s="7">
        <v>69.37</v>
      </c>
      <c r="E86" s="7">
        <v>55.16</v>
      </c>
      <c r="F86" s="113">
        <v>63.84</v>
      </c>
      <c r="G86" s="113">
        <v>71.86</v>
      </c>
      <c r="H86" s="113">
        <v>69.64</v>
      </c>
      <c r="I86" s="113">
        <v>60.55</v>
      </c>
      <c r="J86" s="113">
        <v>66.496716750786419</v>
      </c>
      <c r="K86" s="113">
        <v>74.746999744583974</v>
      </c>
    </row>
    <row r="87" spans="1:11" x14ac:dyDescent="0.3">
      <c r="A87">
        <v>12</v>
      </c>
      <c r="B87" t="s">
        <v>207</v>
      </c>
      <c r="D87" s="7">
        <v>76.34</v>
      </c>
      <c r="E87" s="7">
        <v>77.849999999999994</v>
      </c>
      <c r="F87" s="113">
        <v>77.16</v>
      </c>
      <c r="G87" s="113">
        <v>79.900000000000006</v>
      </c>
      <c r="H87" s="113">
        <v>76.86</v>
      </c>
      <c r="I87" s="113">
        <v>74.239999999999995</v>
      </c>
      <c r="J87" s="113">
        <v>70.640150511782494</v>
      </c>
      <c r="K87" s="113">
        <v>75.951951274697848</v>
      </c>
    </row>
    <row r="88" spans="1:11" x14ac:dyDescent="0.3">
      <c r="B88" s="63" t="s">
        <v>306</v>
      </c>
      <c r="D88" s="7"/>
      <c r="E88" s="7"/>
      <c r="F88" s="113"/>
      <c r="G88" s="113"/>
      <c r="H88" s="113"/>
      <c r="I88" s="113"/>
      <c r="J88" s="113"/>
      <c r="K88" s="113"/>
    </row>
    <row r="89" spans="1:11" x14ac:dyDescent="0.3">
      <c r="B89" t="s">
        <v>110</v>
      </c>
      <c r="D89" s="7">
        <v>367.13226833883101</v>
      </c>
      <c r="E89" s="7">
        <v>350.14826884227551</v>
      </c>
      <c r="F89" s="113">
        <v>362.58510068602214</v>
      </c>
      <c r="G89" s="113">
        <v>355.01394750014094</v>
      </c>
      <c r="H89" s="113">
        <v>354.72657825926274</v>
      </c>
      <c r="I89" s="113">
        <v>352.25227220007974</v>
      </c>
      <c r="J89" s="113">
        <v>369.77947768871218</v>
      </c>
      <c r="K89" s="113">
        <v>368.56431741147844</v>
      </c>
    </row>
    <row r="90" spans="1:11" x14ac:dyDescent="0.3">
      <c r="B90" t="s">
        <v>129</v>
      </c>
      <c r="D90" s="7">
        <v>157.51675807997006</v>
      </c>
      <c r="E90" s="7">
        <v>150.44420956890005</v>
      </c>
      <c r="F90" s="113">
        <v>170.92035541980178</v>
      </c>
      <c r="G90" s="113">
        <v>180.492157874811</v>
      </c>
      <c r="H90" s="113">
        <v>204.57029658165237</v>
      </c>
      <c r="I90" s="113">
        <v>209.21258224469867</v>
      </c>
      <c r="J90" s="113">
        <v>229.38618194069946</v>
      </c>
      <c r="K90" s="113">
        <v>334.14493954817681</v>
      </c>
    </row>
    <row r="91" spans="1:11" x14ac:dyDescent="0.3">
      <c r="B91" t="s">
        <v>159</v>
      </c>
      <c r="D91" s="7">
        <v>30.939403225806455</v>
      </c>
      <c r="E91" s="7">
        <v>36.337096774193533</v>
      </c>
      <c r="F91" s="113">
        <v>36.521612903225808</v>
      </c>
      <c r="G91" s="113">
        <v>24.474374999999998</v>
      </c>
      <c r="H91" s="113">
        <v>18.420312500000001</v>
      </c>
      <c r="I91" s="113">
        <v>10.619375</v>
      </c>
      <c r="J91" s="113">
        <v>3.849687499999999</v>
      </c>
      <c r="K91" s="113">
        <v>1.0896875000000004</v>
      </c>
    </row>
    <row r="92" spans="1:11" x14ac:dyDescent="0.3">
      <c r="B92" t="s">
        <v>168</v>
      </c>
      <c r="D92" s="7">
        <v>1806.715247780151</v>
      </c>
      <c r="E92" s="7">
        <v>1760.2223341478993</v>
      </c>
      <c r="F92" s="113">
        <v>1723.4313709635639</v>
      </c>
      <c r="G92" s="113">
        <v>1688.3834954123995</v>
      </c>
      <c r="H92" s="113">
        <v>1744.0187221199872</v>
      </c>
      <c r="I92" s="113">
        <v>1744.7789254873785</v>
      </c>
      <c r="J92" s="113">
        <v>1726.9557160967668</v>
      </c>
      <c r="K92" s="113">
        <v>1697.0701833805592</v>
      </c>
    </row>
    <row r="93" spans="1:11" x14ac:dyDescent="0.3">
      <c r="D93" s="7"/>
      <c r="E93" s="7"/>
      <c r="F93" s="113"/>
      <c r="G93" s="113"/>
      <c r="H93" s="113"/>
      <c r="I93" s="113"/>
      <c r="J93" s="113"/>
      <c r="K93" s="113"/>
    </row>
    <row r="94" spans="1:11" x14ac:dyDescent="0.3">
      <c r="B94" s="37" t="s">
        <v>303</v>
      </c>
      <c r="D94" s="7"/>
      <c r="E94" s="7"/>
      <c r="F94" s="113"/>
      <c r="G94" s="113"/>
      <c r="H94" s="113"/>
      <c r="I94" s="113"/>
      <c r="J94" s="113"/>
      <c r="K94" s="113"/>
    </row>
    <row r="95" spans="1:11" x14ac:dyDescent="0.3">
      <c r="D95" s="7"/>
      <c r="E95" s="7"/>
      <c r="F95" s="113"/>
      <c r="G95" s="113"/>
      <c r="H95" s="113"/>
      <c r="I95" s="113"/>
      <c r="J95" s="113"/>
      <c r="K95" s="113"/>
    </row>
    <row r="96" spans="1:11" x14ac:dyDescent="0.3">
      <c r="D96" s="7"/>
      <c r="E96" s="7"/>
      <c r="F96" s="113"/>
      <c r="G96" s="113"/>
      <c r="H96" s="113"/>
      <c r="I96" s="113"/>
      <c r="J96" s="113"/>
      <c r="K96" s="113"/>
    </row>
    <row r="97" spans="4:11" x14ac:dyDescent="0.3">
      <c r="D97" s="7"/>
      <c r="E97" s="7"/>
      <c r="F97" s="113"/>
      <c r="G97" s="113"/>
      <c r="H97" s="113"/>
      <c r="I97" s="113"/>
      <c r="J97" s="113"/>
      <c r="K97" s="113"/>
    </row>
    <row r="98" spans="4:11" x14ac:dyDescent="0.3">
      <c r="D98" s="7"/>
      <c r="E98" s="7"/>
      <c r="F98" s="113"/>
      <c r="G98" s="113"/>
      <c r="H98" s="113"/>
      <c r="I98" s="113"/>
      <c r="J98" s="113"/>
      <c r="K98" s="113"/>
    </row>
    <row r="99" spans="4:11" x14ac:dyDescent="0.3">
      <c r="D99" s="7"/>
      <c r="E99" s="7"/>
      <c r="F99" s="113"/>
      <c r="G99" s="113"/>
      <c r="H99" s="113"/>
      <c r="I99" s="113"/>
      <c r="J99" s="113"/>
      <c r="K99" s="113"/>
    </row>
    <row r="100" spans="4:11" x14ac:dyDescent="0.3">
      <c r="D100" s="7"/>
      <c r="E100" s="7"/>
      <c r="F100" s="113"/>
      <c r="G100" s="113"/>
      <c r="H100" s="113"/>
      <c r="I100" s="113"/>
      <c r="J100" s="113"/>
      <c r="K100" s="113"/>
    </row>
    <row r="101" spans="4:11" x14ac:dyDescent="0.3">
      <c r="D101" s="7"/>
      <c r="E101" s="7"/>
      <c r="F101" s="113"/>
      <c r="G101" s="113"/>
      <c r="H101" s="113"/>
      <c r="I101" s="113"/>
      <c r="J101" s="113"/>
      <c r="K101" s="113"/>
    </row>
    <row r="102" spans="4:11" x14ac:dyDescent="0.3">
      <c r="D102" s="7"/>
      <c r="E102" s="7"/>
      <c r="F102" s="113"/>
      <c r="G102" s="113"/>
      <c r="H102" s="113"/>
      <c r="I102" s="113"/>
      <c r="J102" s="113"/>
      <c r="K102" s="113"/>
    </row>
    <row r="103" spans="4:11" x14ac:dyDescent="0.3">
      <c r="D103" s="7"/>
      <c r="E103" s="7"/>
      <c r="F103" s="113"/>
      <c r="G103" s="113"/>
      <c r="H103" s="113"/>
      <c r="I103" s="113"/>
      <c r="J103" s="113"/>
      <c r="K103" s="113"/>
    </row>
    <row r="104" spans="4:11" x14ac:dyDescent="0.3">
      <c r="D104" s="7"/>
      <c r="E104" s="7"/>
      <c r="F104" s="113"/>
      <c r="G104" s="113"/>
      <c r="H104" s="113"/>
      <c r="I104" s="113"/>
      <c r="J104" s="113"/>
      <c r="K104" s="113"/>
    </row>
    <row r="105" spans="4:11" x14ac:dyDescent="0.3">
      <c r="D105" s="7"/>
      <c r="E105" s="7"/>
      <c r="F105" s="113"/>
      <c r="G105" s="113"/>
      <c r="H105" s="113"/>
      <c r="I105" s="113"/>
      <c r="J105" s="113"/>
      <c r="K105" s="113"/>
    </row>
    <row r="106" spans="4:11" x14ac:dyDescent="0.3">
      <c r="D106" s="7"/>
      <c r="E106" s="7"/>
      <c r="F106" s="113"/>
      <c r="G106" s="113"/>
      <c r="H106" s="113"/>
      <c r="I106" s="113"/>
      <c r="J106" s="113"/>
      <c r="K106" s="113"/>
    </row>
    <row r="107" spans="4:11" x14ac:dyDescent="0.3">
      <c r="D107" s="7"/>
      <c r="E107" s="7"/>
      <c r="F107" s="113"/>
      <c r="G107" s="113"/>
      <c r="H107" s="113"/>
      <c r="I107" s="113"/>
      <c r="J107" s="113"/>
      <c r="K107" s="113"/>
    </row>
    <row r="108" spans="4:11" x14ac:dyDescent="0.3">
      <c r="D108" s="7"/>
      <c r="E108" s="7"/>
      <c r="F108" s="113"/>
      <c r="G108" s="113"/>
      <c r="H108" s="113"/>
      <c r="I108" s="113"/>
      <c r="J108" s="113"/>
      <c r="K108" s="113"/>
    </row>
    <row r="109" spans="4:11" x14ac:dyDescent="0.3">
      <c r="D109" s="7"/>
      <c r="E109" s="7"/>
      <c r="F109" s="113"/>
      <c r="G109" s="113"/>
      <c r="H109" s="113"/>
      <c r="I109" s="113"/>
      <c r="J109" s="113"/>
      <c r="K109" s="113"/>
    </row>
    <row r="110" spans="4:11" x14ac:dyDescent="0.3">
      <c r="D110" s="7"/>
      <c r="E110" s="7"/>
      <c r="F110" s="113"/>
      <c r="G110" s="113"/>
      <c r="H110" s="113"/>
      <c r="I110" s="113"/>
      <c r="J110" s="113"/>
      <c r="K110" s="113"/>
    </row>
    <row r="111" spans="4:11" x14ac:dyDescent="0.3">
      <c r="D111" s="7"/>
      <c r="E111" s="7"/>
      <c r="F111" s="113"/>
      <c r="G111" s="113"/>
      <c r="H111" s="113"/>
      <c r="I111" s="113"/>
      <c r="J111" s="113"/>
      <c r="K111" s="113"/>
    </row>
    <row r="112" spans="4:11" x14ac:dyDescent="0.3">
      <c r="D112" s="7"/>
      <c r="E112" s="7"/>
      <c r="F112" s="113"/>
      <c r="G112" s="113"/>
      <c r="H112" s="113"/>
      <c r="I112" s="113"/>
      <c r="J112" s="113"/>
      <c r="K112" s="113"/>
    </row>
    <row r="113" spans="2:11" x14ac:dyDescent="0.3">
      <c r="D113" s="7"/>
      <c r="E113" s="7"/>
      <c r="F113" s="113"/>
      <c r="G113" s="113"/>
      <c r="H113" s="113"/>
      <c r="I113" s="113"/>
      <c r="J113" s="113"/>
      <c r="K113" s="113"/>
    </row>
    <row r="114" spans="2:11" x14ac:dyDescent="0.3">
      <c r="D114" s="7"/>
      <c r="E114" s="7"/>
      <c r="F114" s="113"/>
      <c r="G114" s="113"/>
      <c r="H114" s="113"/>
      <c r="I114" s="113"/>
      <c r="J114" s="113"/>
      <c r="K114" s="113"/>
    </row>
    <row r="115" spans="2:11" x14ac:dyDescent="0.3">
      <c r="B115" s="37" t="s">
        <v>304</v>
      </c>
      <c r="D115" s="7"/>
      <c r="E115" s="7"/>
      <c r="F115" s="113"/>
      <c r="G115" s="113"/>
      <c r="H115" s="113"/>
      <c r="I115" s="113"/>
      <c r="J115" s="113"/>
      <c r="K115" s="113"/>
    </row>
    <row r="116" spans="2:11" x14ac:dyDescent="0.3">
      <c r="D116" s="7"/>
      <c r="E116" s="7"/>
      <c r="F116" s="113"/>
      <c r="G116" s="113"/>
      <c r="H116" s="113"/>
      <c r="I116" s="113"/>
      <c r="J116" s="113"/>
      <c r="K116" s="113"/>
    </row>
    <row r="117" spans="2:11" x14ac:dyDescent="0.3">
      <c r="D117" s="7"/>
      <c r="E117" s="7"/>
      <c r="F117" s="113"/>
      <c r="G117" s="113"/>
      <c r="H117" s="113"/>
      <c r="I117" s="113"/>
      <c r="J117" s="113"/>
      <c r="K117" s="113"/>
    </row>
    <row r="118" spans="2:11" x14ac:dyDescent="0.3">
      <c r="D118" s="7"/>
      <c r="E118" s="7"/>
      <c r="F118" s="113"/>
      <c r="G118" s="113"/>
      <c r="H118" s="113"/>
      <c r="I118" s="113"/>
      <c r="J118" s="113"/>
      <c r="K118" s="113"/>
    </row>
    <row r="119" spans="2:11" x14ac:dyDescent="0.3">
      <c r="D119" s="7"/>
      <c r="E119" s="7"/>
      <c r="F119" s="113"/>
      <c r="G119" s="113"/>
      <c r="H119" s="113"/>
      <c r="I119" s="113"/>
      <c r="J119" s="113"/>
      <c r="K119" s="113"/>
    </row>
    <row r="120" spans="2:11" x14ac:dyDescent="0.3">
      <c r="D120" s="7"/>
      <c r="E120" s="7"/>
      <c r="F120" s="113"/>
      <c r="G120" s="113"/>
      <c r="H120" s="113"/>
      <c r="I120" s="113"/>
      <c r="J120" s="113"/>
      <c r="K120" s="113"/>
    </row>
    <row r="121" spans="2:11" x14ac:dyDescent="0.3">
      <c r="D121" s="7"/>
      <c r="E121" s="7"/>
      <c r="F121" s="113"/>
      <c r="G121" s="113"/>
      <c r="H121" s="113"/>
      <c r="I121" s="113"/>
      <c r="J121" s="113"/>
      <c r="K121" s="113"/>
    </row>
    <row r="122" spans="2:11" x14ac:dyDescent="0.3">
      <c r="D122" s="7"/>
      <c r="E122" s="7"/>
      <c r="F122" s="113"/>
      <c r="G122" s="113"/>
      <c r="H122" s="113"/>
      <c r="I122" s="113"/>
      <c r="J122" s="113"/>
      <c r="K122" s="113"/>
    </row>
    <row r="123" spans="2:11" x14ac:dyDescent="0.3">
      <c r="D123" s="7"/>
      <c r="E123" s="7"/>
      <c r="F123" s="113"/>
      <c r="G123" s="113"/>
      <c r="H123" s="113"/>
      <c r="I123" s="113"/>
      <c r="J123" s="113"/>
      <c r="K123" s="113"/>
    </row>
    <row r="124" spans="2:11" x14ac:dyDescent="0.3">
      <c r="D124" s="7"/>
      <c r="E124" s="7"/>
      <c r="F124" s="113"/>
      <c r="G124" s="113"/>
      <c r="H124" s="113"/>
      <c r="I124" s="113"/>
      <c r="J124" s="113"/>
      <c r="K124" s="113"/>
    </row>
    <row r="125" spans="2:11" x14ac:dyDescent="0.3">
      <c r="D125" s="7"/>
      <c r="E125" s="7"/>
      <c r="F125" s="113"/>
      <c r="G125" s="113"/>
      <c r="H125" s="113"/>
      <c r="I125" s="113"/>
      <c r="J125" s="113"/>
      <c r="K125" s="113"/>
    </row>
    <row r="126" spans="2:11" x14ac:dyDescent="0.3">
      <c r="D126" s="7"/>
      <c r="E126" s="7"/>
      <c r="F126" s="113"/>
      <c r="G126" s="113"/>
      <c r="H126" s="113"/>
      <c r="I126" s="113"/>
      <c r="J126" s="113"/>
      <c r="K126" s="113"/>
    </row>
    <row r="127" spans="2:11" x14ac:dyDescent="0.3">
      <c r="D127" s="7"/>
      <c r="E127" s="7"/>
      <c r="F127" s="113"/>
      <c r="G127" s="113"/>
      <c r="H127" s="113"/>
      <c r="I127" s="113"/>
      <c r="J127" s="113"/>
      <c r="K127" s="113"/>
    </row>
    <row r="128" spans="2:11" x14ac:dyDescent="0.3">
      <c r="D128" s="7"/>
      <c r="E128" s="7"/>
      <c r="F128" s="113"/>
      <c r="G128" s="113"/>
      <c r="H128" s="113"/>
      <c r="I128" s="113"/>
      <c r="J128" s="113"/>
      <c r="K128" s="113"/>
    </row>
    <row r="129" spans="2:11" x14ac:dyDescent="0.3">
      <c r="D129" s="7"/>
      <c r="E129" s="7"/>
      <c r="F129" s="113"/>
      <c r="G129" s="113"/>
      <c r="H129" s="113"/>
      <c r="I129" s="113"/>
      <c r="J129" s="113"/>
      <c r="K129" s="113"/>
    </row>
    <row r="130" spans="2:11" x14ac:dyDescent="0.3">
      <c r="D130" s="7"/>
      <c r="E130" s="7"/>
      <c r="F130" s="113"/>
      <c r="G130" s="113"/>
      <c r="H130" s="113"/>
      <c r="I130" s="113"/>
      <c r="J130" s="113"/>
      <c r="K130" s="113"/>
    </row>
    <row r="131" spans="2:11" x14ac:dyDescent="0.3">
      <c r="D131" s="7"/>
      <c r="E131" s="7"/>
      <c r="F131" s="113"/>
      <c r="G131" s="113"/>
      <c r="H131" s="113"/>
      <c r="I131" s="113"/>
      <c r="J131" s="113"/>
      <c r="K131" s="113"/>
    </row>
    <row r="132" spans="2:11" x14ac:dyDescent="0.3">
      <c r="D132" s="7"/>
      <c r="E132" s="7"/>
      <c r="F132" s="113"/>
      <c r="G132" s="113"/>
      <c r="H132" s="113"/>
      <c r="I132" s="113"/>
      <c r="J132" s="113"/>
      <c r="K132" s="113"/>
    </row>
    <row r="133" spans="2:11" x14ac:dyDescent="0.3">
      <c r="D133" s="7"/>
      <c r="E133" s="7"/>
      <c r="F133" s="113"/>
      <c r="G133" s="113"/>
      <c r="H133" s="113"/>
      <c r="I133" s="113"/>
      <c r="J133" s="113"/>
      <c r="K133" s="113"/>
    </row>
    <row r="134" spans="2:11" x14ac:dyDescent="0.3">
      <c r="D134" s="7"/>
      <c r="E134" s="7"/>
      <c r="F134" s="113"/>
      <c r="G134" s="113"/>
      <c r="H134" s="113"/>
      <c r="I134" s="113"/>
      <c r="J134" s="113"/>
      <c r="K134" s="113"/>
    </row>
    <row r="135" spans="2:11" x14ac:dyDescent="0.3">
      <c r="D135" s="7"/>
      <c r="E135" s="7"/>
      <c r="F135" s="113"/>
      <c r="G135" s="113"/>
      <c r="H135" s="113"/>
      <c r="I135" s="113"/>
      <c r="J135" s="113"/>
      <c r="K135" s="113"/>
    </row>
    <row r="136" spans="2:11" x14ac:dyDescent="0.3">
      <c r="B136" s="37" t="s">
        <v>159</v>
      </c>
      <c r="D136" s="7"/>
      <c r="E136" s="7"/>
      <c r="F136" s="113"/>
      <c r="G136" s="113"/>
      <c r="H136" s="113"/>
      <c r="I136" s="113"/>
      <c r="J136" s="113"/>
      <c r="K136" s="113"/>
    </row>
    <row r="137" spans="2:11" x14ac:dyDescent="0.3">
      <c r="D137" s="7"/>
      <c r="E137" s="7"/>
      <c r="F137" s="113"/>
      <c r="G137" s="113"/>
      <c r="H137" s="113"/>
      <c r="I137" s="113"/>
      <c r="J137" s="113"/>
      <c r="K137" s="113"/>
    </row>
    <row r="138" spans="2:11" x14ac:dyDescent="0.3">
      <c r="D138" s="7"/>
      <c r="E138" s="7"/>
      <c r="F138" s="113"/>
      <c r="G138" s="113"/>
      <c r="H138" s="113"/>
      <c r="I138" s="113"/>
      <c r="J138" s="113"/>
      <c r="K138" s="113"/>
    </row>
    <row r="139" spans="2:11" x14ac:dyDescent="0.3">
      <c r="D139" s="7"/>
      <c r="E139" s="7"/>
      <c r="F139" s="113"/>
      <c r="G139" s="113"/>
      <c r="H139" s="113"/>
      <c r="I139" s="113"/>
      <c r="J139" s="113"/>
      <c r="K139" s="113"/>
    </row>
    <row r="140" spans="2:11" x14ac:dyDescent="0.3">
      <c r="D140" s="7"/>
      <c r="E140" s="7"/>
      <c r="F140" s="113"/>
      <c r="G140" s="113"/>
      <c r="H140" s="113"/>
      <c r="I140" s="113"/>
      <c r="J140" s="113"/>
      <c r="K140" s="113"/>
    </row>
    <row r="141" spans="2:11" x14ac:dyDescent="0.3">
      <c r="D141" s="7"/>
      <c r="E141" s="7"/>
      <c r="F141" s="113"/>
      <c r="G141" s="113"/>
      <c r="H141" s="113"/>
      <c r="I141" s="113"/>
      <c r="J141" s="113"/>
      <c r="K141" s="113"/>
    </row>
    <row r="142" spans="2:11" x14ac:dyDescent="0.3">
      <c r="D142" s="7"/>
      <c r="E142" s="7"/>
      <c r="F142" s="113"/>
      <c r="G142" s="113"/>
      <c r="H142" s="113"/>
      <c r="I142" s="113"/>
      <c r="J142" s="113"/>
      <c r="K142" s="113"/>
    </row>
    <row r="143" spans="2:11" x14ac:dyDescent="0.3">
      <c r="D143" s="7"/>
      <c r="E143" s="7"/>
      <c r="F143" s="113"/>
      <c r="G143" s="113"/>
      <c r="H143" s="113"/>
      <c r="I143" s="113"/>
      <c r="J143" s="113"/>
      <c r="K143" s="113"/>
    </row>
    <row r="144" spans="2:11" x14ac:dyDescent="0.3">
      <c r="D144" s="7"/>
      <c r="E144" s="7"/>
      <c r="F144" s="113"/>
      <c r="G144" s="113"/>
      <c r="H144" s="113"/>
      <c r="I144" s="113"/>
      <c r="J144" s="113"/>
      <c r="K144" s="113"/>
    </row>
    <row r="145" spans="2:11" x14ac:dyDescent="0.3">
      <c r="D145" s="7"/>
      <c r="E145" s="7"/>
      <c r="F145" s="113"/>
      <c r="G145" s="113"/>
      <c r="H145" s="113"/>
      <c r="I145" s="113"/>
      <c r="J145" s="113"/>
      <c r="K145" s="113"/>
    </row>
    <row r="146" spans="2:11" x14ac:dyDescent="0.3">
      <c r="D146" s="7"/>
      <c r="E146" s="7"/>
      <c r="F146" s="113"/>
      <c r="G146" s="113"/>
      <c r="H146" s="113"/>
      <c r="I146" s="113"/>
      <c r="J146" s="113"/>
      <c r="K146" s="113"/>
    </row>
    <row r="147" spans="2:11" x14ac:dyDescent="0.3">
      <c r="D147" s="7"/>
      <c r="E147" s="7"/>
      <c r="F147" s="113"/>
      <c r="G147" s="113"/>
      <c r="H147" s="113"/>
      <c r="I147" s="113"/>
      <c r="J147" s="113"/>
      <c r="K147" s="113"/>
    </row>
    <row r="148" spans="2:11" x14ac:dyDescent="0.3">
      <c r="D148" s="7"/>
      <c r="E148" s="7"/>
      <c r="F148" s="113"/>
      <c r="G148" s="113"/>
      <c r="H148" s="113"/>
      <c r="I148" s="113"/>
      <c r="J148" s="113"/>
      <c r="K148" s="113"/>
    </row>
    <row r="149" spans="2:11" x14ac:dyDescent="0.3">
      <c r="D149" s="7"/>
      <c r="E149" s="7"/>
      <c r="F149" s="113"/>
      <c r="G149" s="113"/>
      <c r="H149" s="113"/>
      <c r="I149" s="113"/>
      <c r="J149" s="113"/>
      <c r="K149" s="113"/>
    </row>
    <row r="150" spans="2:11" x14ac:dyDescent="0.3">
      <c r="D150" s="7"/>
      <c r="E150" s="7"/>
      <c r="F150" s="113"/>
      <c r="G150" s="113"/>
      <c r="H150" s="113"/>
      <c r="I150" s="113"/>
      <c r="J150" s="113"/>
      <c r="K150" s="113"/>
    </row>
    <row r="151" spans="2:11" x14ac:dyDescent="0.3">
      <c r="D151" s="7"/>
      <c r="E151" s="7"/>
      <c r="F151" s="113"/>
      <c r="G151" s="113"/>
      <c r="H151" s="113"/>
      <c r="I151" s="113"/>
      <c r="J151" s="113"/>
      <c r="K151" s="113"/>
    </row>
    <row r="152" spans="2:11" x14ac:dyDescent="0.3">
      <c r="D152" s="7"/>
      <c r="E152" s="7"/>
      <c r="F152" s="113"/>
      <c r="G152" s="113"/>
      <c r="H152" s="113"/>
      <c r="I152" s="113"/>
      <c r="J152" s="113"/>
      <c r="K152" s="113"/>
    </row>
    <row r="153" spans="2:11" x14ac:dyDescent="0.3">
      <c r="D153" s="7"/>
      <c r="E153" s="7"/>
      <c r="F153" s="113"/>
      <c r="G153" s="113"/>
      <c r="H153" s="113"/>
      <c r="I153" s="113"/>
      <c r="J153" s="113"/>
      <c r="K153" s="113"/>
    </row>
    <row r="154" spans="2:11" x14ac:dyDescent="0.3">
      <c r="D154" s="7"/>
      <c r="E154" s="7"/>
      <c r="F154" s="113"/>
      <c r="G154" s="113"/>
      <c r="H154" s="113"/>
      <c r="I154" s="113"/>
      <c r="J154" s="113"/>
      <c r="K154" s="113"/>
    </row>
    <row r="155" spans="2:11" x14ac:dyDescent="0.3">
      <c r="D155" s="7"/>
      <c r="E155" s="7"/>
      <c r="F155" s="113"/>
      <c r="G155" s="113"/>
      <c r="H155" s="113"/>
      <c r="I155" s="113"/>
      <c r="J155" s="113"/>
      <c r="K155" s="113"/>
    </row>
    <row r="156" spans="2:11" x14ac:dyDescent="0.3">
      <c r="D156" s="7"/>
      <c r="E156" s="7"/>
      <c r="F156" s="113"/>
      <c r="G156" s="113"/>
      <c r="H156" s="113"/>
      <c r="I156" s="113"/>
      <c r="J156" s="113"/>
      <c r="K156" s="113"/>
    </row>
    <row r="157" spans="2:11" x14ac:dyDescent="0.3">
      <c r="B157" s="37" t="s">
        <v>168</v>
      </c>
      <c r="D157" s="7"/>
      <c r="E157" s="7"/>
      <c r="F157" s="113"/>
      <c r="G157" s="113"/>
      <c r="H157" s="113"/>
      <c r="I157" s="113"/>
      <c r="J157" s="113"/>
      <c r="K157" s="113"/>
    </row>
    <row r="158" spans="2:11" x14ac:dyDescent="0.3">
      <c r="D158" s="7"/>
      <c r="E158" s="7"/>
      <c r="F158" s="113"/>
      <c r="G158" s="113"/>
      <c r="H158" s="113"/>
      <c r="I158" s="113"/>
      <c r="J158" s="113"/>
      <c r="K158" s="113"/>
    </row>
    <row r="159" spans="2:11" x14ac:dyDescent="0.3">
      <c r="D159" s="7"/>
      <c r="E159" s="7"/>
      <c r="F159" s="113"/>
      <c r="G159" s="113"/>
      <c r="H159" s="113"/>
      <c r="I159" s="113"/>
      <c r="J159" s="113"/>
      <c r="K159" s="113"/>
    </row>
    <row r="160" spans="2:11" x14ac:dyDescent="0.3">
      <c r="D160" s="7"/>
      <c r="E160" s="7"/>
      <c r="F160" s="113"/>
      <c r="G160" s="113"/>
      <c r="H160" s="113"/>
      <c r="I160" s="113"/>
      <c r="J160" s="113"/>
      <c r="K160" s="113"/>
    </row>
    <row r="161" spans="4:11" x14ac:dyDescent="0.3">
      <c r="D161" s="7"/>
      <c r="E161" s="7"/>
      <c r="F161" s="113"/>
      <c r="G161" s="113"/>
      <c r="H161" s="113"/>
      <c r="I161" s="113"/>
      <c r="J161" s="113"/>
      <c r="K161" s="113"/>
    </row>
    <row r="162" spans="4:11" x14ac:dyDescent="0.3">
      <c r="D162" s="7"/>
      <c r="E162" s="7"/>
      <c r="F162" s="113"/>
      <c r="G162" s="113"/>
      <c r="H162" s="113"/>
      <c r="I162" s="113"/>
      <c r="J162" s="113"/>
      <c r="K162" s="113"/>
    </row>
    <row r="163" spans="4:11" x14ac:dyDescent="0.3">
      <c r="D163" s="7"/>
      <c r="E163" s="7"/>
      <c r="F163" s="113"/>
      <c r="G163" s="113"/>
      <c r="H163" s="113"/>
      <c r="I163" s="113"/>
      <c r="J163" s="113"/>
      <c r="K163" s="113"/>
    </row>
    <row r="164" spans="4:11" x14ac:dyDescent="0.3">
      <c r="D164" s="7"/>
      <c r="E164" s="7"/>
      <c r="F164" s="113"/>
      <c r="G164" s="113"/>
      <c r="H164" s="113"/>
      <c r="I164" s="113"/>
      <c r="J164" s="113"/>
      <c r="K164" s="113"/>
    </row>
    <row r="165" spans="4:11" x14ac:dyDescent="0.3">
      <c r="D165" s="7"/>
      <c r="E165" s="7"/>
      <c r="F165" s="113"/>
      <c r="G165" s="113"/>
      <c r="H165" s="113"/>
      <c r="I165" s="113"/>
      <c r="J165" s="113"/>
      <c r="K165" s="113"/>
    </row>
    <row r="166" spans="4:11" x14ac:dyDescent="0.3">
      <c r="D166" s="7"/>
      <c r="E166" s="7"/>
      <c r="F166" s="113"/>
      <c r="G166" s="113"/>
      <c r="H166" s="113"/>
      <c r="I166" s="113"/>
      <c r="J166" s="113"/>
      <c r="K166" s="113"/>
    </row>
    <row r="167" spans="4:11" x14ac:dyDescent="0.3">
      <c r="D167" s="7"/>
      <c r="E167" s="7"/>
      <c r="F167" s="113"/>
      <c r="G167" s="113"/>
      <c r="H167" s="113"/>
      <c r="I167" s="113"/>
      <c r="J167" s="113"/>
      <c r="K167" s="113"/>
    </row>
    <row r="168" spans="4:11" x14ac:dyDescent="0.3">
      <c r="D168" s="7"/>
      <c r="E168" s="7"/>
      <c r="F168" s="113"/>
      <c r="G168" s="113"/>
      <c r="H168" s="113"/>
      <c r="I168" s="113"/>
      <c r="J168" s="113"/>
      <c r="K168" s="113"/>
    </row>
    <row r="169" spans="4:11" x14ac:dyDescent="0.3">
      <c r="D169" s="7"/>
      <c r="E169" s="7"/>
      <c r="F169" s="113"/>
      <c r="G169" s="113"/>
      <c r="H169" s="113"/>
      <c r="I169" s="113"/>
      <c r="J169" s="113"/>
      <c r="K169" s="113"/>
    </row>
    <row r="170" spans="4:11" x14ac:dyDescent="0.3">
      <c r="D170" s="7"/>
      <c r="E170" s="7"/>
      <c r="F170" s="113"/>
      <c r="G170" s="113"/>
      <c r="H170" s="113"/>
      <c r="I170" s="113"/>
      <c r="J170" s="113"/>
      <c r="K170" s="113"/>
    </row>
    <row r="171" spans="4:11" x14ac:dyDescent="0.3">
      <c r="D171" s="7"/>
      <c r="E171" s="7"/>
      <c r="F171" s="113"/>
      <c r="G171" s="113"/>
      <c r="H171" s="113"/>
      <c r="I171" s="113"/>
      <c r="J171" s="113"/>
      <c r="K171" s="113"/>
    </row>
    <row r="172" spans="4:11" x14ac:dyDescent="0.3">
      <c r="D172" s="7"/>
      <c r="E172" s="7"/>
      <c r="F172" s="113"/>
      <c r="G172" s="113"/>
      <c r="H172" s="113"/>
      <c r="I172" s="113"/>
      <c r="J172" s="113"/>
      <c r="K172" s="113"/>
    </row>
    <row r="173" spans="4:11" x14ac:dyDescent="0.3">
      <c r="D173" s="7"/>
      <c r="E173" s="7"/>
      <c r="F173" s="113"/>
      <c r="G173" s="113"/>
      <c r="H173" s="113"/>
      <c r="I173" s="113"/>
      <c r="J173" s="113"/>
      <c r="K173" s="113"/>
    </row>
    <row r="174" spans="4:11" x14ac:dyDescent="0.3">
      <c r="D174" s="7"/>
      <c r="E174" s="7"/>
      <c r="F174" s="113"/>
      <c r="G174" s="113"/>
      <c r="H174" s="113"/>
      <c r="I174" s="113"/>
      <c r="J174" s="113"/>
      <c r="K174" s="113"/>
    </row>
    <row r="175" spans="4:11" x14ac:dyDescent="0.3">
      <c r="D175" s="7"/>
      <c r="E175" s="7"/>
      <c r="F175" s="113"/>
      <c r="G175" s="113"/>
      <c r="H175" s="113"/>
      <c r="I175" s="113"/>
      <c r="J175" s="113"/>
      <c r="K175" s="113"/>
    </row>
    <row r="176" spans="4:11" x14ac:dyDescent="0.3">
      <c r="D176" s="7"/>
      <c r="E176" s="7"/>
      <c r="F176" s="113"/>
      <c r="G176" s="113"/>
      <c r="H176" s="113"/>
      <c r="I176" s="113"/>
      <c r="J176" s="113"/>
      <c r="K176" s="113"/>
    </row>
    <row r="177" spans="2:11" x14ac:dyDescent="0.3">
      <c r="D177" s="7"/>
      <c r="E177" s="7"/>
      <c r="F177" s="113"/>
      <c r="G177" s="113"/>
      <c r="H177" s="113"/>
      <c r="I177" s="113"/>
      <c r="J177" s="113"/>
      <c r="K177" s="113"/>
    </row>
    <row r="178" spans="2:11" x14ac:dyDescent="0.3">
      <c r="B178" s="37" t="s">
        <v>302</v>
      </c>
    </row>
    <row r="179" spans="2:11" x14ac:dyDescent="0.3">
      <c r="E179" s="29"/>
    </row>
    <row r="199" spans="2:2" x14ac:dyDescent="0.3">
      <c r="B199" s="37" t="s">
        <v>268</v>
      </c>
    </row>
    <row r="218" spans="2:2" x14ac:dyDescent="0.3">
      <c r="B218" s="37" t="s">
        <v>208</v>
      </c>
    </row>
  </sheetData>
  <mergeCells count="1">
    <mergeCell ref="A1:B1"/>
  </mergeCells>
  <conditionalFormatting sqref="D3">
    <cfRule type="cellIs" dxfId="67" priority="51" operator="greaterThan">
      <formula>$C3</formula>
    </cfRule>
  </conditionalFormatting>
  <conditionalFormatting sqref="D12">
    <cfRule type="cellIs" dxfId="66" priority="49" operator="lessThan">
      <formula>$C12</formula>
    </cfRule>
  </conditionalFormatting>
  <conditionalFormatting sqref="D15:G15 K15">
    <cfRule type="cellIs" dxfId="65" priority="47" operator="greaterThan">
      <formula>$C$15</formula>
    </cfRule>
  </conditionalFormatting>
  <conditionalFormatting sqref="E3:G3 K3">
    <cfRule type="cellIs" dxfId="64" priority="43" operator="greaterThan">
      <formula>$C3</formula>
    </cfRule>
  </conditionalFormatting>
  <conditionalFormatting sqref="D51:G51 K51">
    <cfRule type="cellIs" dxfId="63" priority="42" operator="greaterThan">
      <formula>$C51</formula>
    </cfRule>
  </conditionalFormatting>
  <conditionalFormatting sqref="D62:G62 K62">
    <cfRule type="cellIs" dxfId="62" priority="41" operator="greaterThan">
      <formula>$C62</formula>
    </cfRule>
  </conditionalFormatting>
  <conditionalFormatting sqref="D64:G64 K64">
    <cfRule type="cellIs" dxfId="61" priority="40" operator="greaterThan">
      <formula>$C64</formula>
    </cfRule>
  </conditionalFormatting>
  <conditionalFormatting sqref="E12:G12 K12">
    <cfRule type="cellIs" dxfId="60" priority="39" operator="lessThan">
      <formula>$C12</formula>
    </cfRule>
  </conditionalFormatting>
  <conditionalFormatting sqref="D76:G77">
    <cfRule type="cellIs" dxfId="59" priority="38" operator="lessThan">
      <formula>$C76</formula>
    </cfRule>
  </conditionalFormatting>
  <conditionalFormatting sqref="E76:G77 K76:K77">
    <cfRule type="cellIs" dxfId="58" priority="37" operator="lessThan">
      <formula>$C76</formula>
    </cfRule>
  </conditionalFormatting>
  <conditionalFormatting sqref="D65 E65:G66 K65:K66">
    <cfRule type="expression" dxfId="57" priority="28">
      <formula>D$65+D$66&gt;=$C$66</formula>
    </cfRule>
  </conditionalFormatting>
  <conditionalFormatting sqref="D66">
    <cfRule type="expression" dxfId="56" priority="26">
      <formula>D$65+D$66&gt;=$C$66</formula>
    </cfRule>
  </conditionalFormatting>
  <conditionalFormatting sqref="H15">
    <cfRule type="cellIs" dxfId="55" priority="24" operator="greaterThan">
      <formula>$C$15</formula>
    </cfRule>
  </conditionalFormatting>
  <conditionalFormatting sqref="H3">
    <cfRule type="cellIs" dxfId="54" priority="23" operator="greaterThan">
      <formula>$C3</formula>
    </cfRule>
  </conditionalFormatting>
  <conditionalFormatting sqref="H51">
    <cfRule type="cellIs" dxfId="53" priority="22" operator="greaterThan">
      <formula>$C51</formula>
    </cfRule>
  </conditionalFormatting>
  <conditionalFormatting sqref="H62">
    <cfRule type="cellIs" dxfId="52" priority="21" operator="greaterThan">
      <formula>$C62</formula>
    </cfRule>
  </conditionalFormatting>
  <conditionalFormatting sqref="H64">
    <cfRule type="cellIs" dxfId="51" priority="20" operator="greaterThan">
      <formula>$C64</formula>
    </cfRule>
  </conditionalFormatting>
  <conditionalFormatting sqref="H12">
    <cfRule type="cellIs" dxfId="50" priority="19" operator="lessThan">
      <formula>$C12</formula>
    </cfRule>
  </conditionalFormatting>
  <conditionalFormatting sqref="H76:H77">
    <cfRule type="cellIs" dxfId="49" priority="18" operator="lessThan">
      <formula>$C76</formula>
    </cfRule>
  </conditionalFormatting>
  <conditionalFormatting sqref="H65:H66">
    <cfRule type="expression" dxfId="48" priority="17">
      <formula>H$65+H$66&gt;=$C$66</formula>
    </cfRule>
  </conditionalFormatting>
  <conditionalFormatting sqref="I15">
    <cfRule type="cellIs" dxfId="47" priority="16" operator="greaterThan">
      <formula>$C$15</formula>
    </cfRule>
  </conditionalFormatting>
  <conditionalFormatting sqref="I3">
    <cfRule type="cellIs" dxfId="46" priority="15" operator="greaterThan">
      <formula>$C3</formula>
    </cfRule>
  </conditionalFormatting>
  <conditionalFormatting sqref="I51">
    <cfRule type="cellIs" dxfId="45" priority="14" operator="greaterThan">
      <formula>$C51</formula>
    </cfRule>
  </conditionalFormatting>
  <conditionalFormatting sqref="I62">
    <cfRule type="cellIs" dxfId="44" priority="13" operator="greaterThan">
      <formula>$C62</formula>
    </cfRule>
  </conditionalFormatting>
  <conditionalFormatting sqref="I64">
    <cfRule type="cellIs" dxfId="43" priority="12" operator="greaterThan">
      <formula>$C64</formula>
    </cfRule>
  </conditionalFormatting>
  <conditionalFormatting sqref="I12">
    <cfRule type="cellIs" dxfId="42" priority="11" operator="lessThan">
      <formula>$C12</formula>
    </cfRule>
  </conditionalFormatting>
  <conditionalFormatting sqref="I76:I77">
    <cfRule type="cellIs" dxfId="41" priority="10" operator="lessThan">
      <formula>$C76</formula>
    </cfRule>
  </conditionalFormatting>
  <conditionalFormatting sqref="I65:I66">
    <cfRule type="expression" dxfId="40" priority="9">
      <formula>I$65+I$66&gt;=$C$66</formula>
    </cfRule>
  </conditionalFormatting>
  <conditionalFormatting sqref="J15">
    <cfRule type="cellIs" dxfId="39" priority="8" operator="greaterThan">
      <formula>$C$15</formula>
    </cfRule>
  </conditionalFormatting>
  <conditionalFormatting sqref="J3">
    <cfRule type="cellIs" dxfId="38" priority="7" operator="greaterThan">
      <formula>$C3</formula>
    </cfRule>
  </conditionalFormatting>
  <conditionalFormatting sqref="J51">
    <cfRule type="cellIs" dxfId="37" priority="6" operator="greaterThan">
      <formula>$C51</formula>
    </cfRule>
  </conditionalFormatting>
  <conditionalFormatting sqref="J62">
    <cfRule type="cellIs" dxfId="36" priority="5" operator="greaterThan">
      <formula>$C62</formula>
    </cfRule>
  </conditionalFormatting>
  <conditionalFormatting sqref="J64">
    <cfRule type="cellIs" dxfId="35" priority="4" operator="greaterThan">
      <formula>$C64</formula>
    </cfRule>
  </conditionalFormatting>
  <conditionalFormatting sqref="J12">
    <cfRule type="cellIs" dxfId="34" priority="3" operator="lessThan">
      <formula>$C12</formula>
    </cfRule>
  </conditionalFormatting>
  <conditionalFormatting sqref="J76:J77">
    <cfRule type="cellIs" dxfId="33" priority="2" operator="lessThan">
      <formula>$C76</formula>
    </cfRule>
  </conditionalFormatting>
  <conditionalFormatting sqref="J65:J66">
    <cfRule type="expression" dxfId="32" priority="1">
      <formula>J$65+J$66&gt;=$C$66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Entrate_Uscite</vt:lpstr>
      <vt:lpstr>Tav_Entrate</vt:lpstr>
      <vt:lpstr>Tav_Uscite</vt:lpstr>
      <vt:lpstr>Tav_Saldi</vt:lpstr>
      <vt:lpstr>Risultato_amministrazione</vt:lpstr>
      <vt:lpstr>Conto_economico</vt:lpstr>
      <vt:lpstr>Tav_contoeconomico</vt:lpstr>
      <vt:lpstr>Stato_patrimoniale</vt:lpstr>
      <vt:lpstr>Piano_indicatori</vt:lpstr>
      <vt:lpstr>Tav_indicatori</vt:lpstr>
      <vt:lpstr>Popolazione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</dc:creator>
  <cp:lastModifiedBy>Franco</cp:lastModifiedBy>
  <dcterms:created xsi:type="dcterms:W3CDTF">2019-02-06T21:02:13Z</dcterms:created>
  <dcterms:modified xsi:type="dcterms:W3CDTF">2024-12-27T12:04:56Z</dcterms:modified>
</cp:coreProperties>
</file>