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6" activeTab="10"/>
  </bookViews>
  <sheets>
    <sheet name="Entrate_Uscite" sheetId="2" r:id="rId1"/>
    <sheet name="Tav_Entrate" sheetId="7" r:id="rId2"/>
    <sheet name="Tav_Uscite" sheetId="8" r:id="rId3"/>
    <sheet name="Tav_Saldi" sheetId="9" r:id="rId4"/>
    <sheet name="Missione12_Programmi" sheetId="14" r:id="rId5"/>
    <sheet name="Missione12_Macroaggregati" sheetId="15" r:id="rId6"/>
    <sheet name="Risultato_amministrazione" sheetId="1" r:id="rId7"/>
    <sheet name="Conto_economico" sheetId="6" r:id="rId8"/>
    <sheet name="Tav_contoeconomico" sheetId="10" r:id="rId9"/>
    <sheet name="Stato_patrimoniale" sheetId="5" r:id="rId10"/>
    <sheet name="Piano_indicatori" sheetId="4" r:id="rId11"/>
    <sheet name="Tav_indicatori" sheetId="12" r:id="rId12"/>
    <sheet name="Popolazione" sheetId="13" r:id="rId13"/>
  </sheets>
  <calcPr calcId="152511"/>
</workbook>
</file>

<file path=xl/calcChain.xml><?xml version="1.0" encoding="utf-8"?>
<calcChain xmlns="http://schemas.openxmlformats.org/spreadsheetml/2006/main">
  <c r="L2" i="10" l="1"/>
  <c r="K9" i="12" l="1"/>
  <c r="K8" i="12"/>
  <c r="K7" i="12"/>
  <c r="K6" i="12"/>
  <c r="K5" i="12"/>
  <c r="K4" i="12"/>
  <c r="K3" i="12"/>
  <c r="K2" i="12"/>
  <c r="H6" i="9"/>
  <c r="H5" i="9"/>
  <c r="H4" i="9"/>
  <c r="H3" i="9"/>
  <c r="H2" i="9"/>
  <c r="H29" i="8"/>
  <c r="H28" i="8"/>
  <c r="K28" i="8" s="1"/>
  <c r="H26" i="8"/>
  <c r="K26" i="8" s="1"/>
  <c r="H25" i="8"/>
  <c r="K25" i="8" s="1"/>
  <c r="H24" i="8"/>
  <c r="H23" i="8"/>
  <c r="K23" i="8" s="1"/>
  <c r="H22" i="8"/>
  <c r="K22" i="8" s="1"/>
  <c r="H19" i="8"/>
  <c r="H18" i="8"/>
  <c r="H17" i="8"/>
  <c r="K17" i="8" s="1"/>
  <c r="H16" i="8"/>
  <c r="H14" i="8"/>
  <c r="H13" i="8"/>
  <c r="K13" i="8" s="1"/>
  <c r="H12" i="8"/>
  <c r="H11" i="8"/>
  <c r="H9" i="8"/>
  <c r="H8" i="8"/>
  <c r="H7" i="8"/>
  <c r="K7" i="8" s="1"/>
  <c r="H6" i="8"/>
  <c r="H5" i="8"/>
  <c r="H4" i="8"/>
  <c r="H3" i="8"/>
  <c r="H2" i="8"/>
  <c r="K8" i="7"/>
  <c r="H19" i="7"/>
  <c r="H18" i="7"/>
  <c r="K18" i="7" s="1"/>
  <c r="H17" i="7"/>
  <c r="K17" i="7" s="1"/>
  <c r="H14" i="7"/>
  <c r="H13" i="7"/>
  <c r="K13" i="7" s="1"/>
  <c r="H12" i="7"/>
  <c r="K12" i="7" s="1"/>
  <c r="H10" i="7"/>
  <c r="H9" i="7"/>
  <c r="H8" i="7"/>
  <c r="H7" i="7"/>
  <c r="H6" i="7"/>
  <c r="K6" i="7" s="1"/>
  <c r="H4" i="7"/>
  <c r="H3" i="7"/>
  <c r="H2" i="7"/>
  <c r="W53" i="2"/>
  <c r="X52" i="2"/>
  <c r="W52" i="2"/>
  <c r="X51" i="2"/>
  <c r="AA51" i="2" s="1"/>
  <c r="W51" i="2"/>
  <c r="X50" i="2"/>
  <c r="W50" i="2"/>
  <c r="X49" i="2"/>
  <c r="W49" i="2"/>
  <c r="X48" i="2"/>
  <c r="X54" i="2" s="1"/>
  <c r="W48" i="2"/>
  <c r="W54" i="2" s="1"/>
  <c r="X16" i="2"/>
  <c r="W16" i="2"/>
  <c r="X15" i="2"/>
  <c r="W15" i="2"/>
  <c r="X14" i="2"/>
  <c r="X20" i="2" s="1"/>
  <c r="W14" i="2"/>
  <c r="W20" i="2" s="1"/>
  <c r="AA57" i="2"/>
  <c r="Z57" i="2"/>
  <c r="AA53" i="2"/>
  <c r="Z53" i="2"/>
  <c r="AA52" i="2"/>
  <c r="Z52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19" i="2"/>
  <c r="Z19" i="2"/>
  <c r="AA18" i="2"/>
  <c r="Z18" i="2"/>
  <c r="AA17" i="2"/>
  <c r="Z17" i="2"/>
  <c r="AA16" i="2"/>
  <c r="Z16" i="2"/>
  <c r="AA15" i="2"/>
  <c r="Z15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5" i="8" l="1"/>
  <c r="H5" i="7"/>
  <c r="H10" i="8"/>
  <c r="H27" i="8"/>
  <c r="H20" i="8"/>
  <c r="H30" i="8"/>
  <c r="H15" i="7"/>
  <c r="H11" i="7"/>
  <c r="W55" i="2"/>
  <c r="Z55" i="2" s="1"/>
  <c r="Z54" i="2"/>
  <c r="X21" i="2"/>
  <c r="AA21" i="2" s="1"/>
  <c r="AA20" i="2"/>
  <c r="X55" i="2"/>
  <c r="AA55" i="2" s="1"/>
  <c r="AA54" i="2"/>
  <c r="W21" i="2"/>
  <c r="Z21" i="2" s="1"/>
  <c r="Z20" i="2"/>
  <c r="AA14" i="2"/>
  <c r="H31" i="8" l="1"/>
  <c r="H21" i="8"/>
  <c r="H20" i="7"/>
  <c r="H16" i="7"/>
  <c r="T53" i="2"/>
  <c r="V53" i="2" s="1"/>
  <c r="U52" i="2"/>
  <c r="T52" i="2"/>
  <c r="V52" i="2" s="1"/>
  <c r="U51" i="2"/>
  <c r="T51" i="2"/>
  <c r="V51" i="2" s="1"/>
  <c r="U50" i="2"/>
  <c r="T50" i="2"/>
  <c r="V50" i="2" s="1"/>
  <c r="V49" i="2"/>
  <c r="U49" i="2"/>
  <c r="T49" i="2"/>
  <c r="U48" i="2"/>
  <c r="U54" i="2" s="1"/>
  <c r="U55" i="2" s="1"/>
  <c r="T48" i="2"/>
  <c r="V48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U62" i="2" s="1"/>
  <c r="T16" i="2"/>
  <c r="T62" i="2" s="1"/>
  <c r="U15" i="2"/>
  <c r="U57" i="2" s="1"/>
  <c r="T15" i="2"/>
  <c r="V15" i="2" s="1"/>
  <c r="V14" i="2"/>
  <c r="U14" i="2"/>
  <c r="U63" i="2" s="1"/>
  <c r="T14" i="2"/>
  <c r="T63" i="2" s="1"/>
  <c r="V13" i="2"/>
  <c r="V12" i="2"/>
  <c r="V11" i="2"/>
  <c r="V10" i="2"/>
  <c r="V9" i="2"/>
  <c r="V8" i="2"/>
  <c r="V7" i="2"/>
  <c r="V6" i="2"/>
  <c r="V5" i="2"/>
  <c r="V4" i="2"/>
  <c r="V3" i="2"/>
  <c r="K27" i="5"/>
  <c r="K26" i="5"/>
  <c r="K13" i="5"/>
  <c r="K15" i="10"/>
  <c r="K13" i="10"/>
  <c r="K12" i="10"/>
  <c r="K11" i="10"/>
  <c r="K9" i="10"/>
  <c r="K8" i="10"/>
  <c r="K7" i="10"/>
  <c r="K6" i="10"/>
  <c r="K5" i="10"/>
  <c r="K4" i="10"/>
  <c r="K3" i="10"/>
  <c r="K2" i="10"/>
  <c r="K10" i="10" s="1"/>
  <c r="K14" i="10" s="1"/>
  <c r="K16" i="10" s="1"/>
  <c r="N27" i="6"/>
  <c r="N26" i="6"/>
  <c r="N25" i="6"/>
  <c r="N24" i="6"/>
  <c r="N23" i="6"/>
  <c r="N22" i="6"/>
  <c r="N20" i="6"/>
  <c r="N19" i="6"/>
  <c r="N18" i="6"/>
  <c r="N17" i="6"/>
  <c r="N16" i="6"/>
  <c r="N15" i="6"/>
  <c r="N14" i="6"/>
  <c r="N13" i="6"/>
  <c r="N12" i="6"/>
  <c r="N11" i="6"/>
  <c r="N9" i="6"/>
  <c r="N8" i="6"/>
  <c r="N7" i="6"/>
  <c r="N6" i="6"/>
  <c r="N5" i="6"/>
  <c r="N4" i="6"/>
  <c r="N3" i="6"/>
  <c r="N2" i="6"/>
  <c r="L21" i="6"/>
  <c r="L10" i="6"/>
  <c r="L29" i="6" s="1"/>
  <c r="K6" i="1"/>
  <c r="J23" i="1"/>
  <c r="J19" i="1"/>
  <c r="J13" i="1"/>
  <c r="J7" i="1"/>
  <c r="J21" i="1" s="1"/>
  <c r="I17" i="15"/>
  <c r="I16" i="15"/>
  <c r="I15" i="15"/>
  <c r="J17" i="15" s="1"/>
  <c r="H114" i="14"/>
  <c r="H112" i="14"/>
  <c r="H113" i="14"/>
  <c r="H110" i="14"/>
  <c r="H111" i="14"/>
  <c r="H109" i="14"/>
  <c r="H108" i="14"/>
  <c r="H107" i="14"/>
  <c r="H106" i="14"/>
  <c r="C24" i="14"/>
  <c r="B24" i="14"/>
  <c r="F25" i="14" s="1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K28" i="5" l="1"/>
  <c r="H21" i="7"/>
  <c r="V16" i="2"/>
  <c r="T56" i="2"/>
  <c r="U60" i="2"/>
  <c r="U56" i="2"/>
  <c r="U61" i="2"/>
  <c r="T20" i="2"/>
  <c r="T54" i="2"/>
  <c r="T57" i="2"/>
  <c r="U20" i="2"/>
  <c r="U21" i="2" s="1"/>
  <c r="U59" i="2" s="1"/>
  <c r="T58" i="2"/>
  <c r="U58" i="2"/>
  <c r="L28" i="6"/>
  <c r="J5" i="15"/>
  <c r="J4" i="15"/>
  <c r="J6" i="15"/>
  <c r="J10" i="15"/>
  <c r="J11" i="15"/>
  <c r="J12" i="15"/>
  <c r="J2" i="15"/>
  <c r="J13" i="15"/>
  <c r="J3" i="15"/>
  <c r="J14" i="15"/>
  <c r="I18" i="15"/>
  <c r="J8" i="15"/>
  <c r="J16" i="15"/>
  <c r="J7" i="15"/>
  <c r="J15" i="15"/>
  <c r="J9" i="15"/>
  <c r="H115" i="14"/>
  <c r="D24" i="14"/>
  <c r="E24" i="14"/>
  <c r="E3" i="13"/>
  <c r="E4" i="13"/>
  <c r="T55" i="2" l="1"/>
  <c r="V55" i="2" s="1"/>
  <c r="V54" i="2"/>
  <c r="T21" i="2"/>
  <c r="V20" i="2"/>
  <c r="G3" i="13"/>
  <c r="G4" i="13"/>
  <c r="V21" i="2" l="1"/>
  <c r="T59" i="2"/>
  <c r="H17" i="15"/>
  <c r="G17" i="15"/>
  <c r="F17" i="15"/>
  <c r="E17" i="15"/>
  <c r="D17" i="15"/>
  <c r="C17" i="15"/>
  <c r="B17" i="15"/>
  <c r="H16" i="15"/>
  <c r="G16" i="15"/>
  <c r="F16" i="15"/>
  <c r="E16" i="15"/>
  <c r="D16" i="15"/>
  <c r="C16" i="15"/>
  <c r="B16" i="15"/>
  <c r="H15" i="15"/>
  <c r="G15" i="15"/>
  <c r="F15" i="15"/>
  <c r="E15" i="15"/>
  <c r="D15" i="15"/>
  <c r="C15" i="15"/>
  <c r="B15" i="15"/>
  <c r="I114" i="14"/>
  <c r="G114" i="14"/>
  <c r="F114" i="14"/>
  <c r="E114" i="14"/>
  <c r="D114" i="14"/>
  <c r="C114" i="14"/>
  <c r="B114" i="14"/>
  <c r="I112" i="14"/>
  <c r="G112" i="14"/>
  <c r="F112" i="14"/>
  <c r="E112" i="14"/>
  <c r="D112" i="14"/>
  <c r="C112" i="14"/>
  <c r="B112" i="14"/>
  <c r="I113" i="14"/>
  <c r="G113" i="14"/>
  <c r="F113" i="14"/>
  <c r="E113" i="14"/>
  <c r="D113" i="14"/>
  <c r="C113" i="14"/>
  <c r="B113" i="14"/>
  <c r="I110" i="14"/>
  <c r="G110" i="14"/>
  <c r="F110" i="14"/>
  <c r="E110" i="14"/>
  <c r="D110" i="14"/>
  <c r="C110" i="14"/>
  <c r="B110" i="14"/>
  <c r="I111" i="14"/>
  <c r="G111" i="14"/>
  <c r="F111" i="14"/>
  <c r="E111" i="14"/>
  <c r="D111" i="14"/>
  <c r="C111" i="14"/>
  <c r="B111" i="14"/>
  <c r="I109" i="14"/>
  <c r="G109" i="14"/>
  <c r="F109" i="14"/>
  <c r="E109" i="14"/>
  <c r="D109" i="14"/>
  <c r="C109" i="14"/>
  <c r="B109" i="14"/>
  <c r="I108" i="14"/>
  <c r="G108" i="14"/>
  <c r="F108" i="14"/>
  <c r="E108" i="14"/>
  <c r="D108" i="14"/>
  <c r="C108" i="14"/>
  <c r="B108" i="14"/>
  <c r="I107" i="14"/>
  <c r="G107" i="14"/>
  <c r="F107" i="14"/>
  <c r="E107" i="14"/>
  <c r="E115" i="14" s="1"/>
  <c r="D107" i="14"/>
  <c r="C107" i="14"/>
  <c r="B107" i="14"/>
  <c r="I106" i="14"/>
  <c r="G106" i="14"/>
  <c r="F106" i="14"/>
  <c r="E106" i="14"/>
  <c r="D106" i="14"/>
  <c r="D115" i="14" s="1"/>
  <c r="C106" i="14"/>
  <c r="B106" i="14"/>
  <c r="C102" i="14"/>
  <c r="B102" i="14"/>
  <c r="F103" i="14" s="1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C89" i="14"/>
  <c r="E89" i="14" s="1"/>
  <c r="B89" i="14"/>
  <c r="F89" i="14" s="1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C76" i="14"/>
  <c r="B76" i="14"/>
  <c r="F77" i="14" s="1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C63" i="14"/>
  <c r="B63" i="14"/>
  <c r="F63" i="14" s="1"/>
  <c r="E62" i="14"/>
  <c r="D62" i="14"/>
  <c r="E61" i="14"/>
  <c r="D61" i="14"/>
  <c r="E60" i="14"/>
  <c r="D60" i="14"/>
  <c r="F59" i="14"/>
  <c r="E59" i="14"/>
  <c r="D59" i="14"/>
  <c r="E58" i="14"/>
  <c r="D58" i="14"/>
  <c r="F57" i="14"/>
  <c r="E57" i="14"/>
  <c r="D57" i="14"/>
  <c r="F56" i="14"/>
  <c r="E56" i="14"/>
  <c r="D56" i="14"/>
  <c r="E55" i="14"/>
  <c r="D55" i="14"/>
  <c r="F54" i="14"/>
  <c r="E54" i="14"/>
  <c r="D54" i="14"/>
  <c r="C50" i="14"/>
  <c r="B50" i="14"/>
  <c r="F51" i="14" s="1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C37" i="14"/>
  <c r="B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C11" i="14"/>
  <c r="B11" i="14"/>
  <c r="E10" i="14"/>
  <c r="D10" i="14"/>
  <c r="F9" i="14"/>
  <c r="E9" i="14"/>
  <c r="D9" i="14"/>
  <c r="E8" i="14"/>
  <c r="D8" i="14"/>
  <c r="F7" i="14"/>
  <c r="E7" i="14"/>
  <c r="D7" i="14"/>
  <c r="E6" i="14"/>
  <c r="D6" i="14"/>
  <c r="F5" i="14"/>
  <c r="E5" i="14"/>
  <c r="D5" i="14"/>
  <c r="E4" i="14"/>
  <c r="D4" i="14"/>
  <c r="F3" i="14"/>
  <c r="E3" i="14"/>
  <c r="D3" i="14"/>
  <c r="E2" i="14"/>
  <c r="D2" i="14"/>
  <c r="F94" i="14" l="1"/>
  <c r="F68" i="14"/>
  <c r="F62" i="14"/>
  <c r="F88" i="14"/>
  <c r="E63" i="14"/>
  <c r="E37" i="14"/>
  <c r="F55" i="14"/>
  <c r="F98" i="14"/>
  <c r="F115" i="14"/>
  <c r="F60" i="14"/>
  <c r="F58" i="14"/>
  <c r="B115" i="14"/>
  <c r="C115" i="14"/>
  <c r="F72" i="14"/>
  <c r="G115" i="14"/>
  <c r="F61" i="14"/>
  <c r="I115" i="14"/>
  <c r="F49" i="14"/>
  <c r="F21" i="14"/>
  <c r="F23" i="14"/>
  <c r="F15" i="14"/>
  <c r="F17" i="14"/>
  <c r="F22" i="14"/>
  <c r="F16" i="14"/>
  <c r="F18" i="14"/>
  <c r="F20" i="14"/>
  <c r="F19" i="14"/>
  <c r="F24" i="14"/>
  <c r="B18" i="15"/>
  <c r="D18" i="15"/>
  <c r="F18" i="15"/>
  <c r="H18" i="15"/>
  <c r="F37" i="14"/>
  <c r="F38" i="14"/>
  <c r="F64" i="14"/>
  <c r="F70" i="14"/>
  <c r="F74" i="14"/>
  <c r="F90" i="14"/>
  <c r="F96" i="14"/>
  <c r="F100" i="14"/>
  <c r="C18" i="15"/>
  <c r="E18" i="15"/>
  <c r="G18" i="15"/>
  <c r="D11" i="14"/>
  <c r="F11" i="14"/>
  <c r="F28" i="14"/>
  <c r="F30" i="14"/>
  <c r="F32" i="14"/>
  <c r="F34" i="14"/>
  <c r="F36" i="14"/>
  <c r="F42" i="14"/>
  <c r="F44" i="14"/>
  <c r="F46" i="14"/>
  <c r="F48" i="14"/>
  <c r="D50" i="14"/>
  <c r="F50" i="14"/>
  <c r="D76" i="14"/>
  <c r="F76" i="14"/>
  <c r="D102" i="14"/>
  <c r="F102" i="14"/>
  <c r="F2" i="14"/>
  <c r="F4" i="14"/>
  <c r="F6" i="14"/>
  <c r="F8" i="14"/>
  <c r="F10" i="14"/>
  <c r="E11" i="14"/>
  <c r="F12" i="14"/>
  <c r="F29" i="14"/>
  <c r="F31" i="14"/>
  <c r="F33" i="14"/>
  <c r="F35" i="14"/>
  <c r="D37" i="14"/>
  <c r="F41" i="14"/>
  <c r="F43" i="14"/>
  <c r="F45" i="14"/>
  <c r="F47" i="14"/>
  <c r="E50" i="14"/>
  <c r="D63" i="14"/>
  <c r="F67" i="14"/>
  <c r="F69" i="14"/>
  <c r="F71" i="14"/>
  <c r="F73" i="14"/>
  <c r="F75" i="14"/>
  <c r="E76" i="14"/>
  <c r="D89" i="14"/>
  <c r="F93" i="14"/>
  <c r="F95" i="14"/>
  <c r="F97" i="14"/>
  <c r="F99" i="14"/>
  <c r="F101" i="14"/>
  <c r="E102" i="14"/>
  <c r="G5" i="13"/>
  <c r="J9" i="12" l="1"/>
  <c r="J8" i="12"/>
  <c r="J7" i="12"/>
  <c r="J6" i="12"/>
  <c r="J5" i="12"/>
  <c r="J4" i="12"/>
  <c r="J3" i="12"/>
  <c r="J2" i="12"/>
  <c r="G26" i="8" l="1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Q53" i="2"/>
  <c r="R52" i="2"/>
  <c r="Q52" i="2"/>
  <c r="R51" i="2"/>
  <c r="Q51" i="2"/>
  <c r="R50" i="2"/>
  <c r="Q50" i="2"/>
  <c r="R49" i="2"/>
  <c r="Q49" i="2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J27" i="5"/>
  <c r="J26" i="5"/>
  <c r="J13" i="5"/>
  <c r="J15" i="10"/>
  <c r="J13" i="10"/>
  <c r="J12" i="10"/>
  <c r="J11" i="10"/>
  <c r="J8" i="10"/>
  <c r="J7" i="10"/>
  <c r="J6" i="10"/>
  <c r="J4" i="10"/>
  <c r="J3" i="10"/>
  <c r="K21" i="6"/>
  <c r="J5" i="10" s="1"/>
  <c r="K10" i="6"/>
  <c r="K29" i="6" s="1"/>
  <c r="J9" i="10" s="1"/>
  <c r="I23" i="1"/>
  <c r="I19" i="1"/>
  <c r="I13" i="1"/>
  <c r="I7" i="1"/>
  <c r="J28" i="5" l="1"/>
  <c r="Q20" i="2"/>
  <c r="Q21" i="2" s="1"/>
  <c r="Q57" i="2"/>
  <c r="Q62" i="2"/>
  <c r="G4" i="9"/>
  <c r="Q54" i="2"/>
  <c r="S54" i="2" s="1"/>
  <c r="S50" i="2"/>
  <c r="S52" i="2"/>
  <c r="G28" i="8"/>
  <c r="S53" i="2"/>
  <c r="G29" i="8"/>
  <c r="I21" i="1"/>
  <c r="K28" i="6"/>
  <c r="J2" i="10"/>
  <c r="J10" i="10" s="1"/>
  <c r="J14" i="10" s="1"/>
  <c r="J16" i="10" s="1"/>
  <c r="R56" i="2"/>
  <c r="R62" i="2"/>
  <c r="Q56" i="2"/>
  <c r="G2" i="9" s="1"/>
  <c r="S48" i="2"/>
  <c r="R54" i="2"/>
  <c r="R55" i="2" s="1"/>
  <c r="G5" i="7"/>
  <c r="G15" i="7"/>
  <c r="G10" i="8"/>
  <c r="G15" i="8"/>
  <c r="G27" i="8"/>
  <c r="G20" i="8"/>
  <c r="G11" i="7"/>
  <c r="Q55" i="2"/>
  <c r="Q59" i="2"/>
  <c r="G6" i="9" s="1"/>
  <c r="S15" i="2"/>
  <c r="Q63" i="2"/>
  <c r="R58" i="2"/>
  <c r="R63" i="2"/>
  <c r="S16" i="2"/>
  <c r="S49" i="2"/>
  <c r="Q58" i="2"/>
  <c r="G5" i="9" s="1"/>
  <c r="S14" i="2"/>
  <c r="R60" i="2"/>
  <c r="R20" i="2"/>
  <c r="R21" i="2" s="1"/>
  <c r="S51" i="2"/>
  <c r="R57" i="2"/>
  <c r="G7" i="13"/>
  <c r="G8" i="13"/>
  <c r="G9" i="13"/>
  <c r="G10" i="13"/>
  <c r="G11" i="13"/>
  <c r="G6" i="13"/>
  <c r="G20" i="7" l="1"/>
  <c r="G21" i="8"/>
  <c r="G21" i="7"/>
  <c r="G3" i="9"/>
  <c r="R59" i="2"/>
  <c r="S55" i="2"/>
  <c r="G16" i="7"/>
  <c r="G30" i="8"/>
  <c r="S21" i="2"/>
  <c r="S20" i="2"/>
  <c r="B27" i="5"/>
  <c r="C27" i="5"/>
  <c r="D27" i="5"/>
  <c r="E27" i="5"/>
  <c r="F27" i="5"/>
  <c r="G27" i="5"/>
  <c r="H27" i="5"/>
  <c r="I27" i="5"/>
  <c r="L27" i="5"/>
  <c r="G31" i="8" l="1"/>
  <c r="I9" i="12"/>
  <c r="I8" i="12"/>
  <c r="I7" i="12"/>
  <c r="I6" i="12"/>
  <c r="I5" i="12"/>
  <c r="I4" i="12"/>
  <c r="I3" i="12"/>
  <c r="I2" i="12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5" i="8" l="1"/>
  <c r="F27" i="8"/>
  <c r="F10" i="8"/>
  <c r="F20" i="8"/>
  <c r="F5" i="7"/>
  <c r="F15" i="7"/>
  <c r="F11" i="7"/>
  <c r="F16" i="7" l="1"/>
  <c r="F21" i="8"/>
  <c r="F20" i="7"/>
  <c r="F21" i="7" s="1"/>
  <c r="N53" i="2" l="1"/>
  <c r="F29" i="8" s="1"/>
  <c r="O52" i="2"/>
  <c r="N52" i="2"/>
  <c r="O51" i="2"/>
  <c r="N51" i="2"/>
  <c r="P51" i="2" s="1"/>
  <c r="O50" i="2"/>
  <c r="N50" i="2"/>
  <c r="P50" i="2" s="1"/>
  <c r="O49" i="2"/>
  <c r="N49" i="2"/>
  <c r="O48" i="2"/>
  <c r="O54" i="2" s="1"/>
  <c r="O55" i="2" s="1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O57" i="2" s="1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I26" i="5"/>
  <c r="I13" i="5"/>
  <c r="I15" i="10"/>
  <c r="I13" i="10"/>
  <c r="I12" i="10"/>
  <c r="I11" i="10"/>
  <c r="I8" i="10"/>
  <c r="I7" i="10"/>
  <c r="I6" i="10"/>
  <c r="I4" i="10"/>
  <c r="I3" i="10"/>
  <c r="J21" i="6"/>
  <c r="I5" i="10" s="1"/>
  <c r="J10" i="6"/>
  <c r="H23" i="1"/>
  <c r="H19" i="1"/>
  <c r="H13" i="1"/>
  <c r="H7" i="1"/>
  <c r="H21" i="1" l="1"/>
  <c r="J28" i="6"/>
  <c r="J29" i="6"/>
  <c r="I9" i="10" s="1"/>
  <c r="O61" i="2"/>
  <c r="P52" i="2"/>
  <c r="F28" i="8"/>
  <c r="F30" i="8" s="1"/>
  <c r="F31" i="8" s="1"/>
  <c r="P15" i="2"/>
  <c r="P48" i="2"/>
  <c r="P53" i="2"/>
  <c r="O20" i="2"/>
  <c r="N62" i="2"/>
  <c r="F4" i="9"/>
  <c r="O63" i="2"/>
  <c r="O56" i="2"/>
  <c r="N63" i="2"/>
  <c r="I2" i="10"/>
  <c r="I10" i="10" s="1"/>
  <c r="I14" i="10" s="1"/>
  <c r="I16" i="10" s="1"/>
  <c r="I28" i="5"/>
  <c r="O58" i="2"/>
  <c r="P16" i="2"/>
  <c r="P49" i="2"/>
  <c r="P14" i="2"/>
  <c r="N56" i="2"/>
  <c r="F2" i="9" s="1"/>
  <c r="O60" i="2"/>
  <c r="N20" i="2"/>
  <c r="N54" i="2"/>
  <c r="N57" i="2"/>
  <c r="F3" i="9" s="1"/>
  <c r="O62" i="2"/>
  <c r="N58" i="2"/>
  <c r="F5" i="9" s="1"/>
  <c r="I63" i="2"/>
  <c r="H63" i="2"/>
  <c r="F63" i="2"/>
  <c r="E63" i="2"/>
  <c r="C63" i="2"/>
  <c r="B63" i="2"/>
  <c r="I62" i="2"/>
  <c r="H62" i="2"/>
  <c r="F62" i="2"/>
  <c r="E62" i="2"/>
  <c r="C62" i="2"/>
  <c r="B62" i="2"/>
  <c r="G2" i="12"/>
  <c r="H2" i="12"/>
  <c r="L2" i="12"/>
  <c r="G3" i="12"/>
  <c r="H3" i="12"/>
  <c r="L3" i="12"/>
  <c r="G4" i="12"/>
  <c r="H4" i="12"/>
  <c r="L4" i="12"/>
  <c r="G5" i="12"/>
  <c r="H5" i="12"/>
  <c r="L5" i="12"/>
  <c r="G6" i="12"/>
  <c r="H6" i="12"/>
  <c r="L6" i="12"/>
  <c r="G7" i="12"/>
  <c r="H7" i="12"/>
  <c r="L7" i="12"/>
  <c r="G8" i="12"/>
  <c r="H8" i="12"/>
  <c r="L8" i="12"/>
  <c r="G9" i="12"/>
  <c r="H9" i="12"/>
  <c r="L9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O21" i="2" l="1"/>
  <c r="O59" i="2" s="1"/>
  <c r="P54" i="2"/>
  <c r="N55" i="2"/>
  <c r="P55" i="2" s="1"/>
  <c r="P20" i="2"/>
  <c r="N21" i="2"/>
  <c r="E5" i="7"/>
  <c r="E15" i="7"/>
  <c r="E10" i="8"/>
  <c r="E15" i="8"/>
  <c r="E20" i="8"/>
  <c r="E27" i="8"/>
  <c r="E11" i="7"/>
  <c r="E16" i="7" l="1"/>
  <c r="P21" i="2"/>
  <c r="N59" i="2"/>
  <c r="F6" i="9" s="1"/>
  <c r="E20" i="7"/>
  <c r="E21" i="7" s="1"/>
  <c r="E21" i="8"/>
  <c r="X62" i="2"/>
  <c r="X63" i="2"/>
  <c r="K53" i="2"/>
  <c r="L52" i="2"/>
  <c r="K52" i="2"/>
  <c r="M52" i="2" s="1"/>
  <c r="L51" i="2"/>
  <c r="K51" i="2"/>
  <c r="M51" i="2" s="1"/>
  <c r="L50" i="2"/>
  <c r="K50" i="2"/>
  <c r="L49" i="2"/>
  <c r="K49" i="2"/>
  <c r="L48" i="2"/>
  <c r="K48" i="2"/>
  <c r="M48" i="2" s="1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K56" i="2" s="1"/>
  <c r="M13" i="2"/>
  <c r="M12" i="2"/>
  <c r="M11" i="2"/>
  <c r="M10" i="2"/>
  <c r="M9" i="2"/>
  <c r="M8" i="2"/>
  <c r="M7" i="2"/>
  <c r="M6" i="2"/>
  <c r="M5" i="2"/>
  <c r="M4" i="2"/>
  <c r="M3" i="2"/>
  <c r="L26" i="5"/>
  <c r="L13" i="5"/>
  <c r="L15" i="10"/>
  <c r="M15" i="10" s="1"/>
  <c r="L13" i="10"/>
  <c r="M13" i="10" s="1"/>
  <c r="L12" i="10"/>
  <c r="M12" i="10" s="1"/>
  <c r="L11" i="10"/>
  <c r="M11" i="10" s="1"/>
  <c r="L8" i="10"/>
  <c r="M8" i="10" s="1"/>
  <c r="L7" i="10"/>
  <c r="M7" i="10" s="1"/>
  <c r="L6" i="10"/>
  <c r="M6" i="10" s="1"/>
  <c r="L4" i="10"/>
  <c r="M4" i="10" s="1"/>
  <c r="L3" i="10"/>
  <c r="M3" i="10" s="1"/>
  <c r="M21" i="6"/>
  <c r="N21" i="6" s="1"/>
  <c r="M10" i="6"/>
  <c r="N10" i="6" s="1"/>
  <c r="K23" i="1"/>
  <c r="K19" i="1"/>
  <c r="K13" i="1"/>
  <c r="K7" i="1"/>
  <c r="D4" i="9"/>
  <c r="C4" i="9"/>
  <c r="B4" i="9"/>
  <c r="I61" i="2"/>
  <c r="F61" i="2"/>
  <c r="C61" i="2"/>
  <c r="I60" i="2"/>
  <c r="F60" i="2"/>
  <c r="C60" i="2"/>
  <c r="W58" i="2"/>
  <c r="Z58" i="2" s="1"/>
  <c r="I58" i="2"/>
  <c r="H58" i="2"/>
  <c r="D5" i="9" s="1"/>
  <c r="F58" i="2"/>
  <c r="E58" i="2"/>
  <c r="C5" i="9" s="1"/>
  <c r="C58" i="2"/>
  <c r="B58" i="2"/>
  <c r="B5" i="9" s="1"/>
  <c r="W57" i="2"/>
  <c r="I3" i="9" s="1"/>
  <c r="J3" i="9" s="1"/>
  <c r="I57" i="2"/>
  <c r="H57" i="2"/>
  <c r="D3" i="9" s="1"/>
  <c r="F57" i="2"/>
  <c r="E57" i="2"/>
  <c r="C3" i="9" s="1"/>
  <c r="C57" i="2"/>
  <c r="B57" i="2"/>
  <c r="B3" i="9" s="1"/>
  <c r="W56" i="2"/>
  <c r="Z56" i="2" s="1"/>
  <c r="I56" i="2"/>
  <c r="H56" i="2"/>
  <c r="D2" i="9" s="1"/>
  <c r="F56" i="2"/>
  <c r="E56" i="2"/>
  <c r="C2" i="9" s="1"/>
  <c r="C56" i="2"/>
  <c r="B56" i="2"/>
  <c r="B2" i="9" s="1"/>
  <c r="M29" i="6" l="1"/>
  <c r="N29" i="6" s="1"/>
  <c r="M15" i="2"/>
  <c r="I5" i="9"/>
  <c r="J5" i="9" s="1"/>
  <c r="I2" i="9"/>
  <c r="J2" i="9" s="1"/>
  <c r="L28" i="5"/>
  <c r="M2" i="10"/>
  <c r="E2" i="9"/>
  <c r="M14" i="2"/>
  <c r="M16" i="2"/>
  <c r="E4" i="9"/>
  <c r="K62" i="2"/>
  <c r="L54" i="2"/>
  <c r="E28" i="8"/>
  <c r="L20" i="2"/>
  <c r="L63" i="2"/>
  <c r="L61" i="2"/>
  <c r="M50" i="2"/>
  <c r="M53" i="2"/>
  <c r="E29" i="8"/>
  <c r="K57" i="2"/>
  <c r="L62" i="2"/>
  <c r="M49" i="2"/>
  <c r="L57" i="2"/>
  <c r="X60" i="2"/>
  <c r="X61" i="2"/>
  <c r="K4" i="9"/>
  <c r="L5" i="10"/>
  <c r="M5" i="10" s="1"/>
  <c r="K20" i="2"/>
  <c r="K21" i="2" s="1"/>
  <c r="K63" i="2"/>
  <c r="K54" i="2"/>
  <c r="W63" i="2"/>
  <c r="I4" i="9"/>
  <c r="J4" i="9" s="1"/>
  <c r="W62" i="2"/>
  <c r="X56" i="2"/>
  <c r="AA56" i="2" s="1"/>
  <c r="X57" i="2"/>
  <c r="K3" i="9" s="1"/>
  <c r="X58" i="2"/>
  <c r="AA58" i="2" s="1"/>
  <c r="M54" i="2"/>
  <c r="K55" i="2"/>
  <c r="L60" i="2"/>
  <c r="L56" i="2"/>
  <c r="L58" i="2"/>
  <c r="K58" i="2"/>
  <c r="M28" i="6"/>
  <c r="N28" i="6" s="1"/>
  <c r="K21" i="1"/>
  <c r="H26" i="5"/>
  <c r="H13" i="5"/>
  <c r="H15" i="10"/>
  <c r="H13" i="10"/>
  <c r="H12" i="10"/>
  <c r="H11" i="10"/>
  <c r="H8" i="10"/>
  <c r="H7" i="10"/>
  <c r="H6" i="10"/>
  <c r="H4" i="10"/>
  <c r="H3" i="10"/>
  <c r="I21" i="6"/>
  <c r="H5" i="10" s="1"/>
  <c r="I10" i="6"/>
  <c r="G23" i="1"/>
  <c r="F23" i="1"/>
  <c r="E23" i="1"/>
  <c r="D23" i="1"/>
  <c r="C23" i="1"/>
  <c r="B23" i="1"/>
  <c r="G19" i="1"/>
  <c r="G13" i="1"/>
  <c r="G7" i="1"/>
  <c r="L29" i="8"/>
  <c r="L26" i="8"/>
  <c r="I26" i="8"/>
  <c r="L25" i="8"/>
  <c r="I25" i="8"/>
  <c r="M25" i="8" s="1"/>
  <c r="L24" i="8"/>
  <c r="I24" i="8"/>
  <c r="K24" i="8" s="1"/>
  <c r="L23" i="8"/>
  <c r="I23" i="8"/>
  <c r="M23" i="8" s="1"/>
  <c r="L22" i="8"/>
  <c r="I22" i="8"/>
  <c r="L19" i="8"/>
  <c r="I19" i="8"/>
  <c r="K19" i="8" s="1"/>
  <c r="L18" i="8"/>
  <c r="I18" i="8"/>
  <c r="K18" i="8" s="1"/>
  <c r="L17" i="8"/>
  <c r="I17" i="8"/>
  <c r="M17" i="8" s="1"/>
  <c r="L16" i="8"/>
  <c r="I16" i="8"/>
  <c r="K16" i="8" s="1"/>
  <c r="L14" i="8"/>
  <c r="I14" i="8"/>
  <c r="K14" i="8" s="1"/>
  <c r="L13" i="8"/>
  <c r="I13" i="8"/>
  <c r="M13" i="8" s="1"/>
  <c r="L12" i="8"/>
  <c r="I12" i="8"/>
  <c r="K12" i="8" s="1"/>
  <c r="L11" i="8"/>
  <c r="I11" i="8"/>
  <c r="K11" i="8" s="1"/>
  <c r="L9" i="8"/>
  <c r="I9" i="8"/>
  <c r="K9" i="8" s="1"/>
  <c r="L8" i="8"/>
  <c r="I8" i="8"/>
  <c r="K8" i="8" s="1"/>
  <c r="L7" i="8"/>
  <c r="I7" i="8"/>
  <c r="M7" i="8" s="1"/>
  <c r="L6" i="8"/>
  <c r="I6" i="8"/>
  <c r="K6" i="8" s="1"/>
  <c r="L5" i="8"/>
  <c r="I5" i="8"/>
  <c r="K5" i="8" s="1"/>
  <c r="L4" i="8"/>
  <c r="I4" i="8"/>
  <c r="K4" i="8" s="1"/>
  <c r="L3" i="8"/>
  <c r="I3" i="8"/>
  <c r="K3" i="8" s="1"/>
  <c r="L2" i="8"/>
  <c r="I2" i="8"/>
  <c r="K2" i="8" s="1"/>
  <c r="L19" i="7"/>
  <c r="I19" i="7"/>
  <c r="K19" i="7" s="1"/>
  <c r="L18" i="7"/>
  <c r="I18" i="7"/>
  <c r="M18" i="7" s="1"/>
  <c r="L17" i="7"/>
  <c r="I17" i="7"/>
  <c r="L14" i="7"/>
  <c r="I14" i="7"/>
  <c r="K14" i="7" s="1"/>
  <c r="L13" i="7"/>
  <c r="I13" i="7"/>
  <c r="L12" i="7"/>
  <c r="I12" i="7"/>
  <c r="L10" i="7"/>
  <c r="I10" i="7"/>
  <c r="K10" i="7" s="1"/>
  <c r="L9" i="7"/>
  <c r="I9" i="7"/>
  <c r="K9" i="7" s="1"/>
  <c r="L8" i="7"/>
  <c r="I8" i="7"/>
  <c r="L7" i="7"/>
  <c r="I7" i="7"/>
  <c r="K7" i="7" s="1"/>
  <c r="L6" i="7"/>
  <c r="I6" i="7"/>
  <c r="M6" i="7" s="1"/>
  <c r="L4" i="7"/>
  <c r="I4" i="7"/>
  <c r="K4" i="7" s="1"/>
  <c r="L3" i="7"/>
  <c r="I3" i="7"/>
  <c r="K3" i="7" s="1"/>
  <c r="L2" i="7"/>
  <c r="I2" i="7"/>
  <c r="K2" i="7" s="1"/>
  <c r="H2" i="10" l="1"/>
  <c r="I29" i="6"/>
  <c r="H9" i="10" s="1"/>
  <c r="L9" i="10"/>
  <c r="M9" i="10" s="1"/>
  <c r="K5" i="9"/>
  <c r="K2" i="9"/>
  <c r="L10" i="10"/>
  <c r="M10" i="10" s="1"/>
  <c r="L21" i="2"/>
  <c r="H28" i="5"/>
  <c r="M20" i="2"/>
  <c r="E3" i="9"/>
  <c r="L55" i="2"/>
  <c r="E5" i="9"/>
  <c r="M55" i="2"/>
  <c r="E30" i="8"/>
  <c r="L15" i="7"/>
  <c r="M17" i="7"/>
  <c r="M7" i="7"/>
  <c r="M9" i="7"/>
  <c r="M12" i="7"/>
  <c r="M4" i="8"/>
  <c r="L5" i="7"/>
  <c r="M4" i="7"/>
  <c r="K59" i="2"/>
  <c r="E6" i="9" s="1"/>
  <c r="M10" i="7"/>
  <c r="M8" i="7"/>
  <c r="M12" i="8"/>
  <c r="M19" i="8"/>
  <c r="H10" i="10"/>
  <c r="M2" i="7"/>
  <c r="L11" i="7"/>
  <c r="M14" i="7"/>
  <c r="M3" i="8"/>
  <c r="L15" i="8"/>
  <c r="L20" i="8"/>
  <c r="L27" i="8"/>
  <c r="I5" i="7"/>
  <c r="K5" i="7" s="1"/>
  <c r="I15" i="7"/>
  <c r="K15" i="7" s="1"/>
  <c r="I15" i="8"/>
  <c r="K15" i="8" s="1"/>
  <c r="I20" i="8"/>
  <c r="K20" i="8" s="1"/>
  <c r="I27" i="8"/>
  <c r="K27" i="8" s="1"/>
  <c r="M24" i="8"/>
  <c r="I28" i="6"/>
  <c r="G21" i="1"/>
  <c r="L10" i="8"/>
  <c r="M8" i="8"/>
  <c r="M2" i="8"/>
  <c r="M6" i="8"/>
  <c r="I10" i="8"/>
  <c r="K10" i="8" s="1"/>
  <c r="M14" i="8"/>
  <c r="M18" i="8"/>
  <c r="M22" i="8"/>
  <c r="M26" i="8"/>
  <c r="M5" i="8"/>
  <c r="M9" i="8"/>
  <c r="M16" i="8"/>
  <c r="M11" i="8"/>
  <c r="I11" i="7"/>
  <c r="K11" i="7" s="1"/>
  <c r="M3" i="7"/>
  <c r="M19" i="7"/>
  <c r="M13" i="7"/>
  <c r="L14" i="10" l="1"/>
  <c r="M14" i="10" s="1"/>
  <c r="L59" i="2"/>
  <c r="M21" i="2"/>
  <c r="E31" i="8"/>
  <c r="M27" i="8"/>
  <c r="L21" i="8"/>
  <c r="M15" i="7"/>
  <c r="M5" i="7"/>
  <c r="I16" i="7"/>
  <c r="K16" i="7" s="1"/>
  <c r="M15" i="8"/>
  <c r="L20" i="7"/>
  <c r="L21" i="7" s="1"/>
  <c r="L16" i="7"/>
  <c r="M20" i="8"/>
  <c r="M11" i="7"/>
  <c r="H14" i="10"/>
  <c r="I21" i="8"/>
  <c r="K21" i="8" s="1"/>
  <c r="M10" i="8"/>
  <c r="I20" i="7"/>
  <c r="K20" i="7" s="1"/>
  <c r="L16" i="10" l="1"/>
  <c r="M16" i="10" s="1"/>
  <c r="M20" i="7"/>
  <c r="M16" i="7"/>
  <c r="H16" i="10"/>
  <c r="M21" i="8"/>
  <c r="I21" i="7"/>
  <c r="K21" i="7" s="1"/>
  <c r="M21" i="7" l="1"/>
  <c r="J7" i="7"/>
  <c r="J5" i="7"/>
  <c r="J8" i="7"/>
  <c r="J16" i="7"/>
  <c r="J18" i="7"/>
  <c r="J2" i="7"/>
  <c r="J12" i="7"/>
  <c r="J3" i="7"/>
  <c r="J13" i="7"/>
  <c r="J15" i="7"/>
  <c r="J6" i="7"/>
  <c r="J10" i="7"/>
  <c r="J17" i="7"/>
  <c r="J11" i="7"/>
  <c r="J4" i="7"/>
  <c r="J9" i="7"/>
  <c r="J14" i="7"/>
  <c r="J21" i="7"/>
  <c r="L28" i="8" l="1"/>
  <c r="L30" i="8" s="1"/>
  <c r="L31" i="8" s="1"/>
  <c r="I28" i="8"/>
  <c r="Y53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Y16" i="2" l="1"/>
  <c r="Y50" i="2"/>
  <c r="M28" i="8"/>
  <c r="Y49" i="2"/>
  <c r="Y15" i="2"/>
  <c r="Y52" i="2"/>
  <c r="Y51" i="2"/>
  <c r="I29" i="8"/>
  <c r="K29" i="8" s="1"/>
  <c r="Y14" i="2"/>
  <c r="B15" i="10"/>
  <c r="B13" i="10"/>
  <c r="B12" i="10"/>
  <c r="B11" i="10"/>
  <c r="B8" i="10"/>
  <c r="B7" i="10"/>
  <c r="B6" i="10"/>
  <c r="B4" i="10"/>
  <c r="B3" i="10"/>
  <c r="M29" i="8" l="1"/>
  <c r="Y54" i="2"/>
  <c r="I30" i="8"/>
  <c r="K30" i="8" s="1"/>
  <c r="Y20" i="2"/>
  <c r="G21" i="6"/>
  <c r="H21" i="6"/>
  <c r="F21" i="6"/>
  <c r="H10" i="6"/>
  <c r="H29" i="6" s="1"/>
  <c r="G9" i="10" s="1"/>
  <c r="G10" i="6"/>
  <c r="G29" i="6" s="1"/>
  <c r="F9" i="10" s="1"/>
  <c r="F10" i="6"/>
  <c r="F29" i="6" s="1"/>
  <c r="E9" i="10" s="1"/>
  <c r="W59" i="2" l="1"/>
  <c r="Y55" i="2"/>
  <c r="X59" i="2"/>
  <c r="M30" i="8"/>
  <c r="I31" i="8"/>
  <c r="K31" i="8" s="1"/>
  <c r="Y21" i="2"/>
  <c r="B26" i="5"/>
  <c r="B13" i="5"/>
  <c r="C26" i="5"/>
  <c r="C13" i="5"/>
  <c r="D26" i="5"/>
  <c r="D13" i="5"/>
  <c r="C21" i="6"/>
  <c r="B5" i="10" s="1"/>
  <c r="C10" i="6"/>
  <c r="C28" i="6"/>
  <c r="C19" i="1"/>
  <c r="E19" i="1"/>
  <c r="B19" i="1"/>
  <c r="D19" i="1"/>
  <c r="F19" i="1"/>
  <c r="B13" i="1"/>
  <c r="C13" i="1"/>
  <c r="D13" i="1"/>
  <c r="E13" i="1"/>
  <c r="F13" i="1"/>
  <c r="B7" i="1"/>
  <c r="C7" i="1"/>
  <c r="D7" i="1"/>
  <c r="E7" i="1"/>
  <c r="F7" i="1"/>
  <c r="K6" i="9" l="1"/>
  <c r="AA59" i="2"/>
  <c r="I6" i="9"/>
  <c r="J6" i="9" s="1"/>
  <c r="Z59" i="2"/>
  <c r="B2" i="10"/>
  <c r="C29" i="6"/>
  <c r="B9" i="10" s="1"/>
  <c r="C28" i="5"/>
  <c r="D28" i="5"/>
  <c r="B28" i="5"/>
  <c r="J21" i="8"/>
  <c r="J11" i="8"/>
  <c r="J8" i="8"/>
  <c r="J17" i="8"/>
  <c r="J6" i="8"/>
  <c r="J20" i="8"/>
  <c r="J2" i="8"/>
  <c r="J18" i="8"/>
  <c r="J23" i="8"/>
  <c r="J3" i="8"/>
  <c r="J16" i="8"/>
  <c r="J31" i="8"/>
  <c r="J9" i="8"/>
  <c r="J26" i="8"/>
  <c r="J19" i="8"/>
  <c r="J12" i="8"/>
  <c r="J25" i="8"/>
  <c r="J14" i="8"/>
  <c r="J27" i="8"/>
  <c r="J7" i="8"/>
  <c r="J24" i="8"/>
  <c r="J4" i="8"/>
  <c r="J13" i="8"/>
  <c r="J22" i="8"/>
  <c r="J10" i="8"/>
  <c r="J15" i="8"/>
  <c r="M31" i="8"/>
  <c r="J5" i="8"/>
  <c r="J28" i="8"/>
  <c r="B10" i="10"/>
  <c r="B14" i="10" s="1"/>
  <c r="B16" i="10" s="1"/>
  <c r="C15" i="10"/>
  <c r="C13" i="10"/>
  <c r="C12" i="10"/>
  <c r="C11" i="10"/>
  <c r="C8" i="10"/>
  <c r="C7" i="10"/>
  <c r="C6" i="10"/>
  <c r="C4" i="10"/>
  <c r="C3" i="10"/>
  <c r="D10" i="6"/>
  <c r="D21" i="6"/>
  <c r="C5" i="10" s="1"/>
  <c r="D28" i="6"/>
  <c r="C2" i="10" l="1"/>
  <c r="D29" i="6"/>
  <c r="C9" i="10" s="1"/>
  <c r="C10" i="10"/>
  <c r="C14" i="10" s="1"/>
  <c r="C16" i="10" s="1"/>
  <c r="G26" i="5"/>
  <c r="F26" i="5"/>
  <c r="E26" i="5"/>
  <c r="G13" i="5"/>
  <c r="F13" i="5"/>
  <c r="E13" i="5"/>
  <c r="G28" i="6"/>
  <c r="H28" i="6"/>
  <c r="F28" i="6"/>
  <c r="B21" i="1"/>
  <c r="E28" i="5" l="1"/>
  <c r="F28" i="5"/>
  <c r="G28" i="5"/>
  <c r="E10" i="6"/>
  <c r="E29" i="6" s="1"/>
  <c r="D9" i="10" s="1"/>
  <c r="C21" i="1"/>
  <c r="D21" i="1"/>
  <c r="E21" i="1"/>
  <c r="F21" i="1"/>
  <c r="D6" i="10" l="1"/>
  <c r="E6" i="10"/>
  <c r="F6" i="10"/>
  <c r="G6" i="10"/>
  <c r="D7" i="10"/>
  <c r="E7" i="10"/>
  <c r="F7" i="10"/>
  <c r="G7" i="10"/>
  <c r="D8" i="10"/>
  <c r="E8" i="10"/>
  <c r="F8" i="10"/>
  <c r="G8" i="10"/>
  <c r="D3" i="10"/>
  <c r="E3" i="10"/>
  <c r="F3" i="10"/>
  <c r="G3" i="10"/>
  <c r="D4" i="10"/>
  <c r="E4" i="10"/>
  <c r="F4" i="10"/>
  <c r="G4" i="10"/>
  <c r="E28" i="6" l="1"/>
  <c r="E21" i="6"/>
  <c r="F2" i="12" l="1"/>
  <c r="F3" i="12"/>
  <c r="F4" i="12"/>
  <c r="F5" i="12"/>
  <c r="F6" i="12"/>
  <c r="F7" i="12"/>
  <c r="F8" i="12"/>
  <c r="F9" i="12"/>
  <c r="E9" i="12"/>
  <c r="E8" i="12"/>
  <c r="E7" i="12"/>
  <c r="E6" i="12"/>
  <c r="E5" i="12"/>
  <c r="E4" i="12"/>
  <c r="E3" i="12"/>
  <c r="E2" i="12"/>
  <c r="E11" i="10"/>
  <c r="F11" i="10"/>
  <c r="G11" i="10"/>
  <c r="E12" i="10"/>
  <c r="F12" i="10"/>
  <c r="G12" i="10"/>
  <c r="E13" i="10"/>
  <c r="F13" i="10"/>
  <c r="G13" i="10"/>
  <c r="E15" i="10"/>
  <c r="F15" i="10"/>
  <c r="G15" i="10"/>
  <c r="D15" i="10"/>
  <c r="D13" i="10"/>
  <c r="D12" i="10"/>
  <c r="D11" i="10"/>
  <c r="D26" i="8" l="1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D15" i="8" l="1"/>
  <c r="B5" i="7"/>
  <c r="B11" i="7"/>
  <c r="B27" i="8"/>
  <c r="B15" i="7"/>
  <c r="D27" i="8"/>
  <c r="C27" i="8"/>
  <c r="D10" i="8"/>
  <c r="D20" i="8"/>
  <c r="C10" i="8"/>
  <c r="C15" i="8"/>
  <c r="C20" i="8"/>
  <c r="B20" i="8"/>
  <c r="B15" i="8"/>
  <c r="B10" i="8"/>
  <c r="C15" i="7"/>
  <c r="C11" i="7"/>
  <c r="D11" i="7"/>
  <c r="D5" i="7"/>
  <c r="D15" i="7"/>
  <c r="C5" i="7"/>
  <c r="D21" i="8" l="1"/>
  <c r="B21" i="8"/>
  <c r="C21" i="8"/>
  <c r="C16" i="7"/>
  <c r="D16" i="7"/>
  <c r="B16" i="7"/>
  <c r="B20" i="7"/>
  <c r="B21" i="7" s="1"/>
  <c r="C30" i="8"/>
  <c r="C31" i="8" s="1"/>
  <c r="B30" i="8"/>
  <c r="B31" i="8" s="1"/>
  <c r="C20" i="7"/>
  <c r="C21" i="7" s="1"/>
  <c r="D20" i="7"/>
  <c r="D21" i="7" l="1"/>
  <c r="D5" i="10"/>
  <c r="D2" i="10"/>
  <c r="D10" i="10" l="1"/>
  <c r="D14" i="10" l="1"/>
  <c r="D16" i="10" s="1"/>
  <c r="F5" i="10" l="1"/>
  <c r="G5" i="10"/>
  <c r="E5" i="10"/>
  <c r="F2" i="10"/>
  <c r="G2" i="10"/>
  <c r="E2" i="10"/>
  <c r="F10" i="10" l="1"/>
  <c r="F14" i="10" s="1"/>
  <c r="F16" i="10" s="1"/>
  <c r="E10" i="10"/>
  <c r="E14" i="10" s="1"/>
  <c r="E16" i="10" s="1"/>
  <c r="G10" i="10"/>
  <c r="E54" i="2"/>
  <c r="E55" i="2" s="1"/>
  <c r="E59" i="2" s="1"/>
  <c r="C6" i="9" s="1"/>
  <c r="F54" i="2"/>
  <c r="F55" i="2" s="1"/>
  <c r="F59" i="2" s="1"/>
  <c r="G14" i="10" l="1"/>
  <c r="G16" i="10" l="1"/>
  <c r="J47" i="2" l="1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J13" i="2"/>
  <c r="J12" i="2"/>
  <c r="J11" i="2"/>
  <c r="J10" i="2"/>
  <c r="J9" i="2"/>
  <c r="J8" i="2"/>
  <c r="J7" i="2"/>
  <c r="J6" i="2"/>
  <c r="J5" i="2"/>
  <c r="J4" i="2"/>
  <c r="J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D28" i="8" l="1"/>
  <c r="J53" i="2" l="1"/>
  <c r="D29" i="8"/>
  <c r="J49" i="2"/>
  <c r="J52" i="2"/>
  <c r="J51" i="2"/>
  <c r="J50" i="2"/>
  <c r="J48" i="2"/>
  <c r="J16" i="2"/>
  <c r="J14" i="2"/>
  <c r="J15" i="2"/>
  <c r="I54" i="2"/>
  <c r="H54" i="2"/>
  <c r="D30" i="8" l="1"/>
  <c r="I55" i="2"/>
  <c r="I59" i="2" s="1"/>
  <c r="J21" i="2"/>
  <c r="J20" i="2"/>
  <c r="H55" i="2"/>
  <c r="H59" i="2" s="1"/>
  <c r="D6" i="9" s="1"/>
  <c r="J54" i="2"/>
  <c r="G12" i="2"/>
  <c r="D53" i="2"/>
  <c r="D52" i="2"/>
  <c r="D31" i="8" l="1"/>
  <c r="J55" i="2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G20" i="2" l="1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<sst xmlns="http://schemas.openxmlformats.org/spreadsheetml/2006/main" count="647" uniqueCount="389">
  <si>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</si>
  <si>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</si>
  <si>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</si>
  <si>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</si>
  <si>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</si>
  <si>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</si>
  <si>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</si>
  <si>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</si>
  <si>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</si>
  <si>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</si>
  <si>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</si>
  <si>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</si>
  <si>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</si>
  <si>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</si>
  <si>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</si>
  <si>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</si>
  <si>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</si>
  <si>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</si>
  <si>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</si>
  <si>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</si>
  <si>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</si>
  <si>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</si>
  <si>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</si>
  <si>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</si>
  <si>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</si>
  <si>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</si>
  <si>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</si>
  <si>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</si>
  <si>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</si>
  <si>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</si>
  <si>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</si>
  <si>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</si>
  <si>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</si>
  <si>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</si>
  <si>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</si>
  <si>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</si>
  <si>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</si>
  <si>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</si>
  <si>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</si>
  <si>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</si>
  <si>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</si>
  <si>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</si>
  <si>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</si>
  <si>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</si>
  <si>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</si>
  <si>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</si>
  <si>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</si>
  <si>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</si>
  <si>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</si>
  <si>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</si>
  <si>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</si>
  <si>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</si>
  <si>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</si>
  <si>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</si>
  <si>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</si>
  <si>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</si>
  <si>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</si>
  <si>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</si>
  <si>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</si>
  <si>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</si>
  <si>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</si>
  <si>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</si>
  <si>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</si>
  <si>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</si>
  <si>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</si>
  <si>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</si>
  <si>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</si>
  <si>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</si>
  <si>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</si>
  <si>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</si>
  <si>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</si>
  <si>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</si>
  <si>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</si>
  <si>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</si>
  <si>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</si>
  <si>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</si>
  <si>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</si>
  <si>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</si>
  <si>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</si>
  <si>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</si>
  <si>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</si>
  <si>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</si>
  <si>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</si>
  <si>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</si>
  <si>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</si>
  <si>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</si>
  <si>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</si>
  <si>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</si>
  <si>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</si>
  <si>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</si>
  <si>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</si>
  <si>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</si>
  <si>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</si>
  <si>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</si>
  <si>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</si>
  <si>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</si>
  <si>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</si>
  <si>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</si>
  <si>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</si>
  <si>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</si>
  <si>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</si>
  <si>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</si>
  <si>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</si>
  <si>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</si>
  <si>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</si>
  <si>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</si>
  <si>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</si>
  <si>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</si>
  <si>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</si>
  <si>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</si>
  <si>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</si>
  <si>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</si>
  <si>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</si>
  <si>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</si>
  <si>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</si>
  <si>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</si>
  <si>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</si>
  <si>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</si>
  <si>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</si>
  <si>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</si>
  <si>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</si>
  <si>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</si>
  <si>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</si>
  <si>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</si>
  <si>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</si>
  <si>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</si>
  <si>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</si>
  <si>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</si>
  <si>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</si>
  <si>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</si>
  <si>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</si>
  <si>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</si>
  <si>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</si>
  <si>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</si>
  <si>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</si>
  <si>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</si>
  <si>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</si>
  <si>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</si>
  <si>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</si>
  <si>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</si>
  <si>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</si>
  <si>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</si>
  <si>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</si>
  <si>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</si>
  <si>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</si>
  <si>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</si>
  <si>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</si>
  <si>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</si>
  <si>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</si>
  <si>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</si>
  <si>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</si>
  <si>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</si>
  <si>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</si>
  <si>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</si>
  <si>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</si>
  <si>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</si>
  <si>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</si>
  <si>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</si>
  <si>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</si>
  <si>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</si>
  <si>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</si>
  <si>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</si>
  <si>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</si>
  <si>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</si>
  <si>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</si>
  <si>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</si>
  <si>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</si>
  <si>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</si>
  <si>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</si>
  <si>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</si>
  <si>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</si>
  <si>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</si>
  <si>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</si>
  <si>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</si>
  <si>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</si>
  <si>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</si>
  <si>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</si>
  <si>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</si>
  <si>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</si>
  <si>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</si>
  <si>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</si>
  <si>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</si>
  <si>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</si>
  <si>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</si>
  <si>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</si>
  <si>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</si>
  <si>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</si>
  <si>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</si>
  <si>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</si>
  <si>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</si>
  <si>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</si>
  <si>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</si>
  <si>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</si>
  <si>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</si>
  <si>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</si>
  <si>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</si>
  <si>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</si>
  <si>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</si>
  <si>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</si>
  <si>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</si>
  <si>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</si>
  <si>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</si>
  <si>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</si>
  <si>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</si>
  <si>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</si>
  <si>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</si>
  <si>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</si>
  <si>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</si>
  <si>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</si>
  <si>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</si>
  <si>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</si>
  <si>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</si>
  <si>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</si>
  <si>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</si>
  <si>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</si>
  <si>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</si>
  <si>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</si>
  <si>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</si>
  <si>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</si>
  <si>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</si>
  <si>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</si>
  <si>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</si>
  <si>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</si>
  <si>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</si>
  <si>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</si>
  <si>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</si>
  <si>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</si>
  <si>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</si>
  <si>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</si>
  <si>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</si>
  <si>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</si>
  <si>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</si>
  <si>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</si>
  <si>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</si>
  <si>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</si>
  <si>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</si>
  <si>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</si>
  <si>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</si>
  <si>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</si>
  <si>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</si>
  <si>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</si>
  <si>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</si>
  <si>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</si>
  <si>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</si>
  <si>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</si>
  <si>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</si>
  <si>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</si>
  <si>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</si>
  <si>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</si>
  <si>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</si>
  <si>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</si>
  <si>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</si>
  <si>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</si>
  <si>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</si>
  <si>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</si>
  <si>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</si>
  <si>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</si>
  <si>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</si>
  <si>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</si>
  <si>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</si>
  <si>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</si>
  <si>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</si>
  <si>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</si>
  <si>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</si>
  <si>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</si>
  <si>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</si>
  <si>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</si>
  <si>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</si>
  <si>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</si>
  <si>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</si>
  <si>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</si>
  <si>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</si>
  <si>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</si>
  <si>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</si>
  <si>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</si>
  <si>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</si>
  <si>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</si>
  <si>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</si>
  <si>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</si>
  <si>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</si>
  <si>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</si>
  <si>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</si>
  <si>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</si>
  <si>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</si>
  <si>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</si>
  <si>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</si>
  <si>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</si>
  <si>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</si>
  <si>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</si>
  <si>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</si>
  <si>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</si>
  <si>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</si>
  <si>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</si>
  <si>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</si>
  <si>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</si>
  <si>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</si>
  <si>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</si>
  <si>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</si>
  <si>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</si>
  <si>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</si>
  <si>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</si>
  <si>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</si>
  <si>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</si>
  <si>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</si>
  <si>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</si>
  <si>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</si>
  <si>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</si>
  <si>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</si>
  <si>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</si>
  <si>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</si>
  <si>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</si>
  <si>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</si>
  <si>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</si>
  <si>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</si>
  <si>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</si>
  <si>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</si>
  <si>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</si>
  <si>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</si>
  <si>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</si>
  <si>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</si>
  <si>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</si>
  <si>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</si>
  <si>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</si>
  <si>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</si>
  <si>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</si>
  <si>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</si>
  <si>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</si>
  <si>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</si>
  <si>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</si>
  <si>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</si>
  <si>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</si>
  <si>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</si>
  <si>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</si>
  <si>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</si>
  <si>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</si>
  <si>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</si>
  <si>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</si>
  <si>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</si>
  <si>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</si>
  <si>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</si>
  <si>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</si>
  <si>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</si>
  <si>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</si>
  <si>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</si>
  <si>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</si>
  <si>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</si>
  <si>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</si>
  <si>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</si>
  <si>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</si>
  <si>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</si>
  <si>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/>
  </si>
  <si>
    <t>Sviluppo sostenibile, tutela territ. e ambiente</t>
  </si>
  <si>
    <t>Città metro-politana</t>
  </si>
  <si>
    <t>Saldo naturale</t>
  </si>
  <si>
    <t>Saldo migratorio</t>
  </si>
  <si>
    <t>Verifica</t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</si>
  <si>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</si>
  <si>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</si>
  <si>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</si>
  <si>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</si>
  <si>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</si>
  <si>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</si>
  <si>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Entrate proprie su Entrate finali %</t>
  </si>
  <si>
    <t>Entrate da trasferimenti su Entrate finali %</t>
  </si>
  <si>
    <t>Risultato economico di esercizi precedenti (A4)</t>
  </si>
  <si>
    <t>Riserve negative per beni indisponibili (A5)</t>
  </si>
  <si>
    <t>Saldo censuario</t>
  </si>
  <si>
    <t>Impegni</t>
  </si>
  <si>
    <t>Pagamenti</t>
  </si>
  <si>
    <t>Residui</t>
  </si>
  <si>
    <t>Cap. pagamento</t>
  </si>
  <si>
    <t>Composizione spesa</t>
  </si>
  <si>
    <t>Infanzia, minori, asili nido</t>
  </si>
  <si>
    <t>Disabilità</t>
  </si>
  <si>
    <t>Anziani</t>
  </si>
  <si>
    <t>Soggetti a rischio esclusione sociale</t>
  </si>
  <si>
    <t>Famiglie</t>
  </si>
  <si>
    <t>Diritto alla casa</t>
  </si>
  <si>
    <t>Rete dei servizi sociosanitari e sociali</t>
  </si>
  <si>
    <t>Cooperazione e associazionismo</t>
  </si>
  <si>
    <t>Servizio necroscopico e cimiteriale</t>
  </si>
  <si>
    <t>Spesa finale</t>
  </si>
  <si>
    <t>Totale</t>
  </si>
  <si>
    <t>Spesa corrente</t>
  </si>
  <si>
    <t>Spesa in conto capitale</t>
  </si>
  <si>
    <t>%Spesa corrente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</si>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</sst>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_ ;\-#,##0.0\ "/>
    <numFmt numFmtId="168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49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0" xfId="1" applyNumberFormat="1" applyFont="1" applyBorder="1"/>
    <xf numFmtId="164" fontId="0" fillId="2" borderId="0" xfId="1" applyNumberFormat="1" applyFont="1" applyFill="1" applyBorder="1"/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4" xfId="1" applyNumberFormat="1" applyFon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0" fillId="0" borderId="0" xfId="0" applyBorder="1" applyAlignment="1">
      <alignment horizontal="center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6" fontId="0" fillId="0" borderId="0" xfId="0" applyNumberFormat="1"/>
    <xf numFmtId="0" fontId="0" fillId="0" borderId="0" xfId="0" applyAlignment="1">
      <alignment wrapText="1"/>
    </xf>
    <xf numFmtId="3" fontId="1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66" fontId="3" fillId="0" borderId="0" xfId="1" applyNumberFormat="1" applyFont="1" applyFill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167" fontId="9" fillId="6" borderId="0" xfId="1" applyNumberFormat="1" applyFont="1" applyFill="1" applyAlignment="1">
      <alignment horizontal="center" vertical="center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8" fontId="0" fillId="0" borderId="0" xfId="0" applyNumberForma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1" applyNumberFormat="1" applyFont="1"/>
    <xf numFmtId="165" fontId="0" fillId="0" borderId="0" xfId="0" applyNumberFormat="1" applyAlignment="1">
      <alignment horizontal="right"/>
    </xf>
    <xf numFmtId="165" fontId="1" fillId="0" borderId="0" xfId="0" applyNumberFormat="1" applyFont="1"/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/>
    <xf numFmtId="0" fontId="0" fillId="0" borderId="0" xfId="0" applyAlignment="1">
      <alignment vertical="center"/>
    </xf>
    <xf numFmtId="0" fontId="11" fillId="0" borderId="0" xfId="2" applyFont="1" applyFill="1" applyBorder="1" applyAlignment="1" applyProtection="1">
      <alignment vertical="center" readingOrder="1"/>
    </xf>
    <xf numFmtId="0" fontId="12" fillId="0" borderId="0" xfId="2" applyFont="1" applyFill="1" applyBorder="1" applyAlignment="1" applyProtection="1">
      <alignment vertical="center" readingOrder="1"/>
    </xf>
    <xf numFmtId="165" fontId="13" fillId="0" borderId="0" xfId="0" applyNumberFormat="1" applyFont="1"/>
    <xf numFmtId="0" fontId="0" fillId="0" borderId="0" xfId="0" applyAlignment="1">
      <alignment horizontal="left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38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365554966686868E-2"/>
          <c:y val="5.2090715223097113E-2"/>
          <c:w val="0.54691650385807045"/>
          <c:h val="0.89251404924077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CD-4EB8-95EE-DBA8945E36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CD-4EB8-95EE-DBA8945E36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CD-4EB8-95EE-DBA8945E36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CD-4EB8-95EE-DBA8945E36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7CD-4EB8-95EE-DBA8945E36C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7CD-4EB8-95EE-DBA8945E36C7}"/>
              </c:ext>
            </c:extLst>
          </c:dPt>
          <c:dPt>
            <c:idx val="6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7CD-4EB8-95EE-DBA8945E36C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7CD-4EB8-95EE-DBA8945E36C7}"/>
              </c:ext>
            </c:extLst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7CD-4EB8-95EE-DBA8945E36C7}"/>
              </c:ext>
            </c:extLst>
          </c:dPt>
          <c:dLbls>
            <c:dLbl>
              <c:idx val="0"/>
              <c:layout>
                <c:manualLayout>
                  <c:x val="-0.1862453756950794"/>
                  <c:y val="6.9221560719544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CD-4EB8-95EE-DBA8945E36C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245160761154928E-2"/>
                  <c:y val="-0.138367508748906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CD-4EB8-95EE-DBA8945E36C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803427215828791E-2"/>
                  <c:y val="-7.7479768153980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7CD-4EB8-95EE-DBA8945E36C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664585934248854"/>
                  <c:y val="-9.2848729274694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7CD-4EB8-95EE-DBA8945E36C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7CD-4EB8-95EE-DBA8945E36C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8342524600155298E-2"/>
                  <c:y val="0.11537193521541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7CD-4EB8-95EE-DBA8945E36C7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5974693367655962E-2"/>
                  <c:y val="0.123854166666666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7CD-4EB8-95EE-DBA8945E36C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C7CD-4EB8-95EE-DBA8945E36C7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8653877700383606E-2"/>
                  <c:y val="6.343558617672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C7CD-4EB8-95EE-DBA8945E36C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Missione12_Programmi!$A$2:$A$10</c:f>
              <c:strCache>
                <c:ptCount val="9"/>
                <c:pt idx="0">
                  <c:v>Infanzia, minori, asili nido</c:v>
                </c:pt>
                <c:pt idx="1">
                  <c:v>Disabilità</c:v>
                </c:pt>
                <c:pt idx="2">
                  <c:v>Anziani</c:v>
                </c:pt>
                <c:pt idx="3">
                  <c:v>Soggetti a rischio esclusione sociale</c:v>
                </c:pt>
                <c:pt idx="4">
                  <c:v>Famiglie</c:v>
                </c:pt>
                <c:pt idx="5">
                  <c:v>Diritto alla casa</c:v>
                </c:pt>
                <c:pt idx="6">
                  <c:v>Rete dei servizi sociosanitari e sociali</c:v>
                </c:pt>
                <c:pt idx="7">
                  <c:v>Cooperazione e associazionismo</c:v>
                </c:pt>
                <c:pt idx="8">
                  <c:v>Servizio necroscopico e cimiteriale</c:v>
                </c:pt>
              </c:strCache>
            </c:strRef>
          </c:cat>
          <c:val>
            <c:numRef>
              <c:f>Missione12_Programmi!$B$2:$B$10</c:f>
              <c:numCache>
                <c:formatCode>#,##0</c:formatCode>
                <c:ptCount val="9"/>
                <c:pt idx="0">
                  <c:v>68833265.859999999</c:v>
                </c:pt>
                <c:pt idx="1">
                  <c:v>9479995.3100000005</c:v>
                </c:pt>
                <c:pt idx="2">
                  <c:v>12159306.34</c:v>
                </c:pt>
                <c:pt idx="3">
                  <c:v>50469825.289999999</c:v>
                </c:pt>
                <c:pt idx="4">
                  <c:v>1232520.28</c:v>
                </c:pt>
                <c:pt idx="5">
                  <c:v>3390014.25</c:v>
                </c:pt>
                <c:pt idx="6">
                  <c:v>13783697.550000001</c:v>
                </c:pt>
                <c:pt idx="7">
                  <c:v>225790.46</c:v>
                </c:pt>
                <c:pt idx="8">
                  <c:v>1137414.03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C7CD-4EB8-95EE-DBA8945E3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05368777131741"/>
          <c:y val="3.1215427490599516E-2"/>
          <c:w val="0.37732233402704773"/>
          <c:h val="0.92108789244360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2E-2"/>
          <c:w val="0.9122665336936"/>
          <c:h val="0.7262500698051042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86.516999999999996</c:v>
                </c:pt>
                <c:pt idx="1">
                  <c:v>86.783000000000001</c:v>
                </c:pt>
                <c:pt idx="2">
                  <c:v>83.590999999999994</c:v>
                </c:pt>
                <c:pt idx="3">
                  <c:v>88.147999999999996</c:v>
                </c:pt>
                <c:pt idx="4">
                  <c:v>76.736000000000004</c:v>
                </c:pt>
                <c:pt idx="5">
                  <c:v>82.04</c:v>
                </c:pt>
                <c:pt idx="6">
                  <c:v>83.201999999999998</c:v>
                </c:pt>
                <c:pt idx="7">
                  <c:v>86.61241631198024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86.352999999999994</c:v>
                </c:pt>
                <c:pt idx="1">
                  <c:v>91.241</c:v>
                </c:pt>
                <c:pt idx="2">
                  <c:v>90.721999999999994</c:v>
                </c:pt>
                <c:pt idx="3">
                  <c:v>91.153999999999996</c:v>
                </c:pt>
                <c:pt idx="4">
                  <c:v>84.754999999999995</c:v>
                </c:pt>
                <c:pt idx="5">
                  <c:v>90.606999999999999</c:v>
                </c:pt>
                <c:pt idx="6">
                  <c:v>85.597999999999999</c:v>
                </c:pt>
                <c:pt idx="7">
                  <c:v>85.853624334250313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76.613</c:v>
                </c:pt>
                <c:pt idx="1">
                  <c:v>83.161000000000001</c:v>
                </c:pt>
                <c:pt idx="2">
                  <c:v>59.86</c:v>
                </c:pt>
                <c:pt idx="3">
                  <c:v>79.456000000000003</c:v>
                </c:pt>
                <c:pt idx="4">
                  <c:v>83.150999999999996</c:v>
                </c:pt>
                <c:pt idx="5">
                  <c:v>84.977000000000004</c:v>
                </c:pt>
                <c:pt idx="6">
                  <c:v>82.093999999999994</c:v>
                </c:pt>
                <c:pt idx="7">
                  <c:v>94.15593740109108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81.784999999999997</c:v>
                </c:pt>
                <c:pt idx="1">
                  <c:v>81.879000000000005</c:v>
                </c:pt>
                <c:pt idx="2">
                  <c:v>76.516999999999996</c:v>
                </c:pt>
                <c:pt idx="3">
                  <c:v>72.814999999999998</c:v>
                </c:pt>
                <c:pt idx="4">
                  <c:v>74.004000000000005</c:v>
                </c:pt>
                <c:pt idx="5">
                  <c:v>77.299000000000007</c:v>
                </c:pt>
                <c:pt idx="6">
                  <c:v>73.813999999999993</c:v>
                </c:pt>
                <c:pt idx="7">
                  <c:v>82.08730665336806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698848"/>
        <c:axId val="1741748464"/>
      </c:lineChart>
      <c:catAx>
        <c:axId val="165569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41748464"/>
        <c:crosses val="autoZero"/>
        <c:auto val="1"/>
        <c:lblAlgn val="ctr"/>
        <c:lblOffset val="100"/>
        <c:noMultiLvlLbl val="0"/>
      </c:catAx>
      <c:valAx>
        <c:axId val="1741748464"/>
        <c:scaling>
          <c:orientation val="minMax"/>
          <c:max val="95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55698848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4170854972915621"/>
          <c:w val="0.97653411880215957"/>
          <c:h val="0.1308940637739431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691877192705622E-2"/>
          <c:y val="3.0775149067128294E-2"/>
          <c:w val="0.95870781683351702"/>
          <c:h val="0.77171200397411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444.74700000000001</c:v>
                </c:pt>
                <c:pt idx="1">
                  <c:v>433.01100000000002</c:v>
                </c:pt>
                <c:pt idx="2">
                  <c:v>446.26499999999999</c:v>
                </c:pt>
                <c:pt idx="3">
                  <c:v>443.35500000000002</c:v>
                </c:pt>
                <c:pt idx="4">
                  <c:v>441.51</c:v>
                </c:pt>
                <c:pt idx="5">
                  <c:v>444.39</c:v>
                </c:pt>
                <c:pt idx="6">
                  <c:v>475.13</c:v>
                </c:pt>
                <c:pt idx="7">
                  <c:v>476.14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5428953144383825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343162515507207E-3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6343162515507207E-3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343162515506505E-3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7257371886629705E-3"/>
                  <c:y val="3.8468936333910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6343162515507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63431625155058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6343162515507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746288"/>
        <c:axId val="1741742480"/>
      </c:barChart>
      <c:catAx>
        <c:axId val="174174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41742480"/>
        <c:crosses val="autoZero"/>
        <c:auto val="1"/>
        <c:lblAlgn val="ctr"/>
        <c:lblOffset val="100"/>
        <c:noMultiLvlLbl val="0"/>
      </c:catAx>
      <c:valAx>
        <c:axId val="1741742480"/>
        <c:scaling>
          <c:orientation val="minMax"/>
          <c:max val="5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74174628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72076286055424E-2"/>
          <c:y val="6.3862674984438261E-2"/>
          <c:w val="0.98542792371394439"/>
          <c:h val="0.73862447805680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3.8171581257753604E-3"/>
                  <c:y val="7.69378726678200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9F-46A8-98B5-68E9A001E6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085790628876802E-3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19F-46A8-98B5-68E9A001E6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428953144384709E-3"/>
                  <c:y val="7.69378726678200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19F-46A8-98B5-68E9A001E6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085790628876802E-3"/>
                  <c:y val="7.6937872667820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19F-46A8-98B5-68E9A001E6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151.74199999999999</c:v>
                </c:pt>
                <c:pt idx="1">
                  <c:v>168.761</c:v>
                </c:pt>
                <c:pt idx="2">
                  <c:v>126.17399999999999</c:v>
                </c:pt>
                <c:pt idx="3">
                  <c:v>142.417</c:v>
                </c:pt>
                <c:pt idx="4">
                  <c:v>191.40799999999999</c:v>
                </c:pt>
                <c:pt idx="5">
                  <c:v>197.19200000000001</c:v>
                </c:pt>
                <c:pt idx="6">
                  <c:v>297.35899999999998</c:v>
                </c:pt>
                <c:pt idx="7">
                  <c:v>705.91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63431625155070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19F-46A8-98B5-68E9A001E6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257371886630408E-3"/>
                  <c:y val="1.5387574533564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19F-46A8-98B5-68E9A001E6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19F-46A8-98B5-68E9A001E6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7257371886630408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19F-46A8-98B5-68E9A001E6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6343162515505802E-3"/>
                  <c:y val="3.8468936333909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257371886629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744656"/>
        <c:axId val="1741745200"/>
      </c:barChart>
      <c:catAx>
        <c:axId val="174174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41745200"/>
        <c:crosses val="autoZero"/>
        <c:auto val="1"/>
        <c:lblAlgn val="ctr"/>
        <c:lblOffset val="100"/>
        <c:noMultiLvlLbl val="0"/>
      </c:catAx>
      <c:valAx>
        <c:axId val="1741745200"/>
        <c:scaling>
          <c:orientation val="minMax"/>
          <c:max val="7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74174465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09035318480982E-2"/>
          <c:y val="0"/>
          <c:w val="0.95679921453118366"/>
          <c:h val="0.87573140201098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085790628876713E-3"/>
                  <c:y val="-1.538666581853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473-4FCC-A737-F8E454F5E1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-3</c:v>
                </c:pt>
                <c:pt idx="1">
                  <c:v>-6.59</c:v>
                </c:pt>
                <c:pt idx="2">
                  <c:v>-8.06</c:v>
                </c:pt>
                <c:pt idx="3">
                  <c:v>-11.39</c:v>
                </c:pt>
                <c:pt idx="4">
                  <c:v>-21.31</c:v>
                </c:pt>
                <c:pt idx="5">
                  <c:v>-20.54</c:v>
                </c:pt>
                <c:pt idx="6">
                  <c:v>-19.510000000000002</c:v>
                </c:pt>
                <c:pt idx="7">
                  <c:v>-16.34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745744"/>
        <c:axId val="1741743568"/>
      </c:barChart>
      <c:catAx>
        <c:axId val="174174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41743568"/>
        <c:crosses val="autoZero"/>
        <c:auto val="1"/>
        <c:lblAlgn val="ctr"/>
        <c:lblOffset val="100"/>
        <c:noMultiLvlLbl val="0"/>
      </c:catAx>
      <c:valAx>
        <c:axId val="1741743568"/>
        <c:scaling>
          <c:orientation val="minMax"/>
          <c:max val="50"/>
          <c:min val="-25"/>
        </c:scaling>
        <c:delete val="1"/>
        <c:axPos val="l"/>
        <c:numFmt formatCode="0" sourceLinked="0"/>
        <c:majorTickMark val="none"/>
        <c:minorTickMark val="none"/>
        <c:tickLblPos val="none"/>
        <c:crossAx val="174174574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2E-2"/>
          <c:y val="4.4321329639889197E-2"/>
          <c:w val="0.95679921453118366"/>
          <c:h val="0.75816578329370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9085790628876802E-3"/>
                  <c:y val="3.8468936333908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428953144384709E-3"/>
                  <c:y val="7.6937872667820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7257371886630408E-3"/>
                  <c:y val="3.8468936333911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5428953144385403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5428953144383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404.14299999999997</c:v>
                </c:pt>
                <c:pt idx="1">
                  <c:v>372.94299999999998</c:v>
                </c:pt>
                <c:pt idx="2">
                  <c:v>330.178</c:v>
                </c:pt>
                <c:pt idx="3">
                  <c:v>192.98035762192939</c:v>
                </c:pt>
                <c:pt idx="4">
                  <c:v>207.8953089910373</c:v>
                </c:pt>
                <c:pt idx="5">
                  <c:v>244.48862862088509</c:v>
                </c:pt>
                <c:pt idx="6">
                  <c:v>213.33872497047767</c:v>
                </c:pt>
                <c:pt idx="7">
                  <c:v>225.23083615107916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747920"/>
        <c:axId val="1741741392"/>
      </c:barChart>
      <c:catAx>
        <c:axId val="174174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41741392"/>
        <c:crosses val="autoZero"/>
        <c:auto val="1"/>
        <c:lblAlgn val="ctr"/>
        <c:lblOffset val="100"/>
        <c:noMultiLvlLbl val="0"/>
      </c:catAx>
      <c:valAx>
        <c:axId val="1741741392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741747920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27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390518</c:v>
                </c:pt>
                <c:pt idx="1">
                  <c:v>389200</c:v>
                </c:pt>
                <c:pt idx="2">
                  <c:v>387842</c:v>
                </c:pt>
                <c:pt idx="3">
                  <c:v>391686</c:v>
                </c:pt>
                <c:pt idx="4">
                  <c:v>395416</c:v>
                </c:pt>
                <c:pt idx="5">
                  <c:v>393248</c:v>
                </c:pt>
                <c:pt idx="6">
                  <c:v>390956</c:v>
                </c:pt>
                <c:pt idx="7">
                  <c:v>389819</c:v>
                </c:pt>
                <c:pt idx="8">
                  <c:v>387025</c:v>
                </c:pt>
                <c:pt idx="9">
                  <c:v>385190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741936"/>
        <c:axId val="1741743024"/>
      </c:barChart>
      <c:catAx>
        <c:axId val="1741741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741743024"/>
        <c:crosses val="autoZero"/>
        <c:auto val="1"/>
        <c:lblAlgn val="ctr"/>
        <c:lblOffset val="100"/>
        <c:noMultiLvlLbl val="0"/>
      </c:catAx>
      <c:valAx>
        <c:axId val="1741743024"/>
        <c:scaling>
          <c:orientation val="minMax"/>
          <c:max val="45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741741936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2230057669705"/>
          <c:y val="3.8314176245210725E-2"/>
          <c:w val="0.87070933128718542"/>
          <c:h val="0.745340178872625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Missione12_Programmi!$A$106</c:f>
              <c:strCache>
                <c:ptCount val="1"/>
                <c:pt idx="0">
                  <c:v>Infanzia, minori, asili nido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Missione12_Programmi!$B$106:$I$106</c:f>
              <c:numCache>
                <c:formatCode>#,##0</c:formatCode>
                <c:ptCount val="8"/>
                <c:pt idx="0">
                  <c:v>47917227.07</c:v>
                </c:pt>
                <c:pt idx="1">
                  <c:v>54330652.829999998</c:v>
                </c:pt>
                <c:pt idx="2">
                  <c:v>52453844.420000002</c:v>
                </c:pt>
                <c:pt idx="3">
                  <c:v>52063125.43</c:v>
                </c:pt>
                <c:pt idx="4">
                  <c:v>54780825.549999997</c:v>
                </c:pt>
                <c:pt idx="5">
                  <c:v>60287897.310000002</c:v>
                </c:pt>
                <c:pt idx="6">
                  <c:v>62020649.899999999</c:v>
                </c:pt>
                <c:pt idx="7">
                  <c:v>68833265.859999999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70-4B1D-ABE6-58B0230CB59B}"/>
            </c:ext>
          </c:extLst>
        </c:ser>
        <c:ser>
          <c:idx val="3"/>
          <c:order val="1"/>
          <c:tx>
            <c:strRef>
              <c:f>Missione12_Programmi!$A$107</c:f>
              <c:strCache>
                <c:ptCount val="1"/>
                <c:pt idx="0">
                  <c:v>Soggetti a rischio esclusione sociale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Missione12_Programmi!$B$107:$I$107</c:f>
              <c:numCache>
                <c:formatCode>#,##0</c:formatCode>
                <c:ptCount val="8"/>
                <c:pt idx="0">
                  <c:v>12019998.289999999</c:v>
                </c:pt>
                <c:pt idx="1">
                  <c:v>15620042.92</c:v>
                </c:pt>
                <c:pt idx="2">
                  <c:v>27000863.670000002</c:v>
                </c:pt>
                <c:pt idx="3">
                  <c:v>31778445.800000001</c:v>
                </c:pt>
                <c:pt idx="4">
                  <c:v>43994897.380000003</c:v>
                </c:pt>
                <c:pt idx="5">
                  <c:v>40279667.549999997</c:v>
                </c:pt>
                <c:pt idx="6">
                  <c:v>49270895.450000003</c:v>
                </c:pt>
                <c:pt idx="7">
                  <c:v>50469825.289999999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70-4B1D-ABE6-58B0230CB59B}"/>
            </c:ext>
          </c:extLst>
        </c:ser>
        <c:ser>
          <c:idx val="6"/>
          <c:order val="2"/>
          <c:tx>
            <c:strRef>
              <c:f>Missione12_Programmi!$A$108</c:f>
              <c:strCache>
                <c:ptCount val="1"/>
                <c:pt idx="0">
                  <c:v>Rete dei servizi sociosanitari e sociali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Missione12_Programmi!$B$108:$I$108</c:f>
              <c:numCache>
                <c:formatCode>#,##0</c:formatCode>
                <c:ptCount val="8"/>
                <c:pt idx="0">
                  <c:v>11050361.560000001</c:v>
                </c:pt>
                <c:pt idx="1">
                  <c:v>11165711.18</c:v>
                </c:pt>
                <c:pt idx="2">
                  <c:v>11505830.07</c:v>
                </c:pt>
                <c:pt idx="3">
                  <c:v>11196998.25</c:v>
                </c:pt>
                <c:pt idx="4">
                  <c:v>11943419.289999999</c:v>
                </c:pt>
                <c:pt idx="5">
                  <c:v>12590556.119999999</c:v>
                </c:pt>
                <c:pt idx="6">
                  <c:v>15243501.08</c:v>
                </c:pt>
                <c:pt idx="7">
                  <c:v>13783697.550000001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F70-4B1D-ABE6-58B0230CB59B}"/>
            </c:ext>
          </c:extLst>
        </c:ser>
        <c:ser>
          <c:idx val="2"/>
          <c:order val="3"/>
          <c:tx>
            <c:strRef>
              <c:f>Missione12_Programmi!$A$109</c:f>
              <c:strCache>
                <c:ptCount val="1"/>
                <c:pt idx="0">
                  <c:v>Anziani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Missione12_Programmi!$B$109:$I$109</c:f>
              <c:numCache>
                <c:formatCode>#,##0</c:formatCode>
                <c:ptCount val="8"/>
                <c:pt idx="0">
                  <c:v>10159789.83</c:v>
                </c:pt>
                <c:pt idx="1">
                  <c:v>10067110.68</c:v>
                </c:pt>
                <c:pt idx="2">
                  <c:v>10267170.08</c:v>
                </c:pt>
                <c:pt idx="3">
                  <c:v>11707487.460000001</c:v>
                </c:pt>
                <c:pt idx="4">
                  <c:v>11784859.800000001</c:v>
                </c:pt>
                <c:pt idx="5">
                  <c:v>11628717.15</c:v>
                </c:pt>
                <c:pt idx="6">
                  <c:v>12244413.42</c:v>
                </c:pt>
                <c:pt idx="7">
                  <c:v>12159306.34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F70-4B1D-ABE6-58B0230CB59B}"/>
            </c:ext>
          </c:extLst>
        </c:ser>
        <c:ser>
          <c:idx val="5"/>
          <c:order val="4"/>
          <c:tx>
            <c:strRef>
              <c:f>Missione12_Programmi!$A$111</c:f>
              <c:strCache>
                <c:ptCount val="1"/>
                <c:pt idx="0">
                  <c:v>Diritto alla casa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Missione12_Programmi!$B$111:$I$111</c:f>
              <c:numCache>
                <c:formatCode>#,##0</c:formatCode>
                <c:ptCount val="8"/>
                <c:pt idx="0">
                  <c:v>2411565.13</c:v>
                </c:pt>
                <c:pt idx="1">
                  <c:v>637947.23</c:v>
                </c:pt>
                <c:pt idx="2">
                  <c:v>2478001.54</c:v>
                </c:pt>
                <c:pt idx="3">
                  <c:v>2127617.96</c:v>
                </c:pt>
                <c:pt idx="4">
                  <c:v>4262285.41</c:v>
                </c:pt>
                <c:pt idx="5">
                  <c:v>11426018.949999999</c:v>
                </c:pt>
                <c:pt idx="6">
                  <c:v>8432398.3800000008</c:v>
                </c:pt>
                <c:pt idx="7">
                  <c:v>3390014.25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F70-4B1D-ABE6-58B0230CB59B}"/>
            </c:ext>
          </c:extLst>
        </c:ser>
        <c:ser>
          <c:idx val="1"/>
          <c:order val="5"/>
          <c:tx>
            <c:strRef>
              <c:f>Missione12_Programmi!$A$110</c:f>
              <c:strCache>
                <c:ptCount val="1"/>
                <c:pt idx="0">
                  <c:v>Disabilità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Missione12_Programmi!$B$110:$I$110</c:f>
              <c:numCache>
                <c:formatCode>#,##0</c:formatCode>
                <c:ptCount val="8"/>
                <c:pt idx="0">
                  <c:v>8896353.0099999998</c:v>
                </c:pt>
                <c:pt idx="1">
                  <c:v>8108074.7999999998</c:v>
                </c:pt>
                <c:pt idx="2">
                  <c:v>9623471.0299999993</c:v>
                </c:pt>
                <c:pt idx="3">
                  <c:v>8742181.5199999996</c:v>
                </c:pt>
                <c:pt idx="4">
                  <c:v>8349320.0199999996</c:v>
                </c:pt>
                <c:pt idx="5">
                  <c:v>8718545.4299999997</c:v>
                </c:pt>
                <c:pt idx="6">
                  <c:v>8451827.4199999999</c:v>
                </c:pt>
                <c:pt idx="7">
                  <c:v>9479995.3100000005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F70-4B1D-ABE6-58B0230CB59B}"/>
            </c:ext>
          </c:extLst>
        </c:ser>
        <c:ser>
          <c:idx val="8"/>
          <c:order val="6"/>
          <c:tx>
            <c:strRef>
              <c:f>Missione12_Programmi!$A$113</c:f>
              <c:strCache>
                <c:ptCount val="1"/>
                <c:pt idx="0">
                  <c:v>Servizio necroscopico e cimiteriale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Missione12_Programmi!$B$113:$I$113</c:f>
              <c:numCache>
                <c:formatCode>#,##0</c:formatCode>
                <c:ptCount val="8"/>
                <c:pt idx="0">
                  <c:v>1143110.52</c:v>
                </c:pt>
                <c:pt idx="1">
                  <c:v>1216482.83</c:v>
                </c:pt>
                <c:pt idx="2">
                  <c:v>1137557.8799999999</c:v>
                </c:pt>
                <c:pt idx="3">
                  <c:v>1156093.95</c:v>
                </c:pt>
                <c:pt idx="4">
                  <c:v>1274225.1299999999</c:v>
                </c:pt>
                <c:pt idx="5">
                  <c:v>1570130.81</c:v>
                </c:pt>
                <c:pt idx="6">
                  <c:v>1517496.45</c:v>
                </c:pt>
                <c:pt idx="7">
                  <c:v>1137414.03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F70-4B1D-ABE6-58B0230CB59B}"/>
            </c:ext>
          </c:extLst>
        </c:ser>
        <c:ser>
          <c:idx val="4"/>
          <c:order val="7"/>
          <c:tx>
            <c:strRef>
              <c:f>Missione12_Programmi!$A$112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Missione12_Programmi!$B$112:$I$112</c:f>
              <c:numCache>
                <c:formatCode>#,##0</c:formatCode>
                <c:ptCount val="8"/>
                <c:pt idx="0">
                  <c:v>718841.6</c:v>
                </c:pt>
                <c:pt idx="1">
                  <c:v>738622.86</c:v>
                </c:pt>
                <c:pt idx="2">
                  <c:v>728056.48</c:v>
                </c:pt>
                <c:pt idx="3">
                  <c:v>779347.96</c:v>
                </c:pt>
                <c:pt idx="4">
                  <c:v>926316.95</c:v>
                </c:pt>
                <c:pt idx="5">
                  <c:v>1074689.81</c:v>
                </c:pt>
                <c:pt idx="6">
                  <c:v>1199837.6299999999</c:v>
                </c:pt>
                <c:pt idx="7">
                  <c:v>1232520.28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F70-4B1D-ABE6-58B0230CB59B}"/>
            </c:ext>
          </c:extLst>
        </c:ser>
        <c:ser>
          <c:idx val="7"/>
          <c:order val="8"/>
          <c:tx>
            <c:strRef>
              <c:f>Missione12_Programmi!$A$114</c:f>
              <c:strCache>
                <c:ptCount val="1"/>
                <c:pt idx="0">
                  <c:v>Cooperazione e associazionismo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Missione12_Programmi!$B$114:$I$114</c:f>
              <c:numCache>
                <c:formatCode>#,##0</c:formatCode>
                <c:ptCount val="8"/>
                <c:pt idx="0">
                  <c:v>216295.13</c:v>
                </c:pt>
                <c:pt idx="1">
                  <c:v>178297.78</c:v>
                </c:pt>
                <c:pt idx="2">
                  <c:v>204917.53</c:v>
                </c:pt>
                <c:pt idx="3">
                  <c:v>363827.67</c:v>
                </c:pt>
                <c:pt idx="4">
                  <c:v>383024.54</c:v>
                </c:pt>
                <c:pt idx="5">
                  <c:v>529176.29</c:v>
                </c:pt>
                <c:pt idx="6">
                  <c:v>444881.57</c:v>
                </c:pt>
                <c:pt idx="7">
                  <c:v>225790.46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F70-4B1D-ABE6-58B0230CB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9921232"/>
        <c:axId val="1659921776"/>
      </c:barChart>
      <c:catAx>
        <c:axId val="165992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59921776"/>
        <c:crosses val="autoZero"/>
        <c:auto val="1"/>
        <c:lblAlgn val="ctr"/>
        <c:lblOffset val="100"/>
        <c:noMultiLvlLbl val="0"/>
      </c:catAx>
      <c:valAx>
        <c:axId val="165992177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59921232"/>
        <c:crosses val="autoZero"/>
        <c:crossBetween val="between"/>
        <c:majorUnit val="50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046750826680301E-2"/>
          <c:y val="0.85327288634375253"/>
          <c:w val="0.95810603430951646"/>
          <c:h val="0.12582847206795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290542307.44</c:v>
                </c:pt>
                <c:pt idx="1">
                  <c:v>312991715.32999998</c:v>
                </c:pt>
                <c:pt idx="2">
                  <c:v>320521881.56999999</c:v>
                </c:pt>
                <c:pt idx="3">
                  <c:v>298259040.72000003</c:v>
                </c:pt>
                <c:pt idx="4">
                  <c:v>329165051.08999997</c:v>
                </c:pt>
                <c:pt idx="5">
                  <c:v>316881814.81</c:v>
                </c:pt>
                <c:pt idx="6">
                  <c:v>324442938.51999998</c:v>
                </c:pt>
                <c:pt idx="7">
                  <c:v>314633778.41000003</c:v>
                </c:pt>
                <c:pt idx="8">
                  <c:v>316660992.81</c:v>
                </c:pt>
                <c:pt idx="9">
                  <c:v>472804328.48000002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99948833.010000005</c:v>
                </c:pt>
                <c:pt idx="1">
                  <c:v>128153614</c:v>
                </c:pt>
                <c:pt idx="2">
                  <c:v>134763289.5</c:v>
                </c:pt>
                <c:pt idx="3">
                  <c:v>132218683.77</c:v>
                </c:pt>
                <c:pt idx="4">
                  <c:v>166949417.06</c:v>
                </c:pt>
                <c:pt idx="5">
                  <c:v>162803254.93000001</c:v>
                </c:pt>
                <c:pt idx="6">
                  <c:v>170449068.52000001</c:v>
                </c:pt>
                <c:pt idx="7">
                  <c:v>168160520.99000001</c:v>
                </c:pt>
                <c:pt idx="8">
                  <c:v>198076903.31</c:v>
                </c:pt>
                <c:pt idx="9">
                  <c:v>178678991.36000001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922320"/>
        <c:axId val="1659922864"/>
      </c:lineChart>
      <c:catAx>
        <c:axId val="165992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59922864"/>
        <c:crosses val="autoZero"/>
        <c:auto val="1"/>
        <c:lblAlgn val="ctr"/>
        <c:lblOffset val="100"/>
        <c:noMultiLvlLbl val="0"/>
      </c:catAx>
      <c:valAx>
        <c:axId val="1659922864"/>
        <c:scaling>
          <c:orientation val="minMax"/>
          <c:max val="500000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659922320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290542307.44</c:v>
                </c:pt>
                <c:pt idx="1">
                  <c:v>312991715.32999998</c:v>
                </c:pt>
                <c:pt idx="2">
                  <c:v>320521881.56999999</c:v>
                </c:pt>
                <c:pt idx="3">
                  <c:v>298259040.72000003</c:v>
                </c:pt>
                <c:pt idx="4">
                  <c:v>329165051.08999997</c:v>
                </c:pt>
                <c:pt idx="5">
                  <c:v>316881814.81</c:v>
                </c:pt>
                <c:pt idx="6">
                  <c:v>324442938.51999998</c:v>
                </c:pt>
                <c:pt idx="7">
                  <c:v>314633778.41000003</c:v>
                </c:pt>
                <c:pt idx="8">
                  <c:v>316660992.81</c:v>
                </c:pt>
                <c:pt idx="9">
                  <c:v>472804328.48000002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Risultato_amministrazione!$B$8:$K$8</c:f>
              <c:numCache>
                <c:formatCode>#,##0</c:formatCode>
                <c:ptCount val="10"/>
                <c:pt idx="0">
                  <c:v>82466767.549999997</c:v>
                </c:pt>
                <c:pt idx="1">
                  <c:v>113458306.87</c:v>
                </c:pt>
                <c:pt idx="2">
                  <c:v>128248391.03</c:v>
                </c:pt>
                <c:pt idx="3">
                  <c:v>135116062.99000001</c:v>
                </c:pt>
                <c:pt idx="4">
                  <c:v>151766264.91999999</c:v>
                </c:pt>
                <c:pt idx="5">
                  <c:v>160982666.50999999</c:v>
                </c:pt>
                <c:pt idx="6">
                  <c:v>161493891.16999999</c:v>
                </c:pt>
                <c:pt idx="7">
                  <c:v>156749520.16</c:v>
                </c:pt>
                <c:pt idx="8">
                  <c:v>157354814.34</c:v>
                </c:pt>
                <c:pt idx="9">
                  <c:v>163727042.43000001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59919600"/>
        <c:axId val="1655695040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Risultato_amministrazione!$B$23:$K$23</c:f>
              <c:numCache>
                <c:formatCode>0.0</c:formatCode>
                <c:ptCount val="10"/>
                <c:pt idx="0">
                  <c:v>28.383738078155879</c:v>
                </c:pt>
                <c:pt idx="1">
                  <c:v>36.249619818331695</c:v>
                </c:pt>
                <c:pt idx="2">
                  <c:v>40.012366831807498</c:v>
                </c:pt>
                <c:pt idx="3">
                  <c:v>45.301581693493212</c:v>
                </c:pt>
                <c:pt idx="4">
                  <c:v>46.106433358413923</c:v>
                </c:pt>
                <c:pt idx="5">
                  <c:v>50.802115800341532</c:v>
                </c:pt>
                <c:pt idx="6">
                  <c:v>49.775745438221286</c:v>
                </c:pt>
                <c:pt idx="7">
                  <c:v>49.819673193429132</c:v>
                </c:pt>
                <c:pt idx="8">
                  <c:v>49.691884353566266</c:v>
                </c:pt>
                <c:pt idx="9">
                  <c:v>34.628922065151059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696128"/>
        <c:axId val="1655699936"/>
      </c:lineChart>
      <c:catAx>
        <c:axId val="165991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55695040"/>
        <c:crosses val="autoZero"/>
        <c:auto val="1"/>
        <c:lblAlgn val="ctr"/>
        <c:lblOffset val="100"/>
        <c:noMultiLvlLbl val="0"/>
      </c:catAx>
      <c:valAx>
        <c:axId val="16556950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59919600"/>
        <c:crosses val="autoZero"/>
        <c:crossBetween val="between"/>
      </c:valAx>
      <c:valAx>
        <c:axId val="1655699936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55696128"/>
        <c:crosses val="max"/>
        <c:crossBetween val="between"/>
      </c:valAx>
      <c:catAx>
        <c:axId val="165569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56999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15088347816861E-2"/>
          <c:y val="1.9227205294990408E-2"/>
          <c:w val="0.90485708611250892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665337616724128E-3"/>
                  <c:y val="3.17114856720158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40-4839-BE33-BE52BF9E7D7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215789067210889E-3"/>
                  <c:y val="3.8646195176115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40-4839-BE33-BE52BF9E7D7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Conto_economico!$C$1:$M$1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Conto_economico!$C$28:$M$28</c:f>
              <c:numCache>
                <c:formatCode>#,##0</c:formatCode>
                <c:ptCount val="11"/>
                <c:pt idx="0">
                  <c:v>24784071.769999925</c:v>
                </c:pt>
                <c:pt idx="1">
                  <c:v>2636248.859999923</c:v>
                </c:pt>
                <c:pt idx="2">
                  <c:v>33846245.910000034</c:v>
                </c:pt>
                <c:pt idx="3">
                  <c:v>30930292.319999926</c:v>
                </c:pt>
                <c:pt idx="4">
                  <c:v>46553658.970000006</c:v>
                </c:pt>
                <c:pt idx="5">
                  <c:v>53196713.619999968</c:v>
                </c:pt>
                <c:pt idx="6">
                  <c:v>86922679.060000032</c:v>
                </c:pt>
                <c:pt idx="7">
                  <c:v>79487531.889999956</c:v>
                </c:pt>
                <c:pt idx="8">
                  <c:v>14000332.619999956</c:v>
                </c:pt>
                <c:pt idx="9">
                  <c:v>25411835.40000011</c:v>
                </c:pt>
                <c:pt idx="10">
                  <c:v>44986440.20000001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5693952"/>
        <c:axId val="1655695584"/>
      </c:barChart>
      <c:catAx>
        <c:axId val="165569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655695584"/>
        <c:crosses val="autoZero"/>
        <c:auto val="1"/>
        <c:lblAlgn val="ctr"/>
        <c:lblOffset val="100"/>
        <c:noMultiLvlLbl val="0"/>
      </c:catAx>
      <c:valAx>
        <c:axId val="165569558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one"/>
        <c:spPr>
          <a:noFill/>
          <a:ln>
            <a:noFill/>
          </a:ln>
        </c:spPr>
        <c:txPr>
          <a:bodyPr/>
          <a:lstStyle/>
          <a:p>
            <a:pPr>
              <a:defRPr sz="1200"/>
            </a:pPr>
            <a:endParaRPr lang="it-IT"/>
          </a:p>
        </c:txPr>
        <c:crossAx val="1655693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Stato_patrimoniale!$B$21:$L$21</c:f>
              <c:numCache>
                <c:formatCode>#,##0</c:formatCode>
                <c:ptCount val="11"/>
                <c:pt idx="0">
                  <c:v>185987107.15000001</c:v>
                </c:pt>
                <c:pt idx="1">
                  <c:v>173564683.63</c:v>
                </c:pt>
                <c:pt idx="2">
                  <c:v>156267069.81</c:v>
                </c:pt>
                <c:pt idx="3">
                  <c:v>144838838.15000001</c:v>
                </c:pt>
                <c:pt idx="4">
                  <c:v>128525481.97</c:v>
                </c:pt>
                <c:pt idx="5">
                  <c:v>98121071.319999993</c:v>
                </c:pt>
                <c:pt idx="6">
                  <c:v>75385074.980000004</c:v>
                </c:pt>
                <c:pt idx="7">
                  <c:v>82205131.5</c:v>
                </c:pt>
                <c:pt idx="8">
                  <c:v>95762772.989999995</c:v>
                </c:pt>
                <c:pt idx="9">
                  <c:v>82741717.769999996</c:v>
                </c:pt>
                <c:pt idx="10">
                  <c:v>87659841.430000007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Stato_patrimoniale!$B$22:$L$22</c:f>
              <c:numCache>
                <c:formatCode>#,##0</c:formatCode>
                <c:ptCount val="11"/>
                <c:pt idx="0">
                  <c:v>94050947.219999999</c:v>
                </c:pt>
                <c:pt idx="1">
                  <c:v>72399850.920000002</c:v>
                </c:pt>
                <c:pt idx="2">
                  <c:v>79262168.75</c:v>
                </c:pt>
                <c:pt idx="3">
                  <c:v>87419279.859999999</c:v>
                </c:pt>
                <c:pt idx="4">
                  <c:v>93654497.290000007</c:v>
                </c:pt>
                <c:pt idx="5">
                  <c:v>112069018.14</c:v>
                </c:pt>
                <c:pt idx="6">
                  <c:v>108361748.65000001</c:v>
                </c:pt>
                <c:pt idx="7">
                  <c:v>111111918.02</c:v>
                </c:pt>
                <c:pt idx="8">
                  <c:v>109579444.14</c:v>
                </c:pt>
                <c:pt idx="9">
                  <c:v>123148567.87</c:v>
                </c:pt>
                <c:pt idx="10">
                  <c:v>125895938.37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Stato_patrimoniale!$B$23:$L$23</c:f>
              <c:numCache>
                <c:formatCode>#,##0</c:formatCode>
                <c:ptCount val="11"/>
                <c:pt idx="0">
                  <c:v>10330581.74</c:v>
                </c:pt>
                <c:pt idx="1">
                  <c:v>4918663.04</c:v>
                </c:pt>
                <c:pt idx="2">
                  <c:v>5988446.7599999998</c:v>
                </c:pt>
                <c:pt idx="3">
                  <c:v>9561196.0700000003</c:v>
                </c:pt>
                <c:pt idx="4">
                  <c:v>9067343.4900000002</c:v>
                </c:pt>
                <c:pt idx="5">
                  <c:v>14471699.84</c:v>
                </c:pt>
                <c:pt idx="6">
                  <c:v>20737923.739999998</c:v>
                </c:pt>
                <c:pt idx="7">
                  <c:v>25116142.039999999</c:v>
                </c:pt>
                <c:pt idx="8">
                  <c:v>19217617.100000001</c:v>
                </c:pt>
                <c:pt idx="9">
                  <c:v>26051309.420000002</c:v>
                </c:pt>
                <c:pt idx="10">
                  <c:v>17308636.059999999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Stato_patrimoniale!$B$24:$L$24</c:f>
              <c:numCache>
                <c:formatCode>#,##0</c:formatCode>
                <c:ptCount val="11"/>
                <c:pt idx="0">
                  <c:v>10962755.68</c:v>
                </c:pt>
                <c:pt idx="1">
                  <c:v>10754660.98</c:v>
                </c:pt>
                <c:pt idx="2">
                  <c:v>14436579.07</c:v>
                </c:pt>
                <c:pt idx="3">
                  <c:v>37782813.57</c:v>
                </c:pt>
                <c:pt idx="4">
                  <c:v>29650936.899999999</c:v>
                </c:pt>
                <c:pt idx="5">
                  <c:v>42632988.75</c:v>
                </c:pt>
                <c:pt idx="6">
                  <c:v>33703582.539999999</c:v>
                </c:pt>
                <c:pt idx="7">
                  <c:v>34221008.460000001</c:v>
                </c:pt>
                <c:pt idx="8">
                  <c:v>39363459.75</c:v>
                </c:pt>
                <c:pt idx="9">
                  <c:v>48640964.159999996</c:v>
                </c:pt>
                <c:pt idx="10">
                  <c:v>35251844.159999996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5699392"/>
        <c:axId val="1655698304"/>
      </c:barChart>
      <c:catAx>
        <c:axId val="16556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55698304"/>
        <c:crosses val="autoZero"/>
        <c:auto val="1"/>
        <c:lblAlgn val="ctr"/>
        <c:lblOffset val="100"/>
        <c:noMultiLvlLbl val="0"/>
      </c:catAx>
      <c:valAx>
        <c:axId val="1655698304"/>
        <c:scaling>
          <c:orientation val="minMax"/>
          <c:max val="3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655699392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6807585671509369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Stato_patrimoniale!$B$14:$L$14</c:f>
              <c:numCache>
                <c:formatCode>#,##0</c:formatCode>
                <c:ptCount val="11"/>
                <c:pt idx="0">
                  <c:v>2113404312.97</c:v>
                </c:pt>
                <c:pt idx="1">
                  <c:v>2219719021.27</c:v>
                </c:pt>
                <c:pt idx="2">
                  <c:v>2113404312.97</c:v>
                </c:pt>
                <c:pt idx="3">
                  <c:v>2113404312.97</c:v>
                </c:pt>
                <c:pt idx="4">
                  <c:v>764585997.70000005</c:v>
                </c:pt>
                <c:pt idx="5">
                  <c:v>764585997.70000005</c:v>
                </c:pt>
                <c:pt idx="6">
                  <c:v>764585997.70000005</c:v>
                </c:pt>
                <c:pt idx="7">
                  <c:v>764585997.70000005</c:v>
                </c:pt>
                <c:pt idx="8">
                  <c:v>764585997.70000005</c:v>
                </c:pt>
                <c:pt idx="9">
                  <c:v>767305076.09000003</c:v>
                </c:pt>
                <c:pt idx="10">
                  <c:v>767305076.09000003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Stato_patrimoniale!$B$15:$L$15</c:f>
              <c:numCache>
                <c:formatCode>#,##0</c:formatCode>
                <c:ptCount val="11"/>
                <c:pt idx="0">
                  <c:v>81530636.530000001</c:v>
                </c:pt>
                <c:pt idx="1">
                  <c:v>1816349.86</c:v>
                </c:pt>
                <c:pt idx="2">
                  <c:v>111049932.40000001</c:v>
                </c:pt>
                <c:pt idx="3">
                  <c:v>154213622.71000001</c:v>
                </c:pt>
                <c:pt idx="4">
                  <c:v>1601409767.5799999</c:v>
                </c:pt>
                <c:pt idx="5">
                  <c:v>1659684120.1199999</c:v>
                </c:pt>
                <c:pt idx="6">
                  <c:v>1728347403.21</c:v>
                </c:pt>
                <c:pt idx="7">
                  <c:v>1828953185.3199999</c:v>
                </c:pt>
                <c:pt idx="8">
                  <c:v>1639679780.6099999</c:v>
                </c:pt>
                <c:pt idx="9">
                  <c:v>1648448630.8800001</c:v>
                </c:pt>
                <c:pt idx="10">
                  <c:v>1890337491.3299999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Stato_patrimoniale!$B$17:$L$17</c:f>
              <c:numCache>
                <c:formatCode>#,##0</c:formatCode>
                <c:ptCount val="11"/>
                <c:pt idx="0">
                  <c:v>24784071.77</c:v>
                </c:pt>
                <c:pt idx="1">
                  <c:v>2636248.86</c:v>
                </c:pt>
                <c:pt idx="2">
                  <c:v>33846245.909999996</c:v>
                </c:pt>
                <c:pt idx="3">
                  <c:v>30930292.32</c:v>
                </c:pt>
                <c:pt idx="4">
                  <c:v>46553658.969999999</c:v>
                </c:pt>
                <c:pt idx="5">
                  <c:v>53196713.619999997</c:v>
                </c:pt>
                <c:pt idx="6">
                  <c:v>86922679.060000002</c:v>
                </c:pt>
                <c:pt idx="7">
                  <c:v>79487531.890000001</c:v>
                </c:pt>
                <c:pt idx="8">
                  <c:v>14000332.619999999</c:v>
                </c:pt>
                <c:pt idx="9">
                  <c:v>25411835.399999999</c:v>
                </c:pt>
                <c:pt idx="10">
                  <c:v>44986440.200000003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Stato_patrimoniale!$B$18:$L$18</c:f>
              <c:numCache>
                <c:formatCode>#,##0</c:formatCode>
                <c:ptCount val="11"/>
                <c:pt idx="7">
                  <c:v>0</c:v>
                </c:pt>
                <c:pt idx="8">
                  <c:v>274291851.37</c:v>
                </c:pt>
                <c:pt idx="9">
                  <c:v>288570821.33999997</c:v>
                </c:pt>
                <c:pt idx="10">
                  <c:v>313982656.74000001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B9-4EBC-A67B-C123492AD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5693408"/>
        <c:axId val="1655700480"/>
      </c:barChart>
      <c:catAx>
        <c:axId val="165569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55700480"/>
        <c:crosses val="autoZero"/>
        <c:auto val="1"/>
        <c:lblAlgn val="ctr"/>
        <c:lblOffset val="100"/>
        <c:noMultiLvlLbl val="0"/>
      </c:catAx>
      <c:valAx>
        <c:axId val="1655700480"/>
        <c:scaling>
          <c:orientation val="minMax"/>
          <c:max val="2800000000"/>
          <c:min val="0"/>
        </c:scaling>
        <c:delete val="0"/>
        <c:axPos val="b"/>
        <c:numFmt formatCode="#,##0" sourceLinked="0"/>
        <c:majorTickMark val="none"/>
        <c:minorTickMark val="none"/>
        <c:tickLblPos val="nextTo"/>
        <c:crossAx val="1655693408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13E-2"/>
          <c:w val="0.91226637907374619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76.287999999999997</c:v>
                </c:pt>
                <c:pt idx="1">
                  <c:v>79.132000000000005</c:v>
                </c:pt>
                <c:pt idx="2">
                  <c:v>77.224999999999994</c:v>
                </c:pt>
                <c:pt idx="3">
                  <c:v>77.991</c:v>
                </c:pt>
                <c:pt idx="4">
                  <c:v>78.375</c:v>
                </c:pt>
                <c:pt idx="5">
                  <c:v>79.480999999999995</c:v>
                </c:pt>
                <c:pt idx="6">
                  <c:v>81.123000000000005</c:v>
                </c:pt>
                <c:pt idx="7">
                  <c:v>83.032413749643979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66.834973501506283</c:v>
                </c:pt>
                <c:pt idx="1">
                  <c:v>70.865391861671256</c:v>
                </c:pt>
                <c:pt idx="2">
                  <c:v>67.77</c:v>
                </c:pt>
                <c:pt idx="3">
                  <c:v>71.206047011502164</c:v>
                </c:pt>
                <c:pt idx="4">
                  <c:v>69.89382440645187</c:v>
                </c:pt>
                <c:pt idx="5">
                  <c:v>71.702297883585956</c:v>
                </c:pt>
                <c:pt idx="6">
                  <c:v>72.093435716397053</c:v>
                </c:pt>
                <c:pt idx="7">
                  <c:v>65.824072975289965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64.049103007665394</c:v>
                </c:pt>
                <c:pt idx="1">
                  <c:v>68.043721434021805</c:v>
                </c:pt>
                <c:pt idx="2">
                  <c:v>64.800765771199863</c:v>
                </c:pt>
                <c:pt idx="3">
                  <c:v>68.848864171961793</c:v>
                </c:pt>
                <c:pt idx="4">
                  <c:v>67.402282726477935</c:v>
                </c:pt>
                <c:pt idx="5">
                  <c:v>69.192490956912025</c:v>
                </c:pt>
                <c:pt idx="6">
                  <c:v>69.822052279677564</c:v>
                </c:pt>
                <c:pt idx="7">
                  <c:v>61.540930424507124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696672"/>
        <c:axId val="1655697760"/>
      </c:lineChart>
      <c:catAx>
        <c:axId val="165569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55697760"/>
        <c:crosses val="autoZero"/>
        <c:auto val="1"/>
        <c:lblAlgn val="ctr"/>
        <c:lblOffset val="100"/>
        <c:noMultiLvlLbl val="0"/>
      </c:catAx>
      <c:valAx>
        <c:axId val="1655697760"/>
        <c:scaling>
          <c:orientation val="minMax"/>
          <c:max val="87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5569667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855"/>
          <c:w val="0.96177967444791412"/>
          <c:h val="0.1795680460155255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808E-2"/>
          <c:w val="0.9029842635309353"/>
          <c:h val="0.69709485646718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12.40977881257276</c:v>
                </c:pt>
                <c:pt idx="1">
                  <c:v>11.227896066402021</c:v>
                </c:pt>
                <c:pt idx="2">
                  <c:v>11.075924491010566</c:v>
                </c:pt>
                <c:pt idx="3">
                  <c:v>10.848794578380181</c:v>
                </c:pt>
                <c:pt idx="4">
                  <c:v>11.159679739925975</c:v>
                </c:pt>
                <c:pt idx="5">
                  <c:v>12.979956532238587</c:v>
                </c:pt>
                <c:pt idx="6">
                  <c:v>11.859408709981679</c:v>
                </c:pt>
                <c:pt idx="7">
                  <c:v>10.822998872604284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15.822384832862134</c:v>
                </c:pt>
                <c:pt idx="1">
                  <c:v>15.406216167448575</c:v>
                </c:pt>
                <c:pt idx="2">
                  <c:v>15.31853249334636</c:v>
                </c:pt>
                <c:pt idx="3">
                  <c:v>13.0663259637818</c:v>
                </c:pt>
                <c:pt idx="4">
                  <c:v>12.892774379194078</c:v>
                </c:pt>
                <c:pt idx="5">
                  <c:v>11.882285789554563</c:v>
                </c:pt>
                <c:pt idx="6">
                  <c:v>10.666854584286472</c:v>
                </c:pt>
                <c:pt idx="7">
                  <c:v>9.8083427282976317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10.747824158767118</c:v>
                </c:pt>
                <c:pt idx="1">
                  <c:v>11.91920786719596</c:v>
                </c:pt>
                <c:pt idx="2">
                  <c:v>10.393154330761716</c:v>
                </c:pt>
                <c:pt idx="3">
                  <c:v>12.60971003221864</c:v>
                </c:pt>
                <c:pt idx="4">
                  <c:v>12.601728701496965</c:v>
                </c:pt>
                <c:pt idx="5">
                  <c:v>11.915215911835087</c:v>
                </c:pt>
                <c:pt idx="6">
                  <c:v>14.026604798404147</c:v>
                </c:pt>
                <c:pt idx="7">
                  <c:v>21.53325817361894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13.671489550418539</c:v>
                </c:pt>
                <c:pt idx="1">
                  <c:v>14.721670876939733</c:v>
                </c:pt>
                <c:pt idx="2">
                  <c:v>17.383687632651686</c:v>
                </c:pt>
                <c:pt idx="3">
                  <c:v>16.580379957782469</c:v>
                </c:pt>
                <c:pt idx="4">
                  <c:v>16.967413866953684</c:v>
                </c:pt>
                <c:pt idx="5">
                  <c:v>16.236745625782088</c:v>
                </c:pt>
                <c:pt idx="6">
                  <c:v>16.2078947083121</c:v>
                </c:pt>
                <c:pt idx="7">
                  <c:v>14.205186020293123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5694496"/>
        <c:axId val="1655697216"/>
      </c:barChart>
      <c:catAx>
        <c:axId val="16556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655697216"/>
        <c:crosses val="autoZero"/>
        <c:auto val="1"/>
        <c:lblAlgn val="ctr"/>
        <c:lblOffset val="100"/>
        <c:noMultiLvlLbl val="0"/>
      </c:catAx>
      <c:valAx>
        <c:axId val="1655697216"/>
        <c:scaling>
          <c:orientation val="minMax"/>
          <c:max val="6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65569449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4788290275053724"/>
          <c:w val="0.95561111111111163"/>
          <c:h val="0.1243395801465827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236220</xdr:colOff>
      <xdr:row>0</xdr:row>
      <xdr:rowOff>152400</xdr:rowOff>
    </xdr:from>
    <xdr:to>
      <xdr:col>16</xdr:col>
      <xdr:colOff>487680</xdr:colOff>
      <xdr:row>17</xdr:row>
      <xdr:rowOff>167640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541020</xdr:colOff>
      <xdr:row>102</xdr:row>
      <xdr:rowOff>118110</xdr:rowOff>
    </xdr:from>
    <xdr:to>
      <xdr:col>20</xdr:col>
      <xdr:colOff>403860</xdr:colOff>
      <xdr:row>122</xdr:row>
      <xdr:rowOff>106680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23</xdr:row>
      <xdr:rowOff>95249</xdr:rowOff>
    </xdr:from>
    <xdr:to>
      <xdr:col>9</xdr:col>
      <xdr:colOff>419100</xdr:colOff>
      <xdr:row>49</xdr:row>
      <xdr:rowOff>85724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1352550</xdr:colOff>
      <xdr:row>51</xdr:row>
      <xdr:rowOff>57150</xdr:rowOff>
    </xdr:from>
    <xdr:to>
      <xdr:col>9</xdr:col>
      <xdr:colOff>548640</xdr:colOff>
      <xdr:row>79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518159</xdr:colOff>
      <xdr:row>30</xdr:row>
      <xdr:rowOff>110489</xdr:rowOff>
    </xdr:from>
    <xdr:to>
      <xdr:col>12</xdr:col>
      <xdr:colOff>586740</xdr:colOff>
      <xdr:row>47</xdr:row>
      <xdr:rowOff>158114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8</xdr:col>
      <xdr:colOff>853440</xdr:colOff>
      <xdr:row>54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752475</xdr:colOff>
      <xdr:row>57</xdr:row>
      <xdr:rowOff>19050</xdr:rowOff>
    </xdr:from>
    <xdr:to>
      <xdr:col>8</xdr:col>
      <xdr:colOff>746760</xdr:colOff>
      <xdr:row>82</xdr:row>
      <xdr:rowOff>60960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544829</xdr:colOff>
      <xdr:row>199</xdr:row>
      <xdr:rowOff>55243</xdr:rowOff>
    </xdr:from>
    <xdr:to>
      <xdr:col>3</xdr:col>
      <xdr:colOff>78104</xdr:colOff>
      <xdr:row>217</xdr:row>
      <xdr:rowOff>36195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218</xdr:row>
      <xdr:rowOff>91440</xdr:rowOff>
    </xdr:from>
    <xdr:to>
      <xdr:col>3</xdr:col>
      <xdr:colOff>85725</xdr:colOff>
      <xdr:row>237</xdr:row>
      <xdr:rowOff>60960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</xdr:colOff>
      <xdr:row>115</xdr:row>
      <xdr:rowOff>89535</xdr:rowOff>
    </xdr:from>
    <xdr:to>
      <xdr:col>3</xdr:col>
      <xdr:colOff>139065</xdr:colOff>
      <xdr:row>133</xdr:row>
      <xdr:rowOff>99060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12</xdr:row>
      <xdr:rowOff>19048</xdr:rowOff>
    </xdr:from>
    <xdr:to>
      <xdr:col>13</xdr:col>
      <xdr:colOff>104774</xdr:colOff>
      <xdr:row>30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workbookViewId="0">
      <pane xSplit="1" ySplit="2" topLeftCell="T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43">
        <v>2016</v>
      </c>
      <c r="C1" s="143"/>
      <c r="D1" s="144"/>
      <c r="E1" s="145">
        <v>2017</v>
      </c>
      <c r="F1" s="146"/>
      <c r="G1" s="147"/>
      <c r="H1" s="145">
        <v>2018</v>
      </c>
      <c r="I1" s="146"/>
      <c r="J1" s="147"/>
      <c r="K1" s="145">
        <v>2019</v>
      </c>
      <c r="L1" s="146"/>
      <c r="M1" s="147"/>
      <c r="N1" s="145">
        <v>2020</v>
      </c>
      <c r="O1" s="146"/>
      <c r="P1" s="147"/>
      <c r="Q1" s="145">
        <v>2021</v>
      </c>
      <c r="R1" s="146"/>
      <c r="S1" s="147"/>
      <c r="T1" s="145">
        <v>2022</v>
      </c>
      <c r="U1" s="146"/>
      <c r="V1" s="147"/>
      <c r="W1" s="145">
        <v>2023</v>
      </c>
      <c r="X1" s="146"/>
      <c r="Y1" s="147"/>
      <c r="Z1" s="142" t="s">
        <v>233</v>
      </c>
      <c r="AA1" s="142"/>
    </row>
    <row r="2" spans="1:27" x14ac:dyDescent="0.3">
      <c r="B2" s="17" t="s">
        <v>73</v>
      </c>
      <c r="C2" s="17" t="s">
        <v>74</v>
      </c>
      <c r="D2" s="18" t="s">
        <v>234</v>
      </c>
      <c r="E2" s="25" t="s">
        <v>73</v>
      </c>
      <c r="F2" s="17" t="s">
        <v>74</v>
      </c>
      <c r="G2" s="18" t="s">
        <v>234</v>
      </c>
      <c r="H2" s="25" t="s">
        <v>73</v>
      </c>
      <c r="I2" s="17" t="s">
        <v>74</v>
      </c>
      <c r="J2" s="18" t="s">
        <v>234</v>
      </c>
      <c r="K2" s="25" t="s">
        <v>73</v>
      </c>
      <c r="L2" s="108" t="s">
        <v>74</v>
      </c>
      <c r="M2" s="109" t="s">
        <v>234</v>
      </c>
      <c r="N2" s="25" t="s">
        <v>73</v>
      </c>
      <c r="O2" s="118" t="s">
        <v>74</v>
      </c>
      <c r="P2" s="119" t="s">
        <v>234</v>
      </c>
      <c r="Q2" s="25" t="s">
        <v>73</v>
      </c>
      <c r="R2" s="121" t="s">
        <v>74</v>
      </c>
      <c r="S2" s="122" t="s">
        <v>234</v>
      </c>
      <c r="T2" s="25" t="s">
        <v>73</v>
      </c>
      <c r="U2" s="139" t="s">
        <v>74</v>
      </c>
      <c r="V2" s="140" t="s">
        <v>234</v>
      </c>
      <c r="W2" s="25" t="s">
        <v>73</v>
      </c>
      <c r="X2" s="104" t="s">
        <v>74</v>
      </c>
      <c r="Y2" s="105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30">
        <v>364856302.51999998</v>
      </c>
      <c r="C3" s="30">
        <v>299718886.88</v>
      </c>
      <c r="D3" s="20">
        <f>IF(B3&gt;0,C3/B3*100,"-")</f>
        <v>82.147104163993603</v>
      </c>
      <c r="E3" s="30">
        <v>373185905.60000002</v>
      </c>
      <c r="F3" s="30">
        <v>313951776.62</v>
      </c>
      <c r="G3" s="20">
        <f>IF(E3&gt;0,F3/E3*100,"-")</f>
        <v>84.127447448808468</v>
      </c>
      <c r="H3" s="26">
        <v>396982448.98000002</v>
      </c>
      <c r="I3" s="19">
        <v>326627687.63</v>
      </c>
      <c r="J3" s="20">
        <f>IF(H3&gt;0,I3/H3*100,"-")</f>
        <v>82.277614153782281</v>
      </c>
      <c r="K3" s="31">
        <v>393326007.86000001</v>
      </c>
      <c r="L3" s="31">
        <v>333648025.61000001</v>
      </c>
      <c r="M3" s="20">
        <f>IF(K3&gt;0,L3/K3*100,"-")</f>
        <v>84.827349054618907</v>
      </c>
      <c r="N3" s="31">
        <v>364200509.19999999</v>
      </c>
      <c r="O3" s="31">
        <v>318119133.25999999</v>
      </c>
      <c r="P3" s="20">
        <f>IF(N3&gt;0,O3/N3*100,"-")</f>
        <v>87.347251094947126</v>
      </c>
      <c r="Q3" s="31">
        <v>373543845.22000003</v>
      </c>
      <c r="R3" s="31">
        <v>334030457.42000002</v>
      </c>
      <c r="S3" s="20">
        <f>IF(Q3&gt;0,R3/Q3*100,"-")</f>
        <v>89.422021455947572</v>
      </c>
      <c r="T3" s="31">
        <v>385816037.56999999</v>
      </c>
      <c r="U3" s="31">
        <v>345145771.58999997</v>
      </c>
      <c r="V3" s="20">
        <f>IF(T3&gt;0,U3/T3*100,"-")</f>
        <v>89.458637791172407</v>
      </c>
      <c r="W3" s="1">
        <v>399952375.32999998</v>
      </c>
      <c r="X3" s="1">
        <v>361789721.89999998</v>
      </c>
      <c r="Y3" s="20">
        <f>IF(W3&gt;0,X3/W3*100,"-")</f>
        <v>90.458200579878522</v>
      </c>
      <c r="Z3" s="13">
        <f>IF(T3&gt;0,W3/T3*100-100,"-")</f>
        <v>3.6640098864306907</v>
      </c>
      <c r="AA3" s="13">
        <f>IF(U3&gt;0,X3/U3*100-100,"-")</f>
        <v>4.8222958761237322</v>
      </c>
    </row>
    <row r="4" spans="1:27" x14ac:dyDescent="0.3">
      <c r="A4" t="s">
        <v>21</v>
      </c>
      <c r="B4" s="30">
        <v>48202796.109999999</v>
      </c>
      <c r="C4" s="30">
        <v>25338795.329999998</v>
      </c>
      <c r="D4" s="20">
        <f t="shared" ref="D4:D21" si="0">IF(B4&gt;0,C4/B4*100,"-")</f>
        <v>52.567065346533482</v>
      </c>
      <c r="E4" s="30">
        <v>46192609.130000003</v>
      </c>
      <c r="F4" s="30">
        <v>40180698.869999997</v>
      </c>
      <c r="G4" s="20">
        <f t="shared" ref="G4:G21" si="1">IF(E4&gt;0,F4/E4*100,"-")</f>
        <v>86.985125167793257</v>
      </c>
      <c r="H4" s="26">
        <v>58212614.119999997</v>
      </c>
      <c r="I4" s="19">
        <v>42374168.020000003</v>
      </c>
      <c r="J4" s="20">
        <f t="shared" ref="J4:J21" si="2">IF(H4&gt;0,I4/H4*100,"-")</f>
        <v>72.79207206302317</v>
      </c>
      <c r="K4" s="31">
        <v>65012650.340000004</v>
      </c>
      <c r="L4" s="31">
        <v>51304864.539999999</v>
      </c>
      <c r="M4" s="20">
        <f t="shared" ref="M4:M13" si="3">IF(K4&gt;0,L4/K4*100,"-")</f>
        <v>78.915202305533313</v>
      </c>
      <c r="N4" s="31">
        <v>144397985.97</v>
      </c>
      <c r="O4" s="31">
        <v>123673665.22</v>
      </c>
      <c r="P4" s="20">
        <f t="shared" ref="P4:P13" si="4">IF(N4&gt;0,O4/N4*100,"-")</f>
        <v>85.64777714122296</v>
      </c>
      <c r="Q4" s="31">
        <v>122720899.43000001</v>
      </c>
      <c r="R4" s="31">
        <v>106534682.79000001</v>
      </c>
      <c r="S4" s="20">
        <f t="shared" ref="S4:S13" si="5">IF(Q4&gt;0,R4/Q4*100,"-")</f>
        <v>86.810545950054234</v>
      </c>
      <c r="T4" s="31">
        <v>116950954.26000001</v>
      </c>
      <c r="U4" s="31">
        <v>81791185.620000005</v>
      </c>
      <c r="V4" s="20">
        <f t="shared" ref="V4:V13" si="6">IF(T4&gt;0,U4/T4*100,"-")</f>
        <v>69.93631316437623</v>
      </c>
      <c r="W4" s="1">
        <v>169132324.56999999</v>
      </c>
      <c r="X4" s="1">
        <v>94958387.620000005</v>
      </c>
      <c r="Y4" s="20">
        <f t="shared" ref="Y4:Y13" si="7">IF(W4&gt;0,X4/W4*100,"-")</f>
        <v>56.144434756289826</v>
      </c>
      <c r="Z4" s="13">
        <f t="shared" ref="Z4:AA55" si="8">IF(T4&gt;0,W4/T4*100-100,"-")</f>
        <v>44.618165486698587</v>
      </c>
      <c r="AA4" s="13">
        <f t="shared" si="8"/>
        <v>16.098558665202049</v>
      </c>
    </row>
    <row r="5" spans="1:27" x14ac:dyDescent="0.3">
      <c r="A5" t="s">
        <v>22</v>
      </c>
      <c r="B5" s="30">
        <v>132114435.53</v>
      </c>
      <c r="C5" s="30">
        <v>99438657.079999998</v>
      </c>
      <c r="D5" s="20">
        <f t="shared" si="0"/>
        <v>75.267064254624827</v>
      </c>
      <c r="E5" s="30">
        <v>155407960.80000001</v>
      </c>
      <c r="F5" s="30">
        <v>117501037.04000001</v>
      </c>
      <c r="G5" s="20">
        <f t="shared" si="1"/>
        <v>75.608119709656464</v>
      </c>
      <c r="H5" s="26">
        <v>160595134.21000001</v>
      </c>
      <c r="I5" s="19">
        <v>113935208.31999999</v>
      </c>
      <c r="J5" s="20">
        <f t="shared" si="2"/>
        <v>70.94561667790893</v>
      </c>
      <c r="K5" s="31">
        <v>177519934.66</v>
      </c>
      <c r="L5" s="31">
        <v>136102066.41999999</v>
      </c>
      <c r="M5" s="20">
        <f t="shared" si="3"/>
        <v>76.668610024374601</v>
      </c>
      <c r="N5" s="31">
        <v>126391180.98999999</v>
      </c>
      <c r="O5" s="31">
        <v>96804109.450000003</v>
      </c>
      <c r="P5" s="20">
        <f t="shared" si="4"/>
        <v>76.590873423090414</v>
      </c>
      <c r="Q5" s="31">
        <v>139935456.03999999</v>
      </c>
      <c r="R5" s="31">
        <v>106600512.59</v>
      </c>
      <c r="S5" s="20">
        <f t="shared" si="5"/>
        <v>76.178343649752833</v>
      </c>
      <c r="T5" s="31">
        <v>165977907.66</v>
      </c>
      <c r="U5" s="31">
        <v>127402239.44</v>
      </c>
      <c r="V5" s="20">
        <f t="shared" si="6"/>
        <v>76.758552530363914</v>
      </c>
      <c r="W5" s="1">
        <v>172536459.46000001</v>
      </c>
      <c r="X5" s="1">
        <v>127827905.92</v>
      </c>
      <c r="Y5" s="20">
        <f t="shared" si="7"/>
        <v>74.087474798122301</v>
      </c>
      <c r="Z5" s="13">
        <f t="shared" si="8"/>
        <v>3.9514607048999295</v>
      </c>
      <c r="AA5" s="13">
        <f t="shared" si="8"/>
        <v>0.33411224313719856</v>
      </c>
    </row>
    <row r="6" spans="1:27" x14ac:dyDescent="0.3">
      <c r="A6" t="s">
        <v>23</v>
      </c>
      <c r="B6" s="30">
        <v>0</v>
      </c>
      <c r="C6" s="30">
        <v>0</v>
      </c>
      <c r="D6" s="20" t="str">
        <f t="shared" si="0"/>
        <v>-</v>
      </c>
      <c r="E6" s="30">
        <v>0</v>
      </c>
      <c r="F6" s="30">
        <v>0</v>
      </c>
      <c r="G6" s="20" t="str">
        <f t="shared" si="1"/>
        <v>-</v>
      </c>
      <c r="H6" s="26">
        <v>0</v>
      </c>
      <c r="I6" s="19">
        <v>0</v>
      </c>
      <c r="J6" s="20" t="str">
        <f t="shared" si="2"/>
        <v>-</v>
      </c>
      <c r="K6" s="31">
        <v>0</v>
      </c>
      <c r="L6" s="31">
        <v>0</v>
      </c>
      <c r="M6" s="20" t="str">
        <f t="shared" si="3"/>
        <v>-</v>
      </c>
      <c r="N6" s="31">
        <v>0</v>
      </c>
      <c r="O6" s="31">
        <v>0</v>
      </c>
      <c r="P6" s="20" t="str">
        <f t="shared" si="4"/>
        <v>-</v>
      </c>
      <c r="Q6" s="31">
        <v>0</v>
      </c>
      <c r="R6" s="31">
        <v>0</v>
      </c>
      <c r="S6" s="20" t="str">
        <f t="shared" si="5"/>
        <v>-</v>
      </c>
      <c r="T6" s="31">
        <v>0</v>
      </c>
      <c r="U6" s="31">
        <v>0</v>
      </c>
      <c r="V6" s="20" t="str">
        <f t="shared" si="6"/>
        <v>-</v>
      </c>
      <c r="W6" s="31">
        <v>0</v>
      </c>
      <c r="X6" s="31">
        <v>0</v>
      </c>
      <c r="Y6" s="20" t="str">
        <f t="shared" si="7"/>
        <v>-</v>
      </c>
      <c r="Z6" s="13" t="str">
        <f t="shared" si="8"/>
        <v>-</v>
      </c>
      <c r="AA6" s="13" t="str">
        <f t="shared" si="8"/>
        <v>-</v>
      </c>
    </row>
    <row r="7" spans="1:27" x14ac:dyDescent="0.3">
      <c r="A7" t="s">
        <v>24</v>
      </c>
      <c r="B7" s="30">
        <v>4200179.26</v>
      </c>
      <c r="C7" s="30">
        <v>1201126.43</v>
      </c>
      <c r="D7" s="20">
        <f t="shared" si="0"/>
        <v>28.597027784952207</v>
      </c>
      <c r="E7" s="30">
        <v>18306944.52</v>
      </c>
      <c r="F7" s="30">
        <v>12959605.26</v>
      </c>
      <c r="G7" s="20">
        <f t="shared" si="1"/>
        <v>70.79065130634919</v>
      </c>
      <c r="H7" s="26">
        <v>13209382.24</v>
      </c>
      <c r="I7" s="19">
        <v>2430760.46</v>
      </c>
      <c r="J7" s="20">
        <f t="shared" si="2"/>
        <v>18.401772435953067</v>
      </c>
      <c r="K7" s="31">
        <v>23861657.77</v>
      </c>
      <c r="L7" s="31">
        <v>5631228.1100000003</v>
      </c>
      <c r="M7" s="20">
        <f t="shared" si="3"/>
        <v>23.599484010200857</v>
      </c>
      <c r="N7" s="31">
        <v>10006746.02</v>
      </c>
      <c r="O7" s="31">
        <v>2680834.02</v>
      </c>
      <c r="P7" s="20">
        <f t="shared" si="4"/>
        <v>26.790267432009834</v>
      </c>
      <c r="Q7" s="31">
        <v>13042054.039999999</v>
      </c>
      <c r="R7" s="31">
        <v>8090820.5</v>
      </c>
      <c r="S7" s="20">
        <f t="shared" si="5"/>
        <v>62.036397604130777</v>
      </c>
      <c r="T7" s="31">
        <v>70660603.200000003</v>
      </c>
      <c r="U7" s="31">
        <v>66063257.359999999</v>
      </c>
      <c r="V7" s="20">
        <f t="shared" si="6"/>
        <v>93.493763664898907</v>
      </c>
      <c r="W7" s="1">
        <v>155763983.69</v>
      </c>
      <c r="X7" s="1">
        <v>43826377.909999996</v>
      </c>
      <c r="Y7" s="20">
        <f t="shared" si="7"/>
        <v>28.136400258754833</v>
      </c>
      <c r="Z7" s="13">
        <f t="shared" si="8"/>
        <v>120.4396461902833</v>
      </c>
      <c r="AA7" s="13">
        <f t="shared" si="8"/>
        <v>-33.659980356136657</v>
      </c>
    </row>
    <row r="8" spans="1:27" x14ac:dyDescent="0.3">
      <c r="A8" t="s">
        <v>25</v>
      </c>
      <c r="B8" s="30">
        <v>0</v>
      </c>
      <c r="C8" s="30">
        <v>0</v>
      </c>
      <c r="D8" s="20" t="str">
        <f t="shared" si="0"/>
        <v>-</v>
      </c>
      <c r="E8" s="30">
        <v>67297.539999999994</v>
      </c>
      <c r="F8" s="30">
        <v>67297.539999999994</v>
      </c>
      <c r="G8" s="20">
        <f t="shared" si="1"/>
        <v>100</v>
      </c>
      <c r="H8" s="26">
        <v>871788</v>
      </c>
      <c r="I8" s="19">
        <v>71788</v>
      </c>
      <c r="J8" s="20">
        <f t="shared" si="2"/>
        <v>8.2345707901462291</v>
      </c>
      <c r="K8" s="31">
        <v>145117.44</v>
      </c>
      <c r="L8" s="31">
        <v>145117.44</v>
      </c>
      <c r="M8" s="20">
        <f t="shared" si="3"/>
        <v>100</v>
      </c>
      <c r="N8" s="31">
        <v>79593.63</v>
      </c>
      <c r="O8" s="31">
        <v>79593.63</v>
      </c>
      <c r="P8" s="20">
        <f t="shared" si="4"/>
        <v>100</v>
      </c>
      <c r="Q8" s="31">
        <v>83809.119999999995</v>
      </c>
      <c r="R8" s="31">
        <v>41363.96</v>
      </c>
      <c r="S8" s="20">
        <f t="shared" si="5"/>
        <v>49.354962801184413</v>
      </c>
      <c r="T8" s="31">
        <v>0</v>
      </c>
      <c r="U8" s="31">
        <v>0</v>
      </c>
      <c r="V8" s="20" t="str">
        <f t="shared" si="6"/>
        <v>-</v>
      </c>
      <c r="W8" s="1">
        <v>0</v>
      </c>
      <c r="X8" s="1">
        <v>0</v>
      </c>
      <c r="Y8" s="20" t="str">
        <f t="shared" si="7"/>
        <v>-</v>
      </c>
      <c r="Z8" s="13" t="str">
        <f t="shared" si="8"/>
        <v>-</v>
      </c>
      <c r="AA8" s="13" t="str">
        <f t="shared" si="8"/>
        <v>-</v>
      </c>
    </row>
    <row r="9" spans="1:27" x14ac:dyDescent="0.3">
      <c r="A9" t="s">
        <v>26</v>
      </c>
      <c r="B9" s="30">
        <v>7255831.9199999999</v>
      </c>
      <c r="C9" s="30">
        <v>7255831.9199999999</v>
      </c>
      <c r="D9" s="20">
        <f t="shared" si="0"/>
        <v>100</v>
      </c>
      <c r="E9" s="30">
        <v>10708375.07</v>
      </c>
      <c r="F9" s="30">
        <v>10708375.07</v>
      </c>
      <c r="G9" s="20">
        <f t="shared" si="1"/>
        <v>100</v>
      </c>
      <c r="H9" s="26">
        <v>11636481.449999999</v>
      </c>
      <c r="I9" s="19">
        <v>9434382.2599999998</v>
      </c>
      <c r="J9" s="20">
        <f t="shared" si="2"/>
        <v>81.075901685040719</v>
      </c>
      <c r="K9" s="31">
        <v>9108647.0299999993</v>
      </c>
      <c r="L9" s="31">
        <v>9104406.3100000005</v>
      </c>
      <c r="M9" s="20">
        <f t="shared" si="3"/>
        <v>99.953442920929632</v>
      </c>
      <c r="N9" s="31">
        <v>7169293.9000000004</v>
      </c>
      <c r="O9" s="31">
        <v>7149293.9000000004</v>
      </c>
      <c r="P9" s="20">
        <f t="shared" si="4"/>
        <v>99.721032499448796</v>
      </c>
      <c r="Q9" s="31">
        <v>12865187.800000001</v>
      </c>
      <c r="R9" s="31">
        <v>12865187.800000001</v>
      </c>
      <c r="S9" s="20">
        <f t="shared" si="5"/>
        <v>100</v>
      </c>
      <c r="T9" s="31">
        <v>5157192.7300000004</v>
      </c>
      <c r="U9" s="31">
        <v>5157192.7300000004</v>
      </c>
      <c r="V9" s="20">
        <f t="shared" si="6"/>
        <v>100</v>
      </c>
      <c r="W9" s="1">
        <v>8120827.2000000002</v>
      </c>
      <c r="X9" s="1">
        <v>8120827.2000000002</v>
      </c>
      <c r="Y9" s="20">
        <f t="shared" si="7"/>
        <v>100</v>
      </c>
      <c r="Z9" s="13">
        <f t="shared" si="8"/>
        <v>57.466040637965449</v>
      </c>
      <c r="AA9" s="13">
        <f t="shared" si="8"/>
        <v>57.466040637965449</v>
      </c>
    </row>
    <row r="10" spans="1:27" x14ac:dyDescent="0.3">
      <c r="A10" t="s">
        <v>27</v>
      </c>
      <c r="B10" s="30">
        <v>9628997.5700000003</v>
      </c>
      <c r="C10" s="30">
        <v>9563743.9199999999</v>
      </c>
      <c r="D10" s="20">
        <f t="shared" si="0"/>
        <v>99.322321461547531</v>
      </c>
      <c r="E10" s="30">
        <v>12537883.060000001</v>
      </c>
      <c r="F10" s="30">
        <v>12484639.15</v>
      </c>
      <c r="G10" s="20">
        <f t="shared" si="1"/>
        <v>99.575335726572007</v>
      </c>
      <c r="H10" s="26">
        <v>11788542.609999999</v>
      </c>
      <c r="I10" s="19">
        <v>11570860.560000001</v>
      </c>
      <c r="J10" s="20">
        <f t="shared" si="2"/>
        <v>98.153443922615651</v>
      </c>
      <c r="K10" s="31">
        <v>16487130</v>
      </c>
      <c r="L10" s="31">
        <v>16479317.289999999</v>
      </c>
      <c r="M10" s="20">
        <f t="shared" si="3"/>
        <v>99.952613280783254</v>
      </c>
      <c r="N10" s="31">
        <v>14642503.050000001</v>
      </c>
      <c r="O10" s="31">
        <v>12345878.359999999</v>
      </c>
      <c r="P10" s="20">
        <f t="shared" si="4"/>
        <v>84.315354539058802</v>
      </c>
      <c r="Q10" s="31">
        <v>20285083.859999999</v>
      </c>
      <c r="R10" s="31">
        <v>20285083.859999999</v>
      </c>
      <c r="S10" s="20">
        <f t="shared" si="5"/>
        <v>100</v>
      </c>
      <c r="T10" s="31">
        <v>21321645.420000002</v>
      </c>
      <c r="U10" s="31">
        <v>21317272.969999999</v>
      </c>
      <c r="V10" s="20">
        <f t="shared" si="6"/>
        <v>99.979492905383836</v>
      </c>
      <c r="W10" s="1">
        <v>9018035.6999999993</v>
      </c>
      <c r="X10" s="1">
        <v>8985917.3100000005</v>
      </c>
      <c r="Y10" s="20">
        <f t="shared" si="7"/>
        <v>99.643842727302584</v>
      </c>
      <c r="Z10" s="13">
        <f t="shared" si="8"/>
        <v>-57.704785337341015</v>
      </c>
      <c r="AA10" s="13">
        <f t="shared" si="8"/>
        <v>-57.846778419331748</v>
      </c>
    </row>
    <row r="11" spans="1:27" x14ac:dyDescent="0.3">
      <c r="A11" t="s">
        <v>28</v>
      </c>
      <c r="B11" s="30">
        <v>2875</v>
      </c>
      <c r="C11" s="30">
        <v>2875</v>
      </c>
      <c r="D11" s="20">
        <f t="shared" si="0"/>
        <v>100</v>
      </c>
      <c r="E11" s="30">
        <v>714565.57</v>
      </c>
      <c r="F11" s="30">
        <v>12996.57</v>
      </c>
      <c r="G11" s="20">
        <f t="shared" si="1"/>
        <v>1.8188071949786218</v>
      </c>
      <c r="H11" s="26">
        <v>7426498.2000000002</v>
      </c>
      <c r="I11" s="19">
        <v>7426498.2000000002</v>
      </c>
      <c r="J11" s="20">
        <f t="shared" si="2"/>
        <v>100</v>
      </c>
      <c r="K11" s="31">
        <v>33202853.09</v>
      </c>
      <c r="L11" s="31">
        <v>33202853.09</v>
      </c>
      <c r="M11" s="20">
        <f t="shared" si="3"/>
        <v>100</v>
      </c>
      <c r="N11" s="31">
        <v>24699550.640000001</v>
      </c>
      <c r="O11" s="31">
        <v>24699550.640000001</v>
      </c>
      <c r="P11" s="20">
        <f t="shared" si="4"/>
        <v>100</v>
      </c>
      <c r="Q11" s="31">
        <v>0</v>
      </c>
      <c r="R11" s="31">
        <v>0</v>
      </c>
      <c r="S11" s="20" t="str">
        <f t="shared" si="5"/>
        <v>-</v>
      </c>
      <c r="T11" s="31">
        <v>0</v>
      </c>
      <c r="U11" s="31">
        <v>0</v>
      </c>
      <c r="V11" s="20" t="str">
        <f t="shared" si="6"/>
        <v>-</v>
      </c>
      <c r="W11" s="1">
        <v>0</v>
      </c>
      <c r="X11" s="1">
        <v>0</v>
      </c>
      <c r="Y11" s="20" t="str">
        <f t="shared" si="7"/>
        <v>-</v>
      </c>
      <c r="Z11" s="13" t="str">
        <f t="shared" si="8"/>
        <v>-</v>
      </c>
      <c r="AA11" s="13" t="str">
        <f t="shared" si="8"/>
        <v>-</v>
      </c>
    </row>
    <row r="12" spans="1:27" x14ac:dyDescent="0.3">
      <c r="A12" t="s">
        <v>29</v>
      </c>
      <c r="B12" s="30">
        <v>0</v>
      </c>
      <c r="C12" s="30">
        <v>0</v>
      </c>
      <c r="D12" s="20" t="str">
        <f t="shared" si="0"/>
        <v>-</v>
      </c>
      <c r="E12" s="30">
        <v>0</v>
      </c>
      <c r="F12" s="30">
        <v>0</v>
      </c>
      <c r="G12" s="20" t="str">
        <f t="shared" si="1"/>
        <v>-</v>
      </c>
      <c r="H12" s="26">
        <v>0</v>
      </c>
      <c r="I12" s="19">
        <v>0</v>
      </c>
      <c r="J12" s="20" t="str">
        <f t="shared" si="2"/>
        <v>-</v>
      </c>
      <c r="K12" s="31">
        <v>0</v>
      </c>
      <c r="L12" s="31">
        <v>0</v>
      </c>
      <c r="M12" s="20" t="str">
        <f t="shared" si="3"/>
        <v>-</v>
      </c>
      <c r="N12" s="31">
        <v>0</v>
      </c>
      <c r="O12" s="31">
        <v>0</v>
      </c>
      <c r="P12" s="20" t="str">
        <f t="shared" si="4"/>
        <v>-</v>
      </c>
      <c r="Q12" s="31">
        <v>0</v>
      </c>
      <c r="R12" s="31">
        <v>0</v>
      </c>
      <c r="S12" s="20" t="str">
        <f t="shared" si="5"/>
        <v>-</v>
      </c>
      <c r="T12" s="31">
        <v>0</v>
      </c>
      <c r="U12" s="31">
        <v>0</v>
      </c>
      <c r="V12" s="20" t="str">
        <f t="shared" si="6"/>
        <v>-</v>
      </c>
      <c r="W12" s="1">
        <v>2000000</v>
      </c>
      <c r="X12" s="1">
        <v>2000000</v>
      </c>
      <c r="Y12" s="20">
        <f t="shared" si="7"/>
        <v>100</v>
      </c>
      <c r="Z12" s="13" t="str">
        <f t="shared" si="8"/>
        <v>-</v>
      </c>
      <c r="AA12" s="13" t="str">
        <f t="shared" si="8"/>
        <v>-</v>
      </c>
    </row>
    <row r="13" spans="1:27" x14ac:dyDescent="0.3">
      <c r="A13" t="s">
        <v>30</v>
      </c>
      <c r="B13" s="30">
        <v>24021380.579999998</v>
      </c>
      <c r="C13" s="30">
        <v>1209999.55</v>
      </c>
      <c r="D13" s="20">
        <f t="shared" si="0"/>
        <v>5.0371773844149308</v>
      </c>
      <c r="E13" s="30">
        <v>15016529.92</v>
      </c>
      <c r="F13" s="30">
        <v>2889929.94</v>
      </c>
      <c r="G13" s="20">
        <f t="shared" si="1"/>
        <v>19.244991721762574</v>
      </c>
      <c r="H13" s="26">
        <v>3319293.5</v>
      </c>
      <c r="I13" s="19">
        <v>0</v>
      </c>
      <c r="J13" s="20">
        <f t="shared" si="2"/>
        <v>0</v>
      </c>
      <c r="K13" s="31">
        <v>217850.45</v>
      </c>
      <c r="L13" s="31">
        <v>0</v>
      </c>
      <c r="M13" s="20">
        <f t="shared" si="3"/>
        <v>0</v>
      </c>
      <c r="N13" s="31">
        <v>1546684.87</v>
      </c>
      <c r="O13" s="31">
        <v>0</v>
      </c>
      <c r="P13" s="20">
        <f t="shared" si="4"/>
        <v>0</v>
      </c>
      <c r="Q13" s="31">
        <v>28161002.469999999</v>
      </c>
      <c r="R13" s="31">
        <v>1208632.27</v>
      </c>
      <c r="S13" s="20">
        <f t="shared" si="5"/>
        <v>4.2918652178222692</v>
      </c>
      <c r="T13" s="31">
        <v>4152835.6</v>
      </c>
      <c r="U13" s="31">
        <v>539964.23</v>
      </c>
      <c r="V13" s="20">
        <f t="shared" si="6"/>
        <v>13.002302089685418</v>
      </c>
      <c r="W13" s="1">
        <v>17357301</v>
      </c>
      <c r="X13" s="1">
        <v>0</v>
      </c>
      <c r="Y13" s="20">
        <f t="shared" si="7"/>
        <v>0</v>
      </c>
      <c r="Z13" s="13">
        <f t="shared" si="8"/>
        <v>317.96263256845509</v>
      </c>
      <c r="AA13" s="13">
        <f t="shared" si="8"/>
        <v>-100</v>
      </c>
    </row>
    <row r="14" spans="1:27" x14ac:dyDescent="0.3">
      <c r="A14" t="s">
        <v>31</v>
      </c>
      <c r="B14" s="31">
        <v>545173534.15999997</v>
      </c>
      <c r="C14" s="31">
        <v>424496339.28999996</v>
      </c>
      <c r="D14" s="20">
        <f>IF(B14&gt;0,C14/B14*100,"-")</f>
        <v>77.86444364803242</v>
      </c>
      <c r="E14" s="31">
        <v>574786475.52999997</v>
      </c>
      <c r="F14" s="31">
        <v>471633512.53000003</v>
      </c>
      <c r="G14" s="20">
        <f>IF(E14&gt;0,F14/E14*100,"-")</f>
        <v>82.053689954189608</v>
      </c>
      <c r="H14" s="26">
        <v>615790197.31000006</v>
      </c>
      <c r="I14" s="19">
        <v>482937063.96999997</v>
      </c>
      <c r="J14" s="20">
        <f>IF(H14&gt;0,I14/H14*100,"-")</f>
        <v>78.425584895577771</v>
      </c>
      <c r="K14" s="31">
        <f t="shared" ref="K14:L14" si="9">SUM(K3:K5)</f>
        <v>635858592.86000001</v>
      </c>
      <c r="L14" s="31">
        <f t="shared" si="9"/>
        <v>521054956.57000005</v>
      </c>
      <c r="M14" s="20">
        <f>IF(K14&gt;0,L14/K14*100,"-")</f>
        <v>81.945099495529377</v>
      </c>
      <c r="N14" s="31">
        <f t="shared" ref="N14:O14" si="10">SUM(N3:N5)</f>
        <v>634989676.15999997</v>
      </c>
      <c r="O14" s="31">
        <f t="shared" si="10"/>
        <v>538596907.93000007</v>
      </c>
      <c r="P14" s="20">
        <f>IF(N14&gt;0,O14/N14*100,"-")</f>
        <v>84.81978969911448</v>
      </c>
      <c r="Q14" s="31">
        <f>SUM(Q3:Q5)</f>
        <v>636200200.69000006</v>
      </c>
      <c r="R14" s="31">
        <f t="shared" ref="R14" si="11">SUM(R3:R5)</f>
        <v>547165652.80000007</v>
      </c>
      <c r="S14" s="20">
        <f>IF(Q14&gt;0,R14/Q14*100,"-")</f>
        <v>86.005262526884422</v>
      </c>
      <c r="T14" s="31">
        <f>SUM(T3:T5)</f>
        <v>668744899.49000001</v>
      </c>
      <c r="U14" s="31">
        <f t="shared" ref="U14" si="12">SUM(U3:U5)</f>
        <v>554339196.64999998</v>
      </c>
      <c r="V14" s="20">
        <f>IF(T14&gt;0,U14/T14*100,"-")</f>
        <v>82.892474704891455</v>
      </c>
      <c r="W14" s="31">
        <f>SUM(W3:W5)</f>
        <v>741621159.36000001</v>
      </c>
      <c r="X14" s="31">
        <f t="shared" ref="X14" si="13">SUM(X3:X5)</f>
        <v>584576015.43999994</v>
      </c>
      <c r="Y14" s="20">
        <f>IF(W14&gt;0,X14/W14*100,"-")</f>
        <v>78.824074537527224</v>
      </c>
      <c r="Z14" s="13">
        <f t="shared" si="8"/>
        <v>10.897467767690955</v>
      </c>
      <c r="AA14" s="13">
        <f t="shared" si="8"/>
        <v>5.4545698685440414</v>
      </c>
    </row>
    <row r="15" spans="1:27" x14ac:dyDescent="0.3">
      <c r="A15" t="s">
        <v>32</v>
      </c>
      <c r="B15" s="30">
        <v>21085008.75</v>
      </c>
      <c r="C15" s="30">
        <v>18020702.27</v>
      </c>
      <c r="D15" s="20">
        <f>IF(B15&gt;0,C15/B15*100,"-")</f>
        <v>85.466894909398604</v>
      </c>
      <c r="E15" s="30">
        <v>41620500.189999998</v>
      </c>
      <c r="F15" s="30">
        <v>36219917.019999996</v>
      </c>
      <c r="G15" s="20">
        <f>IF(E15&gt;0,F15/E15*100,"-")</f>
        <v>87.024223290575492</v>
      </c>
      <c r="H15" s="27">
        <v>37506194.299999997</v>
      </c>
      <c r="I15" s="21">
        <v>23507791.280000001</v>
      </c>
      <c r="J15" s="20">
        <f>IF(H15&gt;0,I15/H15*100,"-")</f>
        <v>62.677090327983507</v>
      </c>
      <c r="K15" s="30">
        <f>SUM(K6:K10)</f>
        <v>49602552.240000002</v>
      </c>
      <c r="L15" s="30">
        <f>SUM(L6:L10)</f>
        <v>31360069.149999999</v>
      </c>
      <c r="M15" s="20">
        <f>IF(K15&gt;0,L15/K15*100,"-")</f>
        <v>63.222692651510215</v>
      </c>
      <c r="N15" s="30">
        <f>SUM(N6:N10)</f>
        <v>31898136.600000001</v>
      </c>
      <c r="O15" s="30">
        <f>SUM(O6:O10)</f>
        <v>22255599.91</v>
      </c>
      <c r="P15" s="20">
        <f>IF(N15&gt;0,O15/N15*100,"-")</f>
        <v>69.770846457532571</v>
      </c>
      <c r="Q15" s="30">
        <f>SUM(Q6:Q10)</f>
        <v>46276134.82</v>
      </c>
      <c r="R15" s="30">
        <f>SUM(R6:R10)</f>
        <v>41282456.120000005</v>
      </c>
      <c r="S15" s="20">
        <f>IF(Q15&gt;0,R15/Q15*100,"-")</f>
        <v>89.208954638446187</v>
      </c>
      <c r="T15" s="30">
        <f>SUM(T6:T10)</f>
        <v>97139441.350000009</v>
      </c>
      <c r="U15" s="30">
        <f>SUM(U6:U10)</f>
        <v>92537723.060000002</v>
      </c>
      <c r="V15" s="20">
        <f>IF(T15&gt;0,U15/T15*100,"-")</f>
        <v>95.262770481230476</v>
      </c>
      <c r="W15" s="30">
        <f>SUM(W6:W10)</f>
        <v>172902846.58999997</v>
      </c>
      <c r="X15" s="30">
        <f>SUM(X6:X10)</f>
        <v>60933122.420000002</v>
      </c>
      <c r="Y15" s="20">
        <f>IF(W15&gt;0,X15/W15*100,"-")</f>
        <v>35.24124884102639</v>
      </c>
      <c r="Z15" s="13">
        <f t="shared" si="8"/>
        <v>77.994483174984794</v>
      </c>
      <c r="AA15" s="13">
        <f t="shared" si="8"/>
        <v>-34.15320757298953</v>
      </c>
    </row>
    <row r="16" spans="1:27" x14ac:dyDescent="0.3">
      <c r="A16" t="s">
        <v>33</v>
      </c>
      <c r="B16" s="31">
        <v>24024255.579999998</v>
      </c>
      <c r="C16" s="31">
        <v>1212874.55</v>
      </c>
      <c r="D16" s="20">
        <f t="shared" si="0"/>
        <v>5.04854165391792</v>
      </c>
      <c r="E16" s="31">
        <v>15731095.49</v>
      </c>
      <c r="F16" s="31">
        <v>2902926.51</v>
      </c>
      <c r="G16" s="20">
        <f t="shared" si="1"/>
        <v>18.453428827288874</v>
      </c>
      <c r="H16" s="26">
        <v>10745791.699999999</v>
      </c>
      <c r="I16" s="19">
        <v>7426498.2000000002</v>
      </c>
      <c r="J16" s="20">
        <f t="shared" si="2"/>
        <v>69.110758958783848</v>
      </c>
      <c r="K16" s="31">
        <f t="shared" ref="K16:L16" si="14">SUM(K11:K13)</f>
        <v>33420703.539999999</v>
      </c>
      <c r="L16" s="31">
        <f t="shared" si="14"/>
        <v>33202853.09</v>
      </c>
      <c r="M16" s="20">
        <f t="shared" ref="M16:M21" si="15">IF(K16&gt;0,L16/K16*100,"-")</f>
        <v>99.348157199206582</v>
      </c>
      <c r="N16" s="31">
        <f t="shared" ref="N16:O16" si="16">SUM(N11:N13)</f>
        <v>26246235.510000002</v>
      </c>
      <c r="O16" s="31">
        <f t="shared" si="16"/>
        <v>24699550.640000001</v>
      </c>
      <c r="P16" s="20">
        <f t="shared" ref="P16:P21" si="17">IF(N16&gt;0,O16/N16*100,"-")</f>
        <v>94.107022054988789</v>
      </c>
      <c r="Q16" s="31">
        <f t="shared" ref="Q16:R16" si="18">SUM(Q11:Q13)</f>
        <v>28161002.469999999</v>
      </c>
      <c r="R16" s="31">
        <f t="shared" si="18"/>
        <v>1208632.27</v>
      </c>
      <c r="S16" s="20">
        <f t="shared" ref="S16:S21" si="19">IF(Q16&gt;0,R16/Q16*100,"-")</f>
        <v>4.2918652178222692</v>
      </c>
      <c r="T16" s="31">
        <f t="shared" ref="T16:U16" si="20">SUM(T11:T13)</f>
        <v>4152835.6</v>
      </c>
      <c r="U16" s="31">
        <f t="shared" si="20"/>
        <v>539964.23</v>
      </c>
      <c r="V16" s="20">
        <f t="shared" ref="V16:V21" si="21">IF(T16&gt;0,U16/T16*100,"-")</f>
        <v>13.002302089685418</v>
      </c>
      <c r="W16" s="31">
        <f t="shared" ref="W16:X16" si="22">SUM(W11:W13)</f>
        <v>19357301</v>
      </c>
      <c r="X16" s="31">
        <f t="shared" si="22"/>
        <v>2000000</v>
      </c>
      <c r="Y16" s="20">
        <f t="shared" ref="Y16:Y21" si="23">IF(W16&gt;0,X16/W16*100,"-")</f>
        <v>10.332018911107493</v>
      </c>
      <c r="Z16" s="13">
        <f t="shared" si="8"/>
        <v>366.12249711979928</v>
      </c>
      <c r="AA16" s="13">
        <f t="shared" si="8"/>
        <v>270.39490560328414</v>
      </c>
    </row>
    <row r="17" spans="1:27" x14ac:dyDescent="0.3">
      <c r="A17" t="s">
        <v>34</v>
      </c>
      <c r="B17" s="30">
        <v>15108000</v>
      </c>
      <c r="C17" s="30">
        <v>15108000</v>
      </c>
      <c r="D17" s="20">
        <f t="shared" si="0"/>
        <v>100</v>
      </c>
      <c r="E17" s="30">
        <v>9640000</v>
      </c>
      <c r="F17" s="30">
        <v>9640000</v>
      </c>
      <c r="G17" s="20">
        <f t="shared" si="1"/>
        <v>100</v>
      </c>
      <c r="H17" s="26">
        <v>0</v>
      </c>
      <c r="I17" s="19">
        <v>0</v>
      </c>
      <c r="J17" s="20" t="str">
        <f t="shared" si="2"/>
        <v>-</v>
      </c>
      <c r="K17" s="31">
        <v>0</v>
      </c>
      <c r="L17" s="31">
        <v>0</v>
      </c>
      <c r="M17" s="20" t="str">
        <f t="shared" si="15"/>
        <v>-</v>
      </c>
      <c r="N17" s="31">
        <v>8870268.5700000003</v>
      </c>
      <c r="O17" s="31">
        <v>0</v>
      </c>
      <c r="P17" s="20">
        <f t="shared" si="17"/>
        <v>0</v>
      </c>
      <c r="Q17" s="31">
        <v>15300000</v>
      </c>
      <c r="R17" s="31">
        <v>15300000</v>
      </c>
      <c r="S17" s="20">
        <f t="shared" si="19"/>
        <v>100</v>
      </c>
      <c r="T17" s="31">
        <v>0</v>
      </c>
      <c r="U17" s="31">
        <v>0</v>
      </c>
      <c r="V17" s="20" t="str">
        <f t="shared" si="21"/>
        <v>-</v>
      </c>
      <c r="W17" s="1">
        <v>17350000</v>
      </c>
      <c r="X17" s="1">
        <v>17350000</v>
      </c>
      <c r="Y17" s="20">
        <f t="shared" si="23"/>
        <v>100</v>
      </c>
      <c r="Z17" s="13" t="str">
        <f t="shared" si="8"/>
        <v>-</v>
      </c>
      <c r="AA17" s="13" t="str">
        <f t="shared" si="8"/>
        <v>-</v>
      </c>
    </row>
    <row r="18" spans="1:27" x14ac:dyDescent="0.3">
      <c r="A18" t="s">
        <v>35</v>
      </c>
      <c r="B18" s="30">
        <v>0</v>
      </c>
      <c r="C18" s="30">
        <v>0</v>
      </c>
      <c r="D18" s="20" t="str">
        <f t="shared" si="0"/>
        <v>-</v>
      </c>
      <c r="E18" s="30">
        <v>0</v>
      </c>
      <c r="F18" s="30">
        <v>0</v>
      </c>
      <c r="G18" s="20" t="str">
        <f t="shared" si="1"/>
        <v>-</v>
      </c>
      <c r="H18" s="26">
        <v>0</v>
      </c>
      <c r="I18" s="19">
        <v>0</v>
      </c>
      <c r="J18" s="20" t="str">
        <f t="shared" si="2"/>
        <v>-</v>
      </c>
      <c r="K18" s="31">
        <v>0</v>
      </c>
      <c r="L18" s="31">
        <v>0</v>
      </c>
      <c r="M18" s="20" t="str">
        <f t="shared" si="15"/>
        <v>-</v>
      </c>
      <c r="N18" s="31">
        <v>0</v>
      </c>
      <c r="O18" s="31">
        <v>0</v>
      </c>
      <c r="P18" s="20" t="str">
        <f t="shared" si="17"/>
        <v>-</v>
      </c>
      <c r="Q18" s="31">
        <v>0</v>
      </c>
      <c r="R18" s="31">
        <v>0</v>
      </c>
      <c r="S18" s="20" t="str">
        <f t="shared" si="19"/>
        <v>-</v>
      </c>
      <c r="T18" s="31">
        <v>0</v>
      </c>
      <c r="U18" s="31">
        <v>0</v>
      </c>
      <c r="V18" s="20" t="str">
        <f t="shared" si="21"/>
        <v>-</v>
      </c>
      <c r="W18" s="31">
        <v>0</v>
      </c>
      <c r="X18" s="31">
        <v>0</v>
      </c>
      <c r="Y18" s="20" t="str">
        <f t="shared" si="23"/>
        <v>-</v>
      </c>
      <c r="Z18" s="13" t="str">
        <f t="shared" si="8"/>
        <v>-</v>
      </c>
      <c r="AA18" s="13" t="str">
        <f t="shared" si="8"/>
        <v>-</v>
      </c>
    </row>
    <row r="19" spans="1:27" x14ac:dyDescent="0.3">
      <c r="A19" t="s">
        <v>36</v>
      </c>
      <c r="B19" s="30">
        <v>76963169.129999995</v>
      </c>
      <c r="C19" s="30">
        <v>76351426.579999998</v>
      </c>
      <c r="D19" s="20">
        <f t="shared" si="0"/>
        <v>99.205148960320628</v>
      </c>
      <c r="E19" s="30">
        <v>91284598.870000005</v>
      </c>
      <c r="F19" s="30">
        <v>90942736.180000007</v>
      </c>
      <c r="G19" s="20">
        <f t="shared" si="1"/>
        <v>99.625497954494108</v>
      </c>
      <c r="H19" s="26">
        <v>87300943.760000005</v>
      </c>
      <c r="I19" s="19">
        <v>86969077.260000005</v>
      </c>
      <c r="J19" s="20">
        <f t="shared" si="2"/>
        <v>99.619859206892031</v>
      </c>
      <c r="K19" s="31">
        <v>84673977.819999993</v>
      </c>
      <c r="L19" s="31">
        <v>84363395.469999999</v>
      </c>
      <c r="M19" s="20">
        <f t="shared" si="15"/>
        <v>99.633202126560974</v>
      </c>
      <c r="N19" s="31">
        <v>83767613.189999998</v>
      </c>
      <c r="O19" s="31">
        <v>83142552.069999993</v>
      </c>
      <c r="P19" s="20">
        <f t="shared" si="17"/>
        <v>99.25381529185718</v>
      </c>
      <c r="Q19" s="31">
        <v>91994934.790000007</v>
      </c>
      <c r="R19" s="31">
        <v>91531999.010000005</v>
      </c>
      <c r="S19" s="20">
        <f t="shared" si="19"/>
        <v>99.496781229252719</v>
      </c>
      <c r="T19" s="31">
        <v>86034717.329999998</v>
      </c>
      <c r="U19" s="31">
        <v>85821522.480000004</v>
      </c>
      <c r="V19" s="20">
        <f t="shared" si="21"/>
        <v>99.752199046366073</v>
      </c>
      <c r="W19" s="1">
        <v>154536809.66</v>
      </c>
      <c r="X19" s="1">
        <v>154361940.87</v>
      </c>
      <c r="Y19" s="20">
        <f t="shared" si="23"/>
        <v>99.886843276767053</v>
      </c>
      <c r="Z19" s="13">
        <f t="shared" si="8"/>
        <v>79.621453357310628</v>
      </c>
      <c r="AA19" s="13">
        <f t="shared" si="8"/>
        <v>79.863904076011664</v>
      </c>
    </row>
    <row r="20" spans="1:27" x14ac:dyDescent="0.3">
      <c r="A20" t="s">
        <v>37</v>
      </c>
      <c r="B20" s="31">
        <v>682353967.62</v>
      </c>
      <c r="C20" s="31">
        <v>535189342.68999994</v>
      </c>
      <c r="D20" s="20">
        <f t="shared" si="0"/>
        <v>78.432802927298965</v>
      </c>
      <c r="E20" s="31">
        <v>733062670.08000004</v>
      </c>
      <c r="F20" s="31">
        <v>611339092.24000001</v>
      </c>
      <c r="G20" s="20">
        <f t="shared" si="1"/>
        <v>83.395201691730364</v>
      </c>
      <c r="H20" s="26">
        <v>751343127.07000005</v>
      </c>
      <c r="I20" s="19">
        <v>600840430.71000004</v>
      </c>
      <c r="J20" s="20">
        <f t="shared" si="2"/>
        <v>79.968846331647057</v>
      </c>
      <c r="K20" s="31">
        <f t="shared" ref="K20:L20" si="24">K14+K15+K16+K17+K18+K19</f>
        <v>803555826.46000004</v>
      </c>
      <c r="L20" s="31">
        <f t="shared" si="24"/>
        <v>669981274.28000009</v>
      </c>
      <c r="M20" s="20">
        <f t="shared" si="15"/>
        <v>83.377066311814104</v>
      </c>
      <c r="N20" s="31">
        <f t="shared" ref="N20:O20" si="25">N14+N15+N16+N17+N18+N19</f>
        <v>785771930.02999997</v>
      </c>
      <c r="O20" s="31">
        <f t="shared" si="25"/>
        <v>668694610.54999995</v>
      </c>
      <c r="P20" s="20">
        <f t="shared" si="17"/>
        <v>85.100343368650215</v>
      </c>
      <c r="Q20" s="31">
        <f t="shared" ref="Q20:R20" si="26">Q14+Q15+Q16+Q17+Q18+Q19</f>
        <v>817932272.7700001</v>
      </c>
      <c r="R20" s="31">
        <f t="shared" si="26"/>
        <v>696488740.20000005</v>
      </c>
      <c r="S20" s="20">
        <f t="shared" si="19"/>
        <v>85.152373049333193</v>
      </c>
      <c r="T20" s="31">
        <f t="shared" ref="T20:U20" si="27">T14+T15+T16+T17+T18+T19</f>
        <v>856071893.7700001</v>
      </c>
      <c r="U20" s="31">
        <f t="shared" si="27"/>
        <v>733238406.42000008</v>
      </c>
      <c r="V20" s="20">
        <f t="shared" si="21"/>
        <v>85.651498636515029</v>
      </c>
      <c r="W20" s="31">
        <f t="shared" ref="W20:X20" si="28">W14+W15+W16+W17+W18+W19</f>
        <v>1105768116.6100001</v>
      </c>
      <c r="X20" s="31">
        <f t="shared" si="28"/>
        <v>819221078.7299999</v>
      </c>
      <c r="Y20" s="20">
        <f t="shared" si="23"/>
        <v>74.086154811690577</v>
      </c>
      <c r="Z20" s="13">
        <f t="shared" si="8"/>
        <v>29.167669754975719</v>
      </c>
      <c r="AA20" s="13">
        <f t="shared" si="8"/>
        <v>11.726427797175248</v>
      </c>
    </row>
    <row r="21" spans="1:27" x14ac:dyDescent="0.3">
      <c r="A21" t="s">
        <v>38</v>
      </c>
      <c r="B21" s="31">
        <v>605390798.49000001</v>
      </c>
      <c r="C21" s="31">
        <v>458837916.10999995</v>
      </c>
      <c r="D21" s="20">
        <f t="shared" si="0"/>
        <v>75.792020171839326</v>
      </c>
      <c r="E21" s="31">
        <v>641778071.21000004</v>
      </c>
      <c r="F21" s="31">
        <v>520396356.06</v>
      </c>
      <c r="G21" s="20">
        <f t="shared" si="1"/>
        <v>81.086652755032816</v>
      </c>
      <c r="H21" s="26">
        <v>664042183.31000006</v>
      </c>
      <c r="I21" s="19">
        <v>513871353.45000005</v>
      </c>
      <c r="J21" s="20">
        <f t="shared" si="2"/>
        <v>77.385347853737997</v>
      </c>
      <c r="K21" s="31">
        <f t="shared" ref="K21:L21" si="29">K20-K19</f>
        <v>718881848.6400001</v>
      </c>
      <c r="L21" s="31">
        <f t="shared" si="29"/>
        <v>585617878.81000006</v>
      </c>
      <c r="M21" s="20">
        <f t="shared" si="15"/>
        <v>81.462326516921749</v>
      </c>
      <c r="N21" s="31">
        <f t="shared" ref="N21:O21" si="30">N20-N19</f>
        <v>702004316.83999991</v>
      </c>
      <c r="O21" s="31">
        <f t="shared" si="30"/>
        <v>585552058.48000002</v>
      </c>
      <c r="P21" s="20">
        <f t="shared" si="17"/>
        <v>83.411461216620751</v>
      </c>
      <c r="Q21" s="31">
        <f t="shared" ref="Q21:R21" si="31">Q20-Q19</f>
        <v>725937337.98000014</v>
      </c>
      <c r="R21" s="31">
        <f t="shared" si="31"/>
        <v>604956741.19000006</v>
      </c>
      <c r="S21" s="20">
        <f t="shared" si="19"/>
        <v>83.334567536277746</v>
      </c>
      <c r="T21" s="31">
        <f t="shared" ref="T21:U21" si="32">T20-T19</f>
        <v>770037176.44000006</v>
      </c>
      <c r="U21" s="31">
        <f t="shared" si="32"/>
        <v>647416883.94000006</v>
      </c>
      <c r="V21" s="20">
        <f t="shared" si="21"/>
        <v>84.076055513723063</v>
      </c>
      <c r="W21" s="31">
        <f t="shared" ref="W21:X21" si="33">W20-W19</f>
        <v>951231306.95000017</v>
      </c>
      <c r="X21" s="31">
        <f t="shared" si="33"/>
        <v>664859137.8599999</v>
      </c>
      <c r="Y21" s="20">
        <f t="shared" si="23"/>
        <v>69.894581160473422</v>
      </c>
      <c r="Z21" s="13">
        <f t="shared" si="8"/>
        <v>23.530569179489277</v>
      </c>
      <c r="AA21" s="13">
        <f t="shared" si="8"/>
        <v>2.6941302200602451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25" t="s">
        <v>75</v>
      </c>
      <c r="I22" s="96" t="s">
        <v>76</v>
      </c>
      <c r="J22" s="18"/>
      <c r="K22" s="12" t="s">
        <v>75</v>
      </c>
      <c r="L22" s="12" t="s">
        <v>76</v>
      </c>
      <c r="M22" s="109"/>
      <c r="N22" s="12" t="s">
        <v>75</v>
      </c>
      <c r="O22" s="12" t="s">
        <v>76</v>
      </c>
      <c r="P22" s="119"/>
      <c r="Q22" s="12" t="s">
        <v>75</v>
      </c>
      <c r="R22" s="12" t="s">
        <v>76</v>
      </c>
      <c r="S22" s="122"/>
      <c r="T22" s="12" t="s">
        <v>75</v>
      </c>
      <c r="U22" s="12" t="s">
        <v>76</v>
      </c>
      <c r="V22" s="140"/>
      <c r="W22" s="12" t="s">
        <v>75</v>
      </c>
      <c r="X22" s="12" t="s">
        <v>76</v>
      </c>
      <c r="Y22" s="105"/>
    </row>
    <row r="23" spans="1:27" x14ac:dyDescent="0.3">
      <c r="A23" s="5" t="s">
        <v>39</v>
      </c>
      <c r="B23" s="31">
        <v>163276033.46000001</v>
      </c>
      <c r="C23" s="31">
        <v>157315167.16999999</v>
      </c>
      <c r="D23" s="20">
        <f>IF(B23&gt;0,C23/B23*100,"-")</f>
        <v>96.349209272369833</v>
      </c>
      <c r="E23" s="31">
        <v>157911739.77000001</v>
      </c>
      <c r="F23" s="31">
        <v>154643470.18000001</v>
      </c>
      <c r="G23" s="20">
        <f>IF(E23&gt;0,F23/E23*100,"-")</f>
        <v>97.930318800387951</v>
      </c>
      <c r="H23" s="27">
        <v>164841371.61000001</v>
      </c>
      <c r="I23" s="21">
        <v>155307856.25</v>
      </c>
      <c r="J23" s="20">
        <f>IF(H23&gt;0,I23/H23*100,"-")</f>
        <v>94.216551787402338</v>
      </c>
      <c r="K23" s="30">
        <v>163363017.15000001</v>
      </c>
      <c r="L23" s="30">
        <v>154774394.97999999</v>
      </c>
      <c r="M23" s="20">
        <f>IF(K23&gt;0,L23/K23*100,"-")</f>
        <v>94.742615360663947</v>
      </c>
      <c r="N23" s="30">
        <v>157683987.25</v>
      </c>
      <c r="O23" s="30">
        <v>148491822.69999999</v>
      </c>
      <c r="P23" s="20">
        <f>IF(N23&gt;0,O23/N23*100,"-")</f>
        <v>94.170514894815355</v>
      </c>
      <c r="Q23" s="1">
        <v>164762751.41</v>
      </c>
      <c r="R23" s="1">
        <v>152290939.69999999</v>
      </c>
      <c r="S23" s="20">
        <f>IF(Q23&gt;0,R23/Q23*100,"-")</f>
        <v>92.430442194446712</v>
      </c>
      <c r="T23" s="1">
        <v>174336803.12</v>
      </c>
      <c r="U23" s="1">
        <v>154746377.31999999</v>
      </c>
      <c r="V23" s="20">
        <f>IF(T23&gt;0,U23/T23*100,"-")</f>
        <v>88.762885719250292</v>
      </c>
      <c r="W23" s="1">
        <v>175314707.91999999</v>
      </c>
      <c r="X23" s="1">
        <v>165881433.28999999</v>
      </c>
      <c r="Y23" s="20">
        <f>IF(W23&gt;0,X23/W23*100,"-")</f>
        <v>94.619233752877932</v>
      </c>
      <c r="Z23" s="13">
        <f t="shared" si="8"/>
        <v>0.56092849157435865</v>
      </c>
      <c r="AA23" s="13">
        <f t="shared" si="8"/>
        <v>7.1956811932170979</v>
      </c>
    </row>
    <row r="24" spans="1:27" x14ac:dyDescent="0.3">
      <c r="A24" s="5" t="s">
        <v>40</v>
      </c>
      <c r="B24" s="31">
        <v>9776773.5500000007</v>
      </c>
      <c r="C24" s="31">
        <v>8027599.25</v>
      </c>
      <c r="D24" s="20">
        <f t="shared" ref="D24:D55" si="34">IF(B24&gt;0,C24/B24*100,"-")</f>
        <v>82.108879876838301</v>
      </c>
      <c r="E24" s="31">
        <v>9365230.1699999999</v>
      </c>
      <c r="F24" s="31">
        <v>7769815.0999999996</v>
      </c>
      <c r="G24" s="20">
        <f t="shared" ref="G24:G55" si="35">IF(E24&gt;0,F24/E24*100,"-")</f>
        <v>82.9644862855517</v>
      </c>
      <c r="H24" s="27">
        <v>9444328.6799999997</v>
      </c>
      <c r="I24" s="21">
        <v>7594743.1100000003</v>
      </c>
      <c r="J24" s="20">
        <f t="shared" ref="J24:J55" si="36">IF(H24&gt;0,I24/H24*100,"-")</f>
        <v>80.415912738013702</v>
      </c>
      <c r="K24" s="30">
        <v>7889207.7999999998</v>
      </c>
      <c r="L24" s="30">
        <v>6550261.3700000001</v>
      </c>
      <c r="M24" s="20">
        <f t="shared" ref="M24:M55" si="37">IF(K24&gt;0,L24/K24*100,"-")</f>
        <v>83.028125713712356</v>
      </c>
      <c r="N24" s="30">
        <v>8575078.6699999999</v>
      </c>
      <c r="O24" s="30">
        <v>6432513.1100000003</v>
      </c>
      <c r="P24" s="20">
        <f t="shared" ref="P24:P55" si="38">IF(N24&gt;0,O24/N24*100,"-")</f>
        <v>75.014041941145251</v>
      </c>
      <c r="Q24" s="1">
        <v>8047889.4000000004</v>
      </c>
      <c r="R24" s="1">
        <v>6387674.4199999999</v>
      </c>
      <c r="S24" s="20">
        <f t="shared" ref="S24:S55" si="39">IF(Q24&gt;0,R24/Q24*100,"-")</f>
        <v>79.370802734938167</v>
      </c>
      <c r="T24" s="1">
        <v>8358150.7000000002</v>
      </c>
      <c r="U24" s="1">
        <v>6409518.6500000004</v>
      </c>
      <c r="V24" s="20">
        <f t="shared" ref="V24:V55" si="40">IF(T24&gt;0,U24/T24*100,"-")</f>
        <v>76.68584690630189</v>
      </c>
      <c r="W24" s="1">
        <v>8853133.2699999996</v>
      </c>
      <c r="X24" s="1">
        <v>6816284.3399999999</v>
      </c>
      <c r="Y24" s="20">
        <f t="shared" ref="Y24:Y55" si="41">IF(W24&gt;0,X24/W24*100,"-")</f>
        <v>76.992903327208126</v>
      </c>
      <c r="Z24" s="13">
        <f t="shared" si="8"/>
        <v>5.9221541674284452</v>
      </c>
      <c r="AA24" s="13">
        <f t="shared" si="8"/>
        <v>6.3462751606159884</v>
      </c>
    </row>
    <row r="25" spans="1:27" x14ac:dyDescent="0.3">
      <c r="A25" s="5" t="s">
        <v>41</v>
      </c>
      <c r="B25" s="31">
        <v>243941321.30000001</v>
      </c>
      <c r="C25" s="31">
        <v>182015172.12</v>
      </c>
      <c r="D25" s="20">
        <f t="shared" si="34"/>
        <v>74.614325752608764</v>
      </c>
      <c r="E25" s="31">
        <v>255061807.59999999</v>
      </c>
      <c r="F25" s="31">
        <v>193596826.18000001</v>
      </c>
      <c r="G25" s="20">
        <f t="shared" si="35"/>
        <v>75.901926674811193</v>
      </c>
      <c r="H25" s="27">
        <v>269647769.80000001</v>
      </c>
      <c r="I25" s="21">
        <v>198093735.27000001</v>
      </c>
      <c r="J25" s="20">
        <f t="shared" si="36"/>
        <v>73.463887877480971</v>
      </c>
      <c r="K25" s="30">
        <v>275671088.61000001</v>
      </c>
      <c r="L25" s="30">
        <v>200422199.41</v>
      </c>
      <c r="M25" s="20">
        <f t="shared" si="37"/>
        <v>72.703380111631205</v>
      </c>
      <c r="N25" s="30">
        <v>280813681.05000001</v>
      </c>
      <c r="O25" s="30">
        <v>194952240.41</v>
      </c>
      <c r="P25" s="20">
        <f t="shared" si="38"/>
        <v>69.424053586366384</v>
      </c>
      <c r="Q25" s="1">
        <v>312830224.12</v>
      </c>
      <c r="R25" s="1">
        <v>223513217.16</v>
      </c>
      <c r="S25" s="20">
        <f t="shared" si="39"/>
        <v>71.448728392133091</v>
      </c>
      <c r="T25" s="1">
        <v>353978675.79000002</v>
      </c>
      <c r="U25" s="1">
        <v>259011048.91</v>
      </c>
      <c r="V25" s="20">
        <f t="shared" si="40"/>
        <v>73.171370657270856</v>
      </c>
      <c r="W25" s="1">
        <v>363269696.27999997</v>
      </c>
      <c r="X25" s="1">
        <v>275144648.06</v>
      </c>
      <c r="Y25" s="20">
        <f t="shared" si="41"/>
        <v>75.741150687098553</v>
      </c>
      <c r="Z25" s="13">
        <f t="shared" si="8"/>
        <v>2.6247401681088576</v>
      </c>
      <c r="AA25" s="13">
        <f t="shared" si="8"/>
        <v>6.2289231358643775</v>
      </c>
    </row>
    <row r="26" spans="1:27" x14ac:dyDescent="0.3">
      <c r="A26" s="5" t="s">
        <v>42</v>
      </c>
      <c r="B26" s="31">
        <v>38582380.909999996</v>
      </c>
      <c r="C26" s="31">
        <v>31054592.199999999</v>
      </c>
      <c r="D26" s="20">
        <f t="shared" si="34"/>
        <v>80.48905087646132</v>
      </c>
      <c r="E26" s="31">
        <v>47431521.359999999</v>
      </c>
      <c r="F26" s="31">
        <v>40539766.869999997</v>
      </c>
      <c r="G26" s="20">
        <f t="shared" si="35"/>
        <v>85.470096061873392</v>
      </c>
      <c r="H26" s="27">
        <v>49983714.200000003</v>
      </c>
      <c r="I26" s="21">
        <v>37395815.32</v>
      </c>
      <c r="J26" s="20">
        <f t="shared" si="36"/>
        <v>74.815999408063192</v>
      </c>
      <c r="K26" s="30">
        <v>54996011.240000002</v>
      </c>
      <c r="L26" s="30">
        <v>37408798.869999997</v>
      </c>
      <c r="M26" s="20">
        <f t="shared" si="37"/>
        <v>68.020931021251272</v>
      </c>
      <c r="N26" s="30">
        <v>68167529.790000007</v>
      </c>
      <c r="O26" s="30">
        <v>46023904.460000001</v>
      </c>
      <c r="P26" s="20">
        <f t="shared" si="38"/>
        <v>67.515875376126047</v>
      </c>
      <c r="Q26" s="1">
        <v>68010412.790000007</v>
      </c>
      <c r="R26" s="1">
        <v>53104680.200000003</v>
      </c>
      <c r="S26" s="20">
        <f t="shared" si="39"/>
        <v>78.083161124127614</v>
      </c>
      <c r="T26" s="1">
        <v>59586873.020000003</v>
      </c>
      <c r="U26" s="1">
        <v>36417765.789999999</v>
      </c>
      <c r="V26" s="20">
        <f t="shared" si="40"/>
        <v>61.117094998048614</v>
      </c>
      <c r="W26" s="1">
        <v>56563391.210000001</v>
      </c>
      <c r="X26" s="1">
        <v>41487271.229999997</v>
      </c>
      <c r="Y26" s="20">
        <f t="shared" si="41"/>
        <v>73.346506180954279</v>
      </c>
      <c r="Z26" s="13">
        <f t="shared" si="8"/>
        <v>-5.0740736285745101</v>
      </c>
      <c r="AA26" s="13">
        <f t="shared" si="8"/>
        <v>13.920418592488289</v>
      </c>
    </row>
    <row r="27" spans="1:27" x14ac:dyDescent="0.3">
      <c r="A27" s="5" t="s">
        <v>43</v>
      </c>
      <c r="B27" s="31">
        <v>4908294.96</v>
      </c>
      <c r="C27" s="31">
        <v>4908294.96</v>
      </c>
      <c r="D27" s="20">
        <f t="shared" si="34"/>
        <v>100</v>
      </c>
      <c r="E27" s="31">
        <v>4217537.58</v>
      </c>
      <c r="F27" s="31">
        <v>4217537.58</v>
      </c>
      <c r="G27" s="20">
        <f t="shared" si="35"/>
        <v>100</v>
      </c>
      <c r="H27" s="27">
        <v>4024102.51</v>
      </c>
      <c r="I27" s="21">
        <v>4024102.51</v>
      </c>
      <c r="J27" s="20">
        <f t="shared" si="36"/>
        <v>100</v>
      </c>
      <c r="K27" s="30">
        <v>3094275.83</v>
      </c>
      <c r="L27" s="30">
        <v>3094275.83</v>
      </c>
      <c r="M27" s="20">
        <f t="shared" si="37"/>
        <v>100</v>
      </c>
      <c r="N27" s="30">
        <v>1716133.23</v>
      </c>
      <c r="O27" s="30">
        <v>1716133.23</v>
      </c>
      <c r="P27" s="20">
        <f t="shared" si="38"/>
        <v>100</v>
      </c>
      <c r="Q27" s="1">
        <v>1751062.01</v>
      </c>
      <c r="R27" s="1">
        <v>1749827.73</v>
      </c>
      <c r="S27" s="20">
        <f t="shared" si="39"/>
        <v>99.929512490537093</v>
      </c>
      <c r="T27" s="1">
        <v>1665886.72</v>
      </c>
      <c r="U27" s="1">
        <v>1643011.95</v>
      </c>
      <c r="V27" s="20">
        <f t="shared" si="40"/>
        <v>98.626871219670932</v>
      </c>
      <c r="W27" s="1">
        <v>1353823.39</v>
      </c>
      <c r="X27" s="1">
        <v>1334528.07</v>
      </c>
      <c r="Y27" s="20">
        <f t="shared" si="41"/>
        <v>98.574753535614434</v>
      </c>
      <c r="Z27" s="13">
        <f t="shared" si="8"/>
        <v>-18.73256604146529</v>
      </c>
      <c r="AA27" s="13">
        <f t="shared" si="8"/>
        <v>-18.77551042766305</v>
      </c>
    </row>
    <row r="28" spans="1:27" x14ac:dyDescent="0.3">
      <c r="A28" s="5" t="s">
        <v>44</v>
      </c>
      <c r="B28" s="31">
        <v>0</v>
      </c>
      <c r="C28" s="31">
        <v>0</v>
      </c>
      <c r="D28" s="20" t="str">
        <f t="shared" si="34"/>
        <v>-</v>
      </c>
      <c r="E28" s="31">
        <v>0</v>
      </c>
      <c r="F28" s="31">
        <v>0</v>
      </c>
      <c r="G28" s="20" t="str">
        <f t="shared" si="35"/>
        <v>-</v>
      </c>
      <c r="H28" s="27">
        <v>0</v>
      </c>
      <c r="I28" s="21">
        <v>0</v>
      </c>
      <c r="J28" s="20" t="str">
        <f t="shared" si="36"/>
        <v>-</v>
      </c>
      <c r="K28" s="30">
        <v>0</v>
      </c>
      <c r="L28" s="30">
        <v>0</v>
      </c>
      <c r="M28" s="20" t="str">
        <f t="shared" si="37"/>
        <v>-</v>
      </c>
      <c r="N28" s="30">
        <v>0</v>
      </c>
      <c r="O28" s="30">
        <v>0</v>
      </c>
      <c r="P28" s="20" t="str">
        <f t="shared" si="38"/>
        <v>-</v>
      </c>
      <c r="Q28" s="1">
        <v>0</v>
      </c>
      <c r="R28" s="1">
        <v>0</v>
      </c>
      <c r="S28" s="20" t="str">
        <f t="shared" si="39"/>
        <v>-</v>
      </c>
      <c r="T28" s="31">
        <v>0</v>
      </c>
      <c r="U28" s="31">
        <v>0</v>
      </c>
      <c r="V28" s="20" t="str">
        <f t="shared" si="40"/>
        <v>-</v>
      </c>
      <c r="W28" s="1">
        <v>0</v>
      </c>
      <c r="X28" s="1">
        <v>0</v>
      </c>
      <c r="Y28" s="20" t="str">
        <f t="shared" si="41"/>
        <v>-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31">
        <v>4518452.25</v>
      </c>
      <c r="C29" s="31">
        <v>1339278.75</v>
      </c>
      <c r="D29" s="20">
        <f t="shared" si="34"/>
        <v>29.640210317592715</v>
      </c>
      <c r="E29" s="31">
        <v>3274972.26</v>
      </c>
      <c r="F29" s="31">
        <v>1400445.9</v>
      </c>
      <c r="G29" s="20">
        <f t="shared" si="35"/>
        <v>42.762069074746911</v>
      </c>
      <c r="H29" s="27">
        <v>2728846.55</v>
      </c>
      <c r="I29" s="21">
        <v>963152.36</v>
      </c>
      <c r="J29" s="20">
        <f t="shared" si="36"/>
        <v>35.295218780257173</v>
      </c>
      <c r="K29" s="30">
        <v>2545964.44</v>
      </c>
      <c r="L29" s="30">
        <v>1225152.6299999999</v>
      </c>
      <c r="M29" s="20">
        <f t="shared" si="37"/>
        <v>48.121356714628739</v>
      </c>
      <c r="N29" s="30">
        <v>4955976.13</v>
      </c>
      <c r="O29" s="30">
        <v>1822851.86</v>
      </c>
      <c r="P29" s="20">
        <f t="shared" si="38"/>
        <v>36.780884576213651</v>
      </c>
      <c r="Q29" s="1">
        <v>4392797.8600000003</v>
      </c>
      <c r="R29" s="1">
        <v>2002569.2</v>
      </c>
      <c r="S29" s="20">
        <f t="shared" si="39"/>
        <v>45.58755635525646</v>
      </c>
      <c r="T29" s="1">
        <v>5158702.53</v>
      </c>
      <c r="U29" s="1">
        <v>2201345.5099999998</v>
      </c>
      <c r="V29" s="20">
        <f t="shared" si="40"/>
        <v>42.672464581903299</v>
      </c>
      <c r="W29" s="1">
        <v>3665912.94</v>
      </c>
      <c r="X29" s="1">
        <v>2615340.31</v>
      </c>
      <c r="Y29" s="20">
        <f t="shared" si="41"/>
        <v>71.342128217589377</v>
      </c>
      <c r="Z29" s="13">
        <f t="shared" si="8"/>
        <v>-28.937307032510745</v>
      </c>
      <c r="AA29" s="13">
        <f t="shared" si="8"/>
        <v>18.806443519172973</v>
      </c>
    </row>
    <row r="30" spans="1:27" x14ac:dyDescent="0.3">
      <c r="A30" s="5" t="s">
        <v>46</v>
      </c>
      <c r="B30" s="31">
        <v>7615470.1799999997</v>
      </c>
      <c r="C30" s="31">
        <v>6954979.0199999996</v>
      </c>
      <c r="D30" s="20">
        <f t="shared" si="34"/>
        <v>91.326981205512382</v>
      </c>
      <c r="E30" s="31">
        <v>6838422.1399999997</v>
      </c>
      <c r="F30" s="31">
        <v>6390935.3700000001</v>
      </c>
      <c r="G30" s="20">
        <f t="shared" si="35"/>
        <v>93.456286247926784</v>
      </c>
      <c r="H30" s="27">
        <v>7920366.2400000002</v>
      </c>
      <c r="I30" s="21">
        <v>5974782.3700000001</v>
      </c>
      <c r="J30" s="20">
        <f t="shared" si="36"/>
        <v>75.435683009527096</v>
      </c>
      <c r="K30" s="30">
        <v>7192965.9699999997</v>
      </c>
      <c r="L30" s="30">
        <v>6418792.04</v>
      </c>
      <c r="M30" s="20">
        <f t="shared" si="37"/>
        <v>89.237069475528187</v>
      </c>
      <c r="N30" s="30">
        <v>5832453.3099999996</v>
      </c>
      <c r="O30" s="30">
        <v>5497624.9400000004</v>
      </c>
      <c r="P30" s="20">
        <f t="shared" si="38"/>
        <v>94.259219024935504</v>
      </c>
      <c r="Q30" s="1">
        <v>7386106.2699999996</v>
      </c>
      <c r="R30" s="1">
        <v>6686887.3099999996</v>
      </c>
      <c r="S30" s="20">
        <f t="shared" si="39"/>
        <v>90.533321151362202</v>
      </c>
      <c r="T30" s="1">
        <v>10352120.77</v>
      </c>
      <c r="U30" s="1">
        <v>9778466.9900000002</v>
      </c>
      <c r="V30" s="20">
        <f t="shared" si="40"/>
        <v>94.458586865964477</v>
      </c>
      <c r="W30" s="1">
        <v>9697565.4800000004</v>
      </c>
      <c r="X30" s="1">
        <v>9169606.5800000001</v>
      </c>
      <c r="Y30" s="20">
        <f t="shared" si="41"/>
        <v>94.555758338638199</v>
      </c>
      <c r="Z30" s="13">
        <f t="shared" si="8"/>
        <v>-6.3229101026030463</v>
      </c>
      <c r="AA30" s="13">
        <f t="shared" si="8"/>
        <v>-6.2265425717820051</v>
      </c>
    </row>
    <row r="31" spans="1:27" x14ac:dyDescent="0.3">
      <c r="A31" s="5" t="s">
        <v>47</v>
      </c>
      <c r="B31" s="31">
        <v>0</v>
      </c>
      <c r="C31" s="31">
        <v>0</v>
      </c>
      <c r="D31" s="20" t="str">
        <f t="shared" si="34"/>
        <v>-</v>
      </c>
      <c r="E31" s="31">
        <v>0</v>
      </c>
      <c r="F31" s="31">
        <v>0</v>
      </c>
      <c r="G31" s="20" t="str">
        <f t="shared" si="35"/>
        <v>-</v>
      </c>
      <c r="H31" s="26">
        <v>0</v>
      </c>
      <c r="I31" s="19">
        <v>0</v>
      </c>
      <c r="J31" s="20" t="str">
        <f t="shared" si="36"/>
        <v>-</v>
      </c>
      <c r="K31" s="31">
        <v>0</v>
      </c>
      <c r="L31" s="31">
        <v>0</v>
      </c>
      <c r="M31" s="20" t="str">
        <f t="shared" si="37"/>
        <v>-</v>
      </c>
      <c r="N31" s="31">
        <v>0</v>
      </c>
      <c r="O31" s="31">
        <v>0</v>
      </c>
      <c r="P31" s="20" t="str">
        <f t="shared" si="38"/>
        <v>-</v>
      </c>
      <c r="Q31" s="31">
        <v>0</v>
      </c>
      <c r="R31" s="31">
        <v>0</v>
      </c>
      <c r="S31" s="20" t="str">
        <f t="shared" si="39"/>
        <v>-</v>
      </c>
      <c r="T31" s="31">
        <v>0</v>
      </c>
      <c r="U31" s="31">
        <v>0</v>
      </c>
      <c r="V31" s="20" t="str">
        <f t="shared" si="40"/>
        <v>-</v>
      </c>
      <c r="W31" s="31">
        <v>0</v>
      </c>
      <c r="X31" s="31">
        <v>0</v>
      </c>
      <c r="Y31" s="20" t="str">
        <f t="shared" si="41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31">
        <v>54459943.979999997</v>
      </c>
      <c r="C32" s="31">
        <v>32848957.100000001</v>
      </c>
      <c r="D32" s="20">
        <f t="shared" si="34"/>
        <v>60.317647612828132</v>
      </c>
      <c r="E32" s="31">
        <v>51918993.090000004</v>
      </c>
      <c r="F32" s="31">
        <v>23422604.82</v>
      </c>
      <c r="G32" s="20">
        <f t="shared" si="35"/>
        <v>45.11375014418639</v>
      </c>
      <c r="H32" s="27">
        <v>48009493.210000001</v>
      </c>
      <c r="I32" s="21">
        <v>23528483.300000001</v>
      </c>
      <c r="J32" s="20">
        <f t="shared" si="36"/>
        <v>49.007980978018743</v>
      </c>
      <c r="K32" s="30">
        <v>52255336.280000001</v>
      </c>
      <c r="L32" s="30">
        <v>34057874.799999997</v>
      </c>
      <c r="M32" s="20">
        <f t="shared" si="37"/>
        <v>65.175879105451614</v>
      </c>
      <c r="N32" s="30">
        <v>73811960.480000004</v>
      </c>
      <c r="O32" s="30">
        <v>60031789.369999997</v>
      </c>
      <c r="P32" s="20">
        <f t="shared" si="38"/>
        <v>81.330707082717495</v>
      </c>
      <c r="Q32" s="1">
        <v>76704679.599999994</v>
      </c>
      <c r="R32" s="1">
        <v>64315530.149999999</v>
      </c>
      <c r="S32" s="20">
        <f t="shared" si="39"/>
        <v>83.848248223436954</v>
      </c>
      <c r="T32" s="1">
        <v>98546311.159999996</v>
      </c>
      <c r="U32" s="1">
        <v>78807439.549999997</v>
      </c>
      <c r="V32" s="20">
        <f t="shared" si="40"/>
        <v>79.969953844389025</v>
      </c>
      <c r="W32" s="1">
        <v>258495997.46000001</v>
      </c>
      <c r="X32" s="1">
        <v>227197091.31</v>
      </c>
      <c r="Y32" s="20">
        <f t="shared" si="41"/>
        <v>87.891918460036024</v>
      </c>
      <c r="Z32" s="13">
        <f t="shared" si="8"/>
        <v>162.30915639277998</v>
      </c>
      <c r="AA32" s="13">
        <f t="shared" si="8"/>
        <v>188.29396387869326</v>
      </c>
    </row>
    <row r="33" spans="1:27" x14ac:dyDescent="0.3">
      <c r="A33" s="5" t="s">
        <v>49</v>
      </c>
      <c r="B33" s="31">
        <v>4213029.34</v>
      </c>
      <c r="C33" s="31">
        <v>2454210.13</v>
      </c>
      <c r="D33" s="20">
        <f t="shared" si="34"/>
        <v>58.252861111097786</v>
      </c>
      <c r="E33" s="31">
        <v>13622053.279999999</v>
      </c>
      <c r="F33" s="31">
        <v>11936095.73</v>
      </c>
      <c r="G33" s="20">
        <f t="shared" si="35"/>
        <v>87.623322891598619</v>
      </c>
      <c r="H33" s="27">
        <v>1105019.29</v>
      </c>
      <c r="I33" s="21">
        <v>1105019.29</v>
      </c>
      <c r="J33" s="20">
        <f t="shared" si="36"/>
        <v>100</v>
      </c>
      <c r="K33" s="30">
        <v>3377688.13</v>
      </c>
      <c r="L33" s="30">
        <v>1577688.13</v>
      </c>
      <c r="M33" s="20">
        <f t="shared" si="37"/>
        <v>46.709111951078796</v>
      </c>
      <c r="N33" s="30">
        <v>1216819.29</v>
      </c>
      <c r="O33" s="30">
        <v>964895.23</v>
      </c>
      <c r="P33" s="20">
        <f t="shared" si="38"/>
        <v>79.296510001908331</v>
      </c>
      <c r="Q33" s="1">
        <v>478610.49</v>
      </c>
      <c r="R33" s="1">
        <v>238198</v>
      </c>
      <c r="S33" s="20">
        <f t="shared" si="39"/>
        <v>49.768654255781151</v>
      </c>
      <c r="T33" s="1">
        <v>18223472.489999998</v>
      </c>
      <c r="U33" s="1">
        <v>17932472.489999998</v>
      </c>
      <c r="V33" s="20">
        <f t="shared" si="40"/>
        <v>98.403158343396484</v>
      </c>
      <c r="W33" s="1">
        <v>17199165.129999999</v>
      </c>
      <c r="X33" s="1">
        <v>17106680.859999999</v>
      </c>
      <c r="Y33" s="20">
        <f t="shared" si="41"/>
        <v>99.462274655188452</v>
      </c>
      <c r="Z33" s="13">
        <f t="shared" si="8"/>
        <v>-5.6208132701496965</v>
      </c>
      <c r="AA33" s="13">
        <f t="shared" si="8"/>
        <v>-4.6050070923599549</v>
      </c>
    </row>
    <row r="34" spans="1:27" x14ac:dyDescent="0.3">
      <c r="A34" s="5" t="s">
        <v>50</v>
      </c>
      <c r="B34" s="31">
        <v>0</v>
      </c>
      <c r="C34" s="31">
        <v>0</v>
      </c>
      <c r="D34" s="20" t="str">
        <f t="shared" si="34"/>
        <v>-</v>
      </c>
      <c r="E34" s="31">
        <v>0</v>
      </c>
      <c r="F34" s="31">
        <v>0</v>
      </c>
      <c r="G34" s="20" t="str">
        <f t="shared" si="35"/>
        <v>-</v>
      </c>
      <c r="H34" s="27">
        <v>0</v>
      </c>
      <c r="I34" s="21">
        <v>0</v>
      </c>
      <c r="J34" s="20" t="str">
        <f t="shared" si="36"/>
        <v>-</v>
      </c>
      <c r="K34" s="30">
        <v>0</v>
      </c>
      <c r="L34" s="30">
        <v>0</v>
      </c>
      <c r="M34" s="20" t="str">
        <f t="shared" si="37"/>
        <v>-</v>
      </c>
      <c r="N34" s="30">
        <v>0</v>
      </c>
      <c r="O34" s="30">
        <v>0</v>
      </c>
      <c r="P34" s="20" t="str">
        <f t="shared" si="38"/>
        <v>-</v>
      </c>
      <c r="Q34" s="1">
        <v>0</v>
      </c>
      <c r="R34" s="1">
        <v>0</v>
      </c>
      <c r="S34" s="20" t="str">
        <f t="shared" si="39"/>
        <v>-</v>
      </c>
      <c r="T34" s="124">
        <v>0</v>
      </c>
      <c r="U34" s="124">
        <v>0</v>
      </c>
      <c r="V34" s="20" t="str">
        <f t="shared" si="40"/>
        <v>-</v>
      </c>
      <c r="W34" s="124">
        <v>0</v>
      </c>
      <c r="X34" s="1">
        <v>0</v>
      </c>
      <c r="Y34" s="20" t="str">
        <f t="shared" si="41"/>
        <v>-</v>
      </c>
      <c r="Z34" s="13" t="str">
        <f t="shared" si="8"/>
        <v>-</v>
      </c>
      <c r="AA34" s="13" t="str">
        <f t="shared" si="8"/>
        <v>-</v>
      </c>
    </row>
    <row r="35" spans="1:27" x14ac:dyDescent="0.3">
      <c r="A35" s="5" t="s">
        <v>51</v>
      </c>
      <c r="B35" s="31">
        <v>2571950.23</v>
      </c>
      <c r="C35" s="31">
        <v>755133.19</v>
      </c>
      <c r="D35" s="20">
        <f t="shared" si="34"/>
        <v>29.360334472724226</v>
      </c>
      <c r="E35" s="31">
        <v>1180211.55</v>
      </c>
      <c r="F35" s="31">
        <v>1180211.55</v>
      </c>
      <c r="G35" s="20">
        <f t="shared" si="35"/>
        <v>100</v>
      </c>
      <c r="H35" s="27">
        <v>751179.04</v>
      </c>
      <c r="I35" s="21">
        <v>484663.49</v>
      </c>
      <c r="J35" s="20">
        <f t="shared" si="36"/>
        <v>64.520369205189738</v>
      </c>
      <c r="K35" s="30">
        <v>1981865.37</v>
      </c>
      <c r="L35" s="30">
        <v>1981865.37</v>
      </c>
      <c r="M35" s="20">
        <f t="shared" si="37"/>
        <v>100</v>
      </c>
      <c r="N35" s="30">
        <v>953215.29</v>
      </c>
      <c r="O35" s="30">
        <v>953215.29</v>
      </c>
      <c r="P35" s="20">
        <f t="shared" si="38"/>
        <v>100</v>
      </c>
      <c r="Q35" s="1">
        <v>2482919.33</v>
      </c>
      <c r="R35" s="1">
        <v>2482919.33</v>
      </c>
      <c r="S35" s="20">
        <f t="shared" si="39"/>
        <v>100</v>
      </c>
      <c r="T35" s="1">
        <v>431115.72</v>
      </c>
      <c r="U35" s="1">
        <v>407507.34</v>
      </c>
      <c r="V35" s="20">
        <f t="shared" si="40"/>
        <v>94.523887925033222</v>
      </c>
      <c r="W35" s="1">
        <v>996437.87</v>
      </c>
      <c r="X35" s="1">
        <v>996437.87</v>
      </c>
      <c r="Y35" s="20">
        <f t="shared" si="41"/>
        <v>100</v>
      </c>
      <c r="Z35" s="13">
        <f t="shared" si="8"/>
        <v>131.13002467179814</v>
      </c>
      <c r="AA35" s="13">
        <f t="shared" si="8"/>
        <v>144.52022631052483</v>
      </c>
    </row>
    <row r="36" spans="1:27" x14ac:dyDescent="0.3">
      <c r="A36" s="5" t="s">
        <v>52</v>
      </c>
      <c r="B36" s="31">
        <v>0</v>
      </c>
      <c r="C36" s="31">
        <v>0</v>
      </c>
      <c r="D36" s="20" t="str">
        <f t="shared" si="34"/>
        <v>-</v>
      </c>
      <c r="E36" s="31">
        <v>5000000</v>
      </c>
      <c r="F36" s="31">
        <v>5000000</v>
      </c>
      <c r="G36" s="20">
        <f t="shared" si="35"/>
        <v>100</v>
      </c>
      <c r="H36" s="27">
        <v>0</v>
      </c>
      <c r="I36" s="21">
        <v>0</v>
      </c>
      <c r="J36" s="20" t="str">
        <f t="shared" si="36"/>
        <v>-</v>
      </c>
      <c r="K36" s="30">
        <v>0</v>
      </c>
      <c r="L36" s="30">
        <v>0</v>
      </c>
      <c r="M36" s="20" t="str">
        <f t="shared" si="37"/>
        <v>-</v>
      </c>
      <c r="N36" s="30">
        <v>0</v>
      </c>
      <c r="O36" s="30">
        <v>0</v>
      </c>
      <c r="P36" s="20" t="str">
        <f t="shared" si="38"/>
        <v>-</v>
      </c>
      <c r="Q36" s="1">
        <v>0</v>
      </c>
      <c r="R36" s="1">
        <v>0</v>
      </c>
      <c r="S36" s="20" t="str">
        <f t="shared" si="39"/>
        <v>-</v>
      </c>
      <c r="T36" s="1">
        <v>6000000</v>
      </c>
      <c r="U36" s="1">
        <v>6000000</v>
      </c>
      <c r="V36" s="20">
        <f t="shared" si="40"/>
        <v>100</v>
      </c>
      <c r="W36" s="1">
        <v>4982000</v>
      </c>
      <c r="X36" s="1">
        <v>4882000</v>
      </c>
      <c r="Y36" s="20">
        <f t="shared" si="41"/>
        <v>97.992773986350869</v>
      </c>
      <c r="Z36" s="13">
        <f t="shared" si="8"/>
        <v>-16.966666666666669</v>
      </c>
      <c r="AA36" s="13">
        <f t="shared" si="8"/>
        <v>-18.63333333333334</v>
      </c>
    </row>
    <row r="37" spans="1:27" x14ac:dyDescent="0.3">
      <c r="A37" s="5" t="s">
        <v>263</v>
      </c>
      <c r="B37" s="31">
        <v>0</v>
      </c>
      <c r="C37" s="31">
        <v>0</v>
      </c>
      <c r="D37" s="20" t="str">
        <f t="shared" si="34"/>
        <v>-</v>
      </c>
      <c r="E37" s="31">
        <v>0</v>
      </c>
      <c r="F37" s="31">
        <v>0</v>
      </c>
      <c r="G37" s="20" t="str">
        <f t="shared" si="35"/>
        <v>-</v>
      </c>
      <c r="H37" s="27">
        <v>0</v>
      </c>
      <c r="I37" s="21">
        <v>0</v>
      </c>
      <c r="J37" s="20" t="str">
        <f t="shared" si="36"/>
        <v>-</v>
      </c>
      <c r="K37" s="30">
        <v>0</v>
      </c>
      <c r="L37" s="30">
        <v>0</v>
      </c>
      <c r="M37" s="20" t="str">
        <f t="shared" si="37"/>
        <v>-</v>
      </c>
      <c r="N37" s="30">
        <v>0</v>
      </c>
      <c r="O37" s="30">
        <v>0</v>
      </c>
      <c r="P37" s="20" t="str">
        <f t="shared" si="38"/>
        <v>-</v>
      </c>
      <c r="Q37" s="1">
        <v>0</v>
      </c>
      <c r="R37" s="1">
        <v>0</v>
      </c>
      <c r="S37" s="20" t="str">
        <f t="shared" si="39"/>
        <v>-</v>
      </c>
      <c r="T37" s="124">
        <v>0</v>
      </c>
      <c r="U37" s="124">
        <v>0</v>
      </c>
      <c r="V37" s="20" t="str">
        <f t="shared" si="40"/>
        <v>-</v>
      </c>
      <c r="W37" s="1">
        <v>2000000</v>
      </c>
      <c r="X37" s="1">
        <v>2000000</v>
      </c>
      <c r="Y37" s="20">
        <f t="shared" si="41"/>
        <v>100</v>
      </c>
      <c r="Z37" s="13" t="str">
        <f t="shared" si="8"/>
        <v>-</v>
      </c>
      <c r="AA37" s="13" t="str">
        <f t="shared" si="8"/>
        <v>-</v>
      </c>
    </row>
    <row r="38" spans="1:27" x14ac:dyDescent="0.3">
      <c r="A38" s="5" t="s">
        <v>53</v>
      </c>
      <c r="B38" s="31">
        <v>0</v>
      </c>
      <c r="C38" s="31">
        <v>0</v>
      </c>
      <c r="D38" s="20" t="str">
        <f t="shared" si="34"/>
        <v>-</v>
      </c>
      <c r="E38" s="31">
        <v>0</v>
      </c>
      <c r="F38" s="31">
        <v>0</v>
      </c>
      <c r="G38" s="20" t="str">
        <f t="shared" si="35"/>
        <v>-</v>
      </c>
      <c r="H38" s="27">
        <v>0</v>
      </c>
      <c r="I38" s="21">
        <v>0</v>
      </c>
      <c r="J38" s="20" t="str">
        <f t="shared" si="36"/>
        <v>-</v>
      </c>
      <c r="K38" s="30">
        <v>0</v>
      </c>
      <c r="L38" s="30">
        <v>0</v>
      </c>
      <c r="M38" s="20" t="str">
        <f t="shared" si="37"/>
        <v>-</v>
      </c>
      <c r="N38" s="30">
        <v>0</v>
      </c>
      <c r="O38" s="30">
        <v>0</v>
      </c>
      <c r="P38" s="20" t="str">
        <f t="shared" si="38"/>
        <v>-</v>
      </c>
      <c r="Q38" s="1">
        <v>0</v>
      </c>
      <c r="R38" s="1">
        <v>0</v>
      </c>
      <c r="S38" s="20" t="str">
        <f t="shared" si="39"/>
        <v>-</v>
      </c>
      <c r="T38" s="1">
        <v>500000</v>
      </c>
      <c r="U38" s="1">
        <v>500000</v>
      </c>
      <c r="V38" s="20">
        <f t="shared" si="40"/>
        <v>100</v>
      </c>
      <c r="W38" s="1">
        <v>1200000</v>
      </c>
      <c r="X38" s="1">
        <v>1200000</v>
      </c>
      <c r="Y38" s="20">
        <f t="shared" si="41"/>
        <v>100</v>
      </c>
      <c r="Z38" s="13">
        <f t="shared" si="8"/>
        <v>140</v>
      </c>
      <c r="AA38" s="13">
        <f t="shared" si="8"/>
        <v>140</v>
      </c>
    </row>
    <row r="39" spans="1:27" x14ac:dyDescent="0.3">
      <c r="A39" s="5" t="s">
        <v>54</v>
      </c>
      <c r="B39" s="31">
        <v>22811381.030000001</v>
      </c>
      <c r="C39" s="31">
        <v>15108000</v>
      </c>
      <c r="D39" s="20">
        <f t="shared" si="34"/>
        <v>66.230097950365092</v>
      </c>
      <c r="E39" s="31">
        <v>12126599.98</v>
      </c>
      <c r="F39" s="31">
        <v>10182423.98</v>
      </c>
      <c r="G39" s="20">
        <f t="shared" si="35"/>
        <v>83.967674342301507</v>
      </c>
      <c r="H39" s="27">
        <v>3118356.21</v>
      </c>
      <c r="I39" s="21">
        <v>18356.21</v>
      </c>
      <c r="J39" s="20">
        <f t="shared" si="36"/>
        <v>0.58865019785536299</v>
      </c>
      <c r="K39" s="30">
        <v>217850.45</v>
      </c>
      <c r="L39" s="30">
        <v>0</v>
      </c>
      <c r="M39" s="20">
        <f t="shared" si="37"/>
        <v>0</v>
      </c>
      <c r="N39" s="30">
        <v>1546684.87</v>
      </c>
      <c r="O39" s="30">
        <v>1534810.53</v>
      </c>
      <c r="P39" s="20">
        <f t="shared" si="38"/>
        <v>99.232271535700733</v>
      </c>
      <c r="Q39" s="1">
        <v>28161002.469999999</v>
      </c>
      <c r="R39" s="1">
        <v>28161002.469999999</v>
      </c>
      <c r="S39" s="20">
        <f t="shared" si="39"/>
        <v>100</v>
      </c>
      <c r="T39" s="1">
        <v>4152835.6</v>
      </c>
      <c r="U39" s="1">
        <v>4148929</v>
      </c>
      <c r="V39" s="20">
        <f t="shared" si="40"/>
        <v>99.905929336571859</v>
      </c>
      <c r="W39" s="1">
        <v>17357301</v>
      </c>
      <c r="X39" s="1">
        <v>17357301</v>
      </c>
      <c r="Y39" s="20">
        <f t="shared" si="41"/>
        <v>100</v>
      </c>
      <c r="Z39" s="13">
        <f t="shared" si="8"/>
        <v>317.96263256845509</v>
      </c>
      <c r="AA39" s="13">
        <f t="shared" si="8"/>
        <v>318.35618300530086</v>
      </c>
    </row>
    <row r="40" spans="1:27" x14ac:dyDescent="0.3">
      <c r="A40" s="5" t="s">
        <v>55</v>
      </c>
      <c r="B40" s="31">
        <v>1155048.8799999999</v>
      </c>
      <c r="C40" s="31">
        <v>1155048.8799999999</v>
      </c>
      <c r="D40" s="20">
        <f t="shared" si="34"/>
        <v>100</v>
      </c>
      <c r="E40" s="31">
        <v>1211090.83</v>
      </c>
      <c r="F40" s="31">
        <v>1211090.83</v>
      </c>
      <c r="G40" s="20">
        <f t="shared" si="35"/>
        <v>100</v>
      </c>
      <c r="H40" s="27">
        <v>1036703.59</v>
      </c>
      <c r="I40" s="21">
        <v>1036703.59</v>
      </c>
      <c r="J40" s="20">
        <f t="shared" si="36"/>
        <v>100</v>
      </c>
      <c r="K40" s="30">
        <v>0</v>
      </c>
      <c r="L40" s="30">
        <v>0</v>
      </c>
      <c r="M40" s="20" t="str">
        <f t="shared" si="37"/>
        <v>-</v>
      </c>
      <c r="N40" s="30">
        <v>0</v>
      </c>
      <c r="O40" s="30">
        <v>0</v>
      </c>
      <c r="P40" s="20" t="str">
        <f t="shared" si="38"/>
        <v>-</v>
      </c>
      <c r="Q40" s="30">
        <v>0</v>
      </c>
      <c r="R40" s="30">
        <v>0</v>
      </c>
      <c r="S40" s="20" t="str">
        <f t="shared" si="39"/>
        <v>-</v>
      </c>
      <c r="T40" s="30">
        <v>0</v>
      </c>
      <c r="U40" s="30">
        <v>0</v>
      </c>
      <c r="V40" s="20" t="str">
        <f t="shared" si="40"/>
        <v>-</v>
      </c>
      <c r="W40" s="30">
        <v>0</v>
      </c>
      <c r="X40" s="30">
        <v>0</v>
      </c>
      <c r="Y40" s="20" t="str">
        <f t="shared" si="41"/>
        <v>-</v>
      </c>
      <c r="Z40" s="13" t="str">
        <f t="shared" si="8"/>
        <v>-</v>
      </c>
      <c r="AA40" s="13" t="str">
        <f t="shared" si="8"/>
        <v>-</v>
      </c>
    </row>
    <row r="41" spans="1:27" x14ac:dyDescent="0.3">
      <c r="A41" s="5" t="s">
        <v>56</v>
      </c>
      <c r="B41" s="31">
        <v>0</v>
      </c>
      <c r="C41" s="31">
        <v>0</v>
      </c>
      <c r="D41" s="20" t="str">
        <f t="shared" si="34"/>
        <v>-</v>
      </c>
      <c r="E41" s="31">
        <v>0</v>
      </c>
      <c r="F41" s="31">
        <v>0</v>
      </c>
      <c r="G41" s="20" t="str">
        <f t="shared" si="35"/>
        <v>-</v>
      </c>
      <c r="H41" s="27">
        <v>0</v>
      </c>
      <c r="I41" s="21">
        <v>0</v>
      </c>
      <c r="J41" s="20" t="str">
        <f t="shared" si="36"/>
        <v>-</v>
      </c>
      <c r="K41" s="30">
        <v>0</v>
      </c>
      <c r="L41" s="30">
        <v>0</v>
      </c>
      <c r="M41" s="20" t="str">
        <f t="shared" si="37"/>
        <v>-</v>
      </c>
      <c r="N41" s="30">
        <v>0</v>
      </c>
      <c r="O41" s="30">
        <v>0</v>
      </c>
      <c r="P41" s="20" t="str">
        <f t="shared" si="38"/>
        <v>-</v>
      </c>
      <c r="Q41" s="30">
        <v>0</v>
      </c>
      <c r="R41" s="30">
        <v>0</v>
      </c>
      <c r="S41" s="20" t="str">
        <f t="shared" si="39"/>
        <v>-</v>
      </c>
      <c r="T41" s="30">
        <v>0</v>
      </c>
      <c r="U41" s="30">
        <v>0</v>
      </c>
      <c r="V41" s="20" t="str">
        <f t="shared" si="40"/>
        <v>-</v>
      </c>
      <c r="W41" s="30">
        <v>0</v>
      </c>
      <c r="X41" s="30">
        <v>0</v>
      </c>
      <c r="Y41" s="20" t="str">
        <f t="shared" si="41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31">
        <v>25381182.780000001</v>
      </c>
      <c r="C42" s="31">
        <v>25381182.780000001</v>
      </c>
      <c r="D42" s="20">
        <f t="shared" si="34"/>
        <v>100</v>
      </c>
      <c r="E42" s="31">
        <v>24742265.350000001</v>
      </c>
      <c r="F42" s="31">
        <v>24742265.350000001</v>
      </c>
      <c r="G42" s="20">
        <f t="shared" si="35"/>
        <v>100</v>
      </c>
      <c r="H42" s="27">
        <v>29367707.030000001</v>
      </c>
      <c r="I42" s="21">
        <v>29367707.030000001</v>
      </c>
      <c r="J42" s="20">
        <f t="shared" si="36"/>
        <v>100</v>
      </c>
      <c r="K42" s="30">
        <v>22735996.34</v>
      </c>
      <c r="L42" s="30">
        <v>22735996.34</v>
      </c>
      <c r="M42" s="20">
        <f t="shared" si="37"/>
        <v>100</v>
      </c>
      <c r="N42" s="30">
        <v>2050211.87</v>
      </c>
      <c r="O42" s="30">
        <v>2050211.87</v>
      </c>
      <c r="P42" s="20">
        <f t="shared" si="38"/>
        <v>100</v>
      </c>
      <c r="Q42" s="30">
        <v>1742358.51</v>
      </c>
      <c r="R42" s="30">
        <v>1742358.51</v>
      </c>
      <c r="S42" s="20">
        <f t="shared" si="39"/>
        <v>100</v>
      </c>
      <c r="T42" s="30">
        <v>13134580.189999999</v>
      </c>
      <c r="U42" s="30">
        <v>13021055.220000001</v>
      </c>
      <c r="V42" s="20">
        <f t="shared" si="40"/>
        <v>99.13567873234021</v>
      </c>
      <c r="W42" s="1">
        <v>12435455.789999999</v>
      </c>
      <c r="X42" s="1">
        <v>12318351.369999999</v>
      </c>
      <c r="Y42" s="20">
        <f t="shared" si="41"/>
        <v>99.058302148489247</v>
      </c>
      <c r="Z42" s="13">
        <f t="shared" si="8"/>
        <v>-5.3227768979801766</v>
      </c>
      <c r="AA42" s="13">
        <f t="shared" si="8"/>
        <v>-5.3966736038463807</v>
      </c>
    </row>
    <row r="43" spans="1:27" x14ac:dyDescent="0.3">
      <c r="A43" s="5" t="s">
        <v>58</v>
      </c>
      <c r="B43" s="31">
        <v>0</v>
      </c>
      <c r="C43" s="31">
        <v>0</v>
      </c>
      <c r="D43" s="20" t="str">
        <f t="shared" si="34"/>
        <v>-</v>
      </c>
      <c r="E43" s="31">
        <v>0</v>
      </c>
      <c r="F43" s="31">
        <v>0</v>
      </c>
      <c r="G43" s="20" t="str">
        <f t="shared" si="35"/>
        <v>-</v>
      </c>
      <c r="H43" s="27">
        <v>0</v>
      </c>
      <c r="I43" s="21">
        <v>0</v>
      </c>
      <c r="J43" s="20" t="str">
        <f t="shared" si="36"/>
        <v>-</v>
      </c>
      <c r="K43" s="30">
        <v>0</v>
      </c>
      <c r="L43" s="30">
        <v>0</v>
      </c>
      <c r="M43" s="20" t="str">
        <f t="shared" si="37"/>
        <v>-</v>
      </c>
      <c r="N43" s="30">
        <v>0</v>
      </c>
      <c r="O43" s="30">
        <v>0</v>
      </c>
      <c r="P43" s="20" t="str">
        <f t="shared" si="38"/>
        <v>-</v>
      </c>
      <c r="Q43" s="30">
        <v>0</v>
      </c>
      <c r="R43" s="30">
        <v>0</v>
      </c>
      <c r="S43" s="20" t="str">
        <f t="shared" si="39"/>
        <v>-</v>
      </c>
      <c r="T43" s="30">
        <v>0</v>
      </c>
      <c r="U43" s="30">
        <v>0</v>
      </c>
      <c r="V43" s="20" t="str">
        <f t="shared" si="40"/>
        <v>-</v>
      </c>
      <c r="W43" s="30">
        <v>0</v>
      </c>
      <c r="X43" s="30">
        <v>0</v>
      </c>
      <c r="Y43" s="20" t="str">
        <f t="shared" si="41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31">
        <v>0</v>
      </c>
      <c r="C44" s="31">
        <v>0</v>
      </c>
      <c r="D44" s="20" t="str">
        <f t="shared" si="34"/>
        <v>-</v>
      </c>
      <c r="E44" s="31">
        <v>0</v>
      </c>
      <c r="F44" s="31">
        <v>0</v>
      </c>
      <c r="G44" s="20" t="str">
        <f t="shared" si="35"/>
        <v>-</v>
      </c>
      <c r="H44" s="27">
        <v>0</v>
      </c>
      <c r="I44" s="21">
        <v>0</v>
      </c>
      <c r="J44" s="20" t="str">
        <f t="shared" si="36"/>
        <v>-</v>
      </c>
      <c r="K44" s="30">
        <v>0</v>
      </c>
      <c r="L44" s="30">
        <v>0</v>
      </c>
      <c r="M44" s="20" t="str">
        <f t="shared" si="37"/>
        <v>-</v>
      </c>
      <c r="N44" s="30">
        <v>0</v>
      </c>
      <c r="O44" s="30">
        <v>0</v>
      </c>
      <c r="P44" s="20" t="str">
        <f t="shared" si="38"/>
        <v>-</v>
      </c>
      <c r="Q44" s="30">
        <v>0</v>
      </c>
      <c r="R44" s="30">
        <v>0</v>
      </c>
      <c r="S44" s="20" t="str">
        <f t="shared" si="39"/>
        <v>-</v>
      </c>
      <c r="T44" s="30">
        <v>0</v>
      </c>
      <c r="U44" s="30">
        <v>0</v>
      </c>
      <c r="V44" s="20" t="str">
        <f t="shared" si="40"/>
        <v>-</v>
      </c>
      <c r="W44" s="30">
        <v>0</v>
      </c>
      <c r="X44" s="30">
        <v>0</v>
      </c>
      <c r="Y44" s="20" t="str">
        <f t="shared" si="41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30">
        <v>0</v>
      </c>
      <c r="C45" s="30">
        <v>0</v>
      </c>
      <c r="D45" s="20" t="str">
        <f t="shared" si="34"/>
        <v>-</v>
      </c>
      <c r="E45" s="30">
        <v>0</v>
      </c>
      <c r="F45" s="30">
        <v>0</v>
      </c>
      <c r="G45" s="20" t="str">
        <f t="shared" si="35"/>
        <v>-</v>
      </c>
      <c r="H45" s="27">
        <v>0</v>
      </c>
      <c r="I45" s="21">
        <v>0</v>
      </c>
      <c r="J45" s="20" t="str">
        <f t="shared" si="36"/>
        <v>-</v>
      </c>
      <c r="K45" s="30">
        <v>0</v>
      </c>
      <c r="L45" s="30">
        <v>0</v>
      </c>
      <c r="M45" s="20" t="str">
        <f t="shared" si="37"/>
        <v>-</v>
      </c>
      <c r="N45" s="30">
        <v>0</v>
      </c>
      <c r="O45" s="30">
        <v>0</v>
      </c>
      <c r="P45" s="20" t="str">
        <f t="shared" si="38"/>
        <v>-</v>
      </c>
      <c r="Q45" s="30">
        <v>0</v>
      </c>
      <c r="R45" s="30">
        <v>0</v>
      </c>
      <c r="S45" s="20" t="str">
        <f t="shared" si="39"/>
        <v>-</v>
      </c>
      <c r="T45" s="30">
        <v>0</v>
      </c>
      <c r="U45" s="30">
        <v>0</v>
      </c>
      <c r="V45" s="20" t="str">
        <f t="shared" si="40"/>
        <v>-</v>
      </c>
      <c r="W45" s="30">
        <v>0</v>
      </c>
      <c r="X45" s="30">
        <v>0</v>
      </c>
      <c r="Y45" s="20" t="str">
        <f t="shared" si="41"/>
        <v>-</v>
      </c>
      <c r="Z45" s="13" t="str">
        <f t="shared" si="8"/>
        <v>-</v>
      </c>
      <c r="AA45" s="13" t="str">
        <f t="shared" si="8"/>
        <v>-</v>
      </c>
    </row>
    <row r="46" spans="1:27" x14ac:dyDescent="0.3">
      <c r="A46" s="5" t="s">
        <v>61</v>
      </c>
      <c r="B46" s="31">
        <v>72128347.329999998</v>
      </c>
      <c r="C46" s="31">
        <v>4834821.8</v>
      </c>
      <c r="D46" s="20">
        <f t="shared" si="34"/>
        <v>6.7030813528553921</v>
      </c>
      <c r="E46" s="31">
        <v>85893599.280000001</v>
      </c>
      <c r="F46" s="31">
        <v>0</v>
      </c>
      <c r="G46" s="20">
        <f t="shared" si="35"/>
        <v>0</v>
      </c>
      <c r="H46" s="27">
        <v>81402183.290000007</v>
      </c>
      <c r="I46" s="21">
        <v>0</v>
      </c>
      <c r="J46" s="20">
        <f t="shared" si="36"/>
        <v>0</v>
      </c>
      <c r="K46" s="30">
        <v>78647763.480000004</v>
      </c>
      <c r="L46" s="30">
        <v>0</v>
      </c>
      <c r="M46" s="20">
        <f t="shared" si="37"/>
        <v>0</v>
      </c>
      <c r="N46" s="30">
        <v>81374064.420000002</v>
      </c>
      <c r="O46" s="30">
        <v>0</v>
      </c>
      <c r="P46" s="20">
        <f t="shared" si="38"/>
        <v>0</v>
      </c>
      <c r="Q46" s="30">
        <v>89746930.700000003</v>
      </c>
      <c r="R46" s="30">
        <v>0</v>
      </c>
      <c r="S46" s="20">
        <f t="shared" si="39"/>
        <v>0</v>
      </c>
      <c r="T46" s="30">
        <v>83612619.879999995</v>
      </c>
      <c r="U46" s="30">
        <v>0</v>
      </c>
      <c r="V46" s="20">
        <f t="shared" si="40"/>
        <v>0</v>
      </c>
      <c r="W46" s="1">
        <v>152142433.40000001</v>
      </c>
      <c r="X46" s="30">
        <v>0</v>
      </c>
      <c r="Y46" s="20">
        <f t="shared" si="41"/>
        <v>0</v>
      </c>
      <c r="Z46" s="13">
        <f t="shared" si="8"/>
        <v>81.961088671008412</v>
      </c>
      <c r="AA46" s="13" t="str">
        <f t="shared" si="8"/>
        <v>-</v>
      </c>
    </row>
    <row r="47" spans="1:27" x14ac:dyDescent="0.3">
      <c r="A47" s="5" t="s">
        <v>62</v>
      </c>
      <c r="B47" s="31">
        <v>4834821.8</v>
      </c>
      <c r="C47" s="31">
        <v>0</v>
      </c>
      <c r="D47" s="20">
        <f t="shared" si="34"/>
        <v>0</v>
      </c>
      <c r="E47" s="31">
        <v>5390999.5899999999</v>
      </c>
      <c r="F47" s="31">
        <v>0</v>
      </c>
      <c r="G47" s="20">
        <f t="shared" si="35"/>
        <v>0</v>
      </c>
      <c r="H47" s="27">
        <v>5898760.4699999997</v>
      </c>
      <c r="I47" s="21">
        <v>0</v>
      </c>
      <c r="J47" s="20">
        <f t="shared" si="36"/>
        <v>0</v>
      </c>
      <c r="K47" s="30">
        <v>6026214.3399999999</v>
      </c>
      <c r="L47" s="30">
        <v>0</v>
      </c>
      <c r="M47" s="20">
        <f t="shared" si="37"/>
        <v>0</v>
      </c>
      <c r="N47" s="30">
        <v>2393548.77</v>
      </c>
      <c r="O47" s="30">
        <v>0</v>
      </c>
      <c r="P47" s="20">
        <f t="shared" si="38"/>
        <v>0</v>
      </c>
      <c r="Q47" s="30">
        <v>2248004.09</v>
      </c>
      <c r="R47" s="30">
        <v>0</v>
      </c>
      <c r="S47" s="20">
        <f t="shared" si="39"/>
        <v>0</v>
      </c>
      <c r="T47" s="30">
        <v>2422097.4500000002</v>
      </c>
      <c r="U47" s="30">
        <v>0</v>
      </c>
      <c r="V47" s="20">
        <f t="shared" si="40"/>
        <v>0</v>
      </c>
      <c r="W47" s="1">
        <v>2394376.2599999998</v>
      </c>
      <c r="X47" s="30">
        <v>0</v>
      </c>
      <c r="Y47" s="20">
        <f t="shared" si="41"/>
        <v>0</v>
      </c>
      <c r="Z47" s="13">
        <f t="shared" si="8"/>
        <v>-1.1445117536456024</v>
      </c>
      <c r="AA47" s="13" t="str">
        <f t="shared" si="8"/>
        <v>-</v>
      </c>
    </row>
    <row r="48" spans="1:27" x14ac:dyDescent="0.3">
      <c r="A48" s="5" t="s">
        <v>63</v>
      </c>
      <c r="B48" s="30">
        <v>472618726.61000001</v>
      </c>
      <c r="C48" s="30">
        <v>391615083.46999991</v>
      </c>
      <c r="D48" s="20">
        <f t="shared" si="34"/>
        <v>82.86067847522186</v>
      </c>
      <c r="E48" s="30">
        <v>484101230.87999994</v>
      </c>
      <c r="F48" s="30">
        <v>408558797.18000001</v>
      </c>
      <c r="G48" s="20">
        <f t="shared" si="35"/>
        <v>84.395322944608338</v>
      </c>
      <c r="H48" s="27">
        <v>508590499.59000003</v>
      </c>
      <c r="I48" s="21">
        <v>409354187.19</v>
      </c>
      <c r="J48" s="20">
        <f t="shared" si="36"/>
        <v>80.487973629078922</v>
      </c>
      <c r="K48" s="30">
        <f t="shared" ref="K48:L48" si="42">SUM(K23:K30)</f>
        <v>514752531.04000008</v>
      </c>
      <c r="L48" s="30">
        <f t="shared" si="42"/>
        <v>409893875.13</v>
      </c>
      <c r="M48" s="20">
        <f t="shared" si="37"/>
        <v>79.629307368699116</v>
      </c>
      <c r="N48" s="30">
        <f t="shared" ref="N48:O48" si="43">SUM(N23:N30)</f>
        <v>527744839.43000007</v>
      </c>
      <c r="O48" s="30">
        <f t="shared" si="43"/>
        <v>404937090.71000004</v>
      </c>
      <c r="P48" s="20">
        <f t="shared" si="38"/>
        <v>76.729711113302272</v>
      </c>
      <c r="Q48" s="30">
        <f t="shared" ref="Q48:R48" si="44">SUM(Q23:Q30)</f>
        <v>567181243.86000001</v>
      </c>
      <c r="R48" s="30">
        <f t="shared" si="44"/>
        <v>445735795.71999997</v>
      </c>
      <c r="S48" s="20">
        <f t="shared" si="39"/>
        <v>78.587894177619006</v>
      </c>
      <c r="T48" s="30">
        <f t="shared" ref="T48:U48" si="45">SUM(T23:T30)</f>
        <v>613437212.64999998</v>
      </c>
      <c r="U48" s="30">
        <f t="shared" si="45"/>
        <v>470207535.12</v>
      </c>
      <c r="V48" s="20">
        <f t="shared" si="40"/>
        <v>76.651289720221044</v>
      </c>
      <c r="W48" s="30">
        <f t="shared" ref="W48:X48" si="46">SUM(W23:W30)</f>
        <v>618718230.49000013</v>
      </c>
      <c r="X48" s="30">
        <f t="shared" si="46"/>
        <v>502449111.88</v>
      </c>
      <c r="Y48" s="20">
        <f t="shared" si="41"/>
        <v>81.208066470270381</v>
      </c>
      <c r="Z48" s="13">
        <f t="shared" si="8"/>
        <v>0.86088970983462332</v>
      </c>
      <c r="AA48" s="13">
        <f t="shared" si="8"/>
        <v>6.8568821960226103</v>
      </c>
    </row>
    <row r="49" spans="1:27" x14ac:dyDescent="0.3">
      <c r="A49" s="5" t="s">
        <v>64</v>
      </c>
      <c r="B49" s="30">
        <v>61244923.54999999</v>
      </c>
      <c r="C49" s="30">
        <v>36058300.420000002</v>
      </c>
      <c r="D49" s="20">
        <f t="shared" si="34"/>
        <v>58.875574218918281</v>
      </c>
      <c r="E49" s="30">
        <v>66721257.920000002</v>
      </c>
      <c r="F49" s="30">
        <v>36538912.099999994</v>
      </c>
      <c r="G49" s="20">
        <f t="shared" si="35"/>
        <v>54.763524008811125</v>
      </c>
      <c r="H49" s="27">
        <v>49865691.539999999</v>
      </c>
      <c r="I49" s="21">
        <v>25118166.079999998</v>
      </c>
      <c r="J49" s="20">
        <f t="shared" si="36"/>
        <v>50.371638904980074</v>
      </c>
      <c r="K49" s="30">
        <f t="shared" ref="K49:L49" si="47">SUM(K31:K35)</f>
        <v>57614889.780000001</v>
      </c>
      <c r="L49" s="30">
        <f t="shared" si="47"/>
        <v>37617428.299999997</v>
      </c>
      <c r="M49" s="20">
        <f t="shared" si="37"/>
        <v>65.291157274865128</v>
      </c>
      <c r="N49" s="30">
        <f t="shared" ref="N49:O49" si="48">SUM(N31:N35)</f>
        <v>75981995.060000017</v>
      </c>
      <c r="O49" s="30">
        <f t="shared" si="48"/>
        <v>61949899.889999993</v>
      </c>
      <c r="P49" s="20">
        <f t="shared" si="38"/>
        <v>81.532341762124787</v>
      </c>
      <c r="Q49" s="30">
        <f t="shared" ref="Q49:R49" si="49">SUM(Q31:Q35)</f>
        <v>79666209.419999987</v>
      </c>
      <c r="R49" s="30">
        <f t="shared" si="49"/>
        <v>67036647.479999997</v>
      </c>
      <c r="S49" s="20">
        <f t="shared" si="39"/>
        <v>84.146902391932585</v>
      </c>
      <c r="T49" s="30">
        <f t="shared" ref="T49:U49" si="50">SUM(T31:T35)</f>
        <v>117200899.36999999</v>
      </c>
      <c r="U49" s="30">
        <f t="shared" si="50"/>
        <v>97147419.379999995</v>
      </c>
      <c r="V49" s="20">
        <f t="shared" si="40"/>
        <v>82.889653494303218</v>
      </c>
      <c r="W49" s="30">
        <f t="shared" ref="W49:X49" si="51">SUM(W31:W35)</f>
        <v>276691600.46000004</v>
      </c>
      <c r="X49" s="30">
        <f t="shared" si="51"/>
        <v>245300210.04000002</v>
      </c>
      <c r="Y49" s="20">
        <f t="shared" si="41"/>
        <v>88.654736765477594</v>
      </c>
      <c r="Z49" s="13">
        <f t="shared" si="8"/>
        <v>136.08317167131315</v>
      </c>
      <c r="AA49" s="13">
        <f t="shared" si="8"/>
        <v>152.50306349414018</v>
      </c>
    </row>
    <row r="50" spans="1:27" x14ac:dyDescent="0.3">
      <c r="A50" s="5" t="s">
        <v>65</v>
      </c>
      <c r="B50" s="30">
        <v>22811381.030000001</v>
      </c>
      <c r="C50" s="30">
        <v>15108000</v>
      </c>
      <c r="D50" s="20">
        <f t="shared" si="34"/>
        <v>66.230097950365092</v>
      </c>
      <c r="E50" s="30">
        <v>17126599.98</v>
      </c>
      <c r="F50" s="30">
        <v>15182423.98</v>
      </c>
      <c r="G50" s="20">
        <f t="shared" si="35"/>
        <v>88.648208037378367</v>
      </c>
      <c r="H50" s="27">
        <v>3118356.21</v>
      </c>
      <c r="I50" s="21">
        <v>18356.21</v>
      </c>
      <c r="J50" s="20">
        <f t="shared" si="36"/>
        <v>0.58865019785536299</v>
      </c>
      <c r="K50" s="30">
        <f t="shared" ref="K50:L50" si="52">SUM(K36:K39)</f>
        <v>217850.45</v>
      </c>
      <c r="L50" s="30">
        <f t="shared" si="52"/>
        <v>0</v>
      </c>
      <c r="M50" s="20">
        <f t="shared" si="37"/>
        <v>0</v>
      </c>
      <c r="N50" s="30">
        <f t="shared" ref="N50:O50" si="53">SUM(N36:N39)</f>
        <v>1546684.87</v>
      </c>
      <c r="O50" s="30">
        <f t="shared" si="53"/>
        <v>1534810.53</v>
      </c>
      <c r="P50" s="20">
        <f t="shared" si="38"/>
        <v>99.232271535700733</v>
      </c>
      <c r="Q50" s="30">
        <f t="shared" ref="Q50:R50" si="54">SUM(Q36:Q39)</f>
        <v>28161002.469999999</v>
      </c>
      <c r="R50" s="30">
        <f t="shared" si="54"/>
        <v>28161002.469999999</v>
      </c>
      <c r="S50" s="20">
        <f t="shared" si="39"/>
        <v>100</v>
      </c>
      <c r="T50" s="30">
        <f t="shared" ref="T50:U50" si="55">SUM(T36:T39)</f>
        <v>10652835.6</v>
      </c>
      <c r="U50" s="30">
        <f t="shared" si="55"/>
        <v>10648929</v>
      </c>
      <c r="V50" s="20">
        <f t="shared" si="40"/>
        <v>99.963328073888619</v>
      </c>
      <c r="W50" s="30">
        <f t="shared" ref="W50:X50" si="56">SUM(W36:W39)</f>
        <v>25539301</v>
      </c>
      <c r="X50" s="30">
        <f t="shared" si="56"/>
        <v>25439301</v>
      </c>
      <c r="Y50" s="20">
        <f t="shared" si="41"/>
        <v>99.608446605488538</v>
      </c>
      <c r="Z50" s="13">
        <f t="shared" si="8"/>
        <v>139.74181109112394</v>
      </c>
      <c r="AA50" s="13">
        <f t="shared" si="8"/>
        <v>138.89069971261901</v>
      </c>
    </row>
    <row r="51" spans="1:27" x14ac:dyDescent="0.3">
      <c r="A51" s="5" t="s">
        <v>66</v>
      </c>
      <c r="B51" s="30">
        <v>26536231.66</v>
      </c>
      <c r="C51" s="32">
        <v>26536231.66</v>
      </c>
      <c r="D51" s="20">
        <f t="shared" si="34"/>
        <v>100</v>
      </c>
      <c r="E51" s="30">
        <v>25953356.18</v>
      </c>
      <c r="F51" s="32">
        <v>25953356.18</v>
      </c>
      <c r="G51" s="20">
        <f t="shared" si="35"/>
        <v>100</v>
      </c>
      <c r="H51" s="27">
        <v>30404410.620000001</v>
      </c>
      <c r="I51" s="21">
        <v>30404410.620000001</v>
      </c>
      <c r="J51" s="20">
        <f t="shared" si="36"/>
        <v>100</v>
      </c>
      <c r="K51" s="30">
        <f t="shared" ref="K51:L51" si="57">SUM(K40:K44)</f>
        <v>22735996.34</v>
      </c>
      <c r="L51" s="30">
        <f t="shared" si="57"/>
        <v>22735996.34</v>
      </c>
      <c r="M51" s="20">
        <f t="shared" si="37"/>
        <v>100</v>
      </c>
      <c r="N51" s="30">
        <f t="shared" ref="N51:O51" si="58">SUM(N40:N44)</f>
        <v>2050211.87</v>
      </c>
      <c r="O51" s="30">
        <f t="shared" si="58"/>
        <v>2050211.87</v>
      </c>
      <c r="P51" s="20">
        <f t="shared" si="38"/>
        <v>100</v>
      </c>
      <c r="Q51" s="30">
        <f t="shared" ref="Q51:R51" si="59">SUM(Q40:Q44)</f>
        <v>1742358.51</v>
      </c>
      <c r="R51" s="30">
        <f t="shared" si="59"/>
        <v>1742358.51</v>
      </c>
      <c r="S51" s="20">
        <f t="shared" si="39"/>
        <v>100</v>
      </c>
      <c r="T51" s="30">
        <f t="shared" ref="T51:U51" si="60">SUM(T40:T44)</f>
        <v>13134580.189999999</v>
      </c>
      <c r="U51" s="30">
        <f t="shared" si="60"/>
        <v>13021055.220000001</v>
      </c>
      <c r="V51" s="20">
        <f t="shared" si="40"/>
        <v>99.13567873234021</v>
      </c>
      <c r="W51" s="30">
        <f t="shared" ref="W51:X51" si="61">SUM(W40:W44)</f>
        <v>12435455.789999999</v>
      </c>
      <c r="X51" s="30">
        <f t="shared" si="61"/>
        <v>12318351.369999999</v>
      </c>
      <c r="Y51" s="20">
        <f t="shared" si="41"/>
        <v>99.058302148489247</v>
      </c>
      <c r="Z51" s="13">
        <f t="shared" si="8"/>
        <v>-5.3227768979801766</v>
      </c>
      <c r="AA51" s="13">
        <f t="shared" si="8"/>
        <v>-5.3966736038463807</v>
      </c>
    </row>
    <row r="52" spans="1:27" x14ac:dyDescent="0.3">
      <c r="A52" s="5" t="s">
        <v>67</v>
      </c>
      <c r="B52" s="30">
        <v>0</v>
      </c>
      <c r="C52" s="30">
        <v>0</v>
      </c>
      <c r="D52" s="20" t="str">
        <f t="shared" si="34"/>
        <v>-</v>
      </c>
      <c r="E52" s="30">
        <v>0</v>
      </c>
      <c r="F52" s="30">
        <v>0</v>
      </c>
      <c r="G52" s="20" t="str">
        <f t="shared" si="35"/>
        <v>-</v>
      </c>
      <c r="H52" s="27">
        <v>0</v>
      </c>
      <c r="I52" s="21">
        <v>0</v>
      </c>
      <c r="J52" s="20" t="str">
        <f t="shared" si="36"/>
        <v>-</v>
      </c>
      <c r="K52" s="30">
        <f t="shared" ref="K52:L52" si="62">K45</f>
        <v>0</v>
      </c>
      <c r="L52" s="30">
        <f t="shared" si="62"/>
        <v>0</v>
      </c>
      <c r="M52" s="20" t="str">
        <f t="shared" si="37"/>
        <v>-</v>
      </c>
      <c r="N52" s="30">
        <f t="shared" ref="N52:O52" si="63">N45</f>
        <v>0</v>
      </c>
      <c r="O52" s="30">
        <f t="shared" si="63"/>
        <v>0</v>
      </c>
      <c r="P52" s="20" t="str">
        <f t="shared" si="38"/>
        <v>-</v>
      </c>
      <c r="Q52" s="30">
        <f t="shared" ref="Q52:R52" si="64">Q45</f>
        <v>0</v>
      </c>
      <c r="R52" s="30">
        <f t="shared" si="64"/>
        <v>0</v>
      </c>
      <c r="S52" s="20" t="str">
        <f t="shared" si="39"/>
        <v>-</v>
      </c>
      <c r="T52" s="30">
        <f t="shared" ref="T52:U52" si="65">T45</f>
        <v>0</v>
      </c>
      <c r="U52" s="30">
        <f t="shared" si="65"/>
        <v>0</v>
      </c>
      <c r="V52" s="20" t="str">
        <f t="shared" si="40"/>
        <v>-</v>
      </c>
      <c r="W52" s="30">
        <f t="shared" ref="W52:X52" si="66">W45</f>
        <v>0</v>
      </c>
      <c r="X52" s="30">
        <f t="shared" si="66"/>
        <v>0</v>
      </c>
      <c r="Y52" s="20" t="str">
        <f t="shared" si="41"/>
        <v>-</v>
      </c>
      <c r="Z52" s="13" t="str">
        <f t="shared" si="8"/>
        <v>-</v>
      </c>
      <c r="AA52" s="13" t="str">
        <f t="shared" si="8"/>
        <v>-</v>
      </c>
    </row>
    <row r="53" spans="1:27" x14ac:dyDescent="0.3">
      <c r="A53" s="5" t="s">
        <v>68</v>
      </c>
      <c r="B53" s="30">
        <v>76963169.129999995</v>
      </c>
      <c r="C53" s="32">
        <v>67175752.150000006</v>
      </c>
      <c r="D53" s="20">
        <f t="shared" si="34"/>
        <v>87.282986017028648</v>
      </c>
      <c r="E53" s="30">
        <v>91284598.870000005</v>
      </c>
      <c r="F53" s="32">
        <v>78746769.709999993</v>
      </c>
      <c r="G53" s="20">
        <f t="shared" si="35"/>
        <v>86.265121044289899</v>
      </c>
      <c r="H53" s="27">
        <v>87300943.760000005</v>
      </c>
      <c r="I53" s="22">
        <v>72679492.799999997</v>
      </c>
      <c r="J53" s="20">
        <f t="shared" si="36"/>
        <v>83.251669076801733</v>
      </c>
      <c r="K53" s="30">
        <f>SUM(K46:K47)</f>
        <v>84673977.820000008</v>
      </c>
      <c r="L53" s="32">
        <v>70437734.730000004</v>
      </c>
      <c r="M53" s="20">
        <f t="shared" si="37"/>
        <v>83.186991497832537</v>
      </c>
      <c r="N53" s="30">
        <f>SUM(N46:N47)</f>
        <v>83767613.189999998</v>
      </c>
      <c r="O53" s="32">
        <v>71835671.510000005</v>
      </c>
      <c r="P53" s="20">
        <f t="shared" si="38"/>
        <v>85.755901086812386</v>
      </c>
      <c r="Q53" s="30">
        <f>SUM(Q46:Q47)</f>
        <v>91994934.790000007</v>
      </c>
      <c r="R53" s="32">
        <v>80101953.400000006</v>
      </c>
      <c r="S53" s="20">
        <f t="shared" si="39"/>
        <v>87.07213455050703</v>
      </c>
      <c r="T53" s="30">
        <f>SUM(T46:T47)</f>
        <v>86034717.329999998</v>
      </c>
      <c r="U53" s="32">
        <v>75909385.150000006</v>
      </c>
      <c r="V53" s="20">
        <f t="shared" si="40"/>
        <v>88.23110891250721</v>
      </c>
      <c r="W53" s="30">
        <f>SUM(W46:W47)</f>
        <v>154536809.66</v>
      </c>
      <c r="X53" s="32">
        <v>146363635.52000001</v>
      </c>
      <c r="Y53" s="20">
        <f t="shared" si="41"/>
        <v>94.711179713116906</v>
      </c>
      <c r="Z53" s="13">
        <f t="shared" si="8"/>
        <v>79.621453357310628</v>
      </c>
      <c r="AA53" s="13">
        <f t="shared" si="8"/>
        <v>92.813622756632242</v>
      </c>
    </row>
    <row r="54" spans="1:27" x14ac:dyDescent="0.3">
      <c r="A54" s="5" t="s">
        <v>69</v>
      </c>
      <c r="B54" s="19">
        <f t="shared" ref="B54:C54" si="67">SUM(B48:B53)</f>
        <v>660174431.98000002</v>
      </c>
      <c r="C54" s="19">
        <f t="shared" si="67"/>
        <v>536493367.69999993</v>
      </c>
      <c r="D54" s="20">
        <f t="shared" si="34"/>
        <v>81.265396190965021</v>
      </c>
      <c r="E54" s="26">
        <f t="shared" ref="E54:F54" si="68">SUM(E48:E53)</f>
        <v>685187043.82999992</v>
      </c>
      <c r="F54" s="19">
        <f t="shared" si="68"/>
        <v>564980259.14999998</v>
      </c>
      <c r="G54" s="20">
        <f t="shared" si="35"/>
        <v>82.456354689942998</v>
      </c>
      <c r="H54" s="26">
        <f t="shared" ref="H54:I54" si="69">SUM(H48:H53)</f>
        <v>679279901.72000003</v>
      </c>
      <c r="I54" s="19">
        <f t="shared" si="69"/>
        <v>537574612.89999998</v>
      </c>
      <c r="J54" s="20">
        <f t="shared" si="36"/>
        <v>79.138895695104623</v>
      </c>
      <c r="K54" s="26">
        <f t="shared" ref="K54:L54" si="70">SUM(K48:K53)</f>
        <v>679995245.43000019</v>
      </c>
      <c r="L54" s="19">
        <f t="shared" si="70"/>
        <v>540685034.5</v>
      </c>
      <c r="M54" s="20">
        <f t="shared" si="37"/>
        <v>79.513061030021419</v>
      </c>
      <c r="N54" s="26">
        <f t="shared" ref="N54:O54" si="71">SUM(N48:N53)</f>
        <v>691091344.42000008</v>
      </c>
      <c r="O54" s="19">
        <f t="shared" si="71"/>
        <v>542307684.50999999</v>
      </c>
      <c r="P54" s="20">
        <f t="shared" si="38"/>
        <v>78.471201945834366</v>
      </c>
      <c r="Q54" s="26">
        <f t="shared" ref="Q54:R54" si="72">SUM(Q48:Q53)</f>
        <v>768745749.04999995</v>
      </c>
      <c r="R54" s="19">
        <f t="shared" si="72"/>
        <v>622777757.57999992</v>
      </c>
      <c r="S54" s="20">
        <f t="shared" si="39"/>
        <v>81.012188795790522</v>
      </c>
      <c r="T54" s="26">
        <f t="shared" ref="T54:U54" si="73">SUM(T48:T53)</f>
        <v>840460245.1400001</v>
      </c>
      <c r="U54" s="19">
        <f t="shared" si="73"/>
        <v>666934323.87</v>
      </c>
      <c r="V54" s="20">
        <f t="shared" si="40"/>
        <v>79.353464691111611</v>
      </c>
      <c r="W54" s="31">
        <f t="shared" ref="W54:X54" si="74">SUM(W48:W53)</f>
        <v>1087921397.4000001</v>
      </c>
      <c r="X54" s="31">
        <f t="shared" si="74"/>
        <v>931870609.81000006</v>
      </c>
      <c r="Y54" s="20">
        <f t="shared" si="41"/>
        <v>85.656060450420185</v>
      </c>
      <c r="Z54" s="13">
        <f t="shared" si="8"/>
        <v>29.443528553665146</v>
      </c>
      <c r="AA54" s="13">
        <f t="shared" si="8"/>
        <v>39.724494070519881</v>
      </c>
    </row>
    <row r="55" spans="1:27" x14ac:dyDescent="0.3">
      <c r="A55" s="14" t="s">
        <v>70</v>
      </c>
      <c r="B55" s="15">
        <f t="shared" ref="B55:F55" si="75">B54-B53</f>
        <v>583211262.85000002</v>
      </c>
      <c r="C55" s="15">
        <f t="shared" si="75"/>
        <v>469317615.54999995</v>
      </c>
      <c r="D55" s="23">
        <f t="shared" si="34"/>
        <v>80.471288098341617</v>
      </c>
      <c r="E55" s="28">
        <f t="shared" si="75"/>
        <v>593902444.95999992</v>
      </c>
      <c r="F55" s="15">
        <f t="shared" si="75"/>
        <v>486233489.44</v>
      </c>
      <c r="G55" s="23">
        <f t="shared" si="35"/>
        <v>81.870935802048834</v>
      </c>
      <c r="H55" s="28">
        <f t="shared" ref="H55:I55" si="76">H54-H53</f>
        <v>591978957.96000004</v>
      </c>
      <c r="I55" s="15">
        <f t="shared" si="76"/>
        <v>464895120.09999996</v>
      </c>
      <c r="J55" s="23">
        <f t="shared" si="36"/>
        <v>78.532372451558132</v>
      </c>
      <c r="K55" s="28">
        <f t="shared" ref="K55:L55" si="77">K54-K53</f>
        <v>595321267.61000013</v>
      </c>
      <c r="L55" s="15">
        <f t="shared" si="77"/>
        <v>470247299.76999998</v>
      </c>
      <c r="M55" s="23">
        <f t="shared" si="37"/>
        <v>78.990509050327233</v>
      </c>
      <c r="N55" s="28">
        <f t="shared" ref="N55:O55" si="78">N54-N53</f>
        <v>607323731.23000002</v>
      </c>
      <c r="O55" s="15">
        <f t="shared" si="78"/>
        <v>470472013</v>
      </c>
      <c r="P55" s="23">
        <f t="shared" si="38"/>
        <v>77.466429979141921</v>
      </c>
      <c r="Q55" s="28">
        <f t="shared" ref="Q55:R55" si="79">Q54-Q53</f>
        <v>676750814.25999999</v>
      </c>
      <c r="R55" s="15">
        <f t="shared" si="79"/>
        <v>542675804.17999995</v>
      </c>
      <c r="S55" s="23">
        <f t="shared" si="39"/>
        <v>80.188422790949176</v>
      </c>
      <c r="T55" s="28">
        <f t="shared" ref="T55:U55" si="80">T54-T53</f>
        <v>754425527.81000006</v>
      </c>
      <c r="U55" s="15">
        <f t="shared" si="80"/>
        <v>591024938.72000003</v>
      </c>
      <c r="V55" s="23">
        <f t="shared" si="40"/>
        <v>78.341057789450616</v>
      </c>
      <c r="W55" s="31">
        <f t="shared" ref="W55:X55" si="81">W54-W53</f>
        <v>933384587.74000013</v>
      </c>
      <c r="X55" s="31">
        <f t="shared" si="81"/>
        <v>785506974.29000008</v>
      </c>
      <c r="Y55" s="23">
        <f t="shared" si="41"/>
        <v>84.156840021533313</v>
      </c>
      <c r="Z55" s="16">
        <f t="shared" si="8"/>
        <v>23.72123600449936</v>
      </c>
      <c r="AA55" s="16">
        <f t="shared" si="8"/>
        <v>32.905893276042718</v>
      </c>
    </row>
    <row r="56" spans="1:27" x14ac:dyDescent="0.3">
      <c r="A56" s="5" t="s">
        <v>71</v>
      </c>
      <c r="B56" s="31">
        <f>B14-B48</f>
        <v>72554807.549999952</v>
      </c>
      <c r="C56" s="31">
        <f>C14-C48</f>
        <v>32881255.820000052</v>
      </c>
      <c r="D56" s="24"/>
      <c r="E56" s="31">
        <f>E14-E48</f>
        <v>90685244.650000036</v>
      </c>
      <c r="F56" s="31">
        <f>F14-F48</f>
        <v>63074715.350000024</v>
      </c>
      <c r="G56" s="24"/>
      <c r="H56" s="31">
        <f>H14-H48</f>
        <v>107199697.72000003</v>
      </c>
      <c r="I56" s="31">
        <f>I14-I48</f>
        <v>73582876.779999971</v>
      </c>
      <c r="J56" s="24"/>
      <c r="K56" s="31">
        <f>K14-K48</f>
        <v>121106061.81999993</v>
      </c>
      <c r="L56" s="31">
        <f>L14-L48</f>
        <v>111161081.44000006</v>
      </c>
      <c r="M56" s="24"/>
      <c r="N56" s="31">
        <f>N14-N48</f>
        <v>107244836.7299999</v>
      </c>
      <c r="O56" s="31">
        <f>O14-O48</f>
        <v>133659817.22000003</v>
      </c>
      <c r="P56" s="24"/>
      <c r="Q56" s="31">
        <f>Q14-Q48</f>
        <v>69018956.830000043</v>
      </c>
      <c r="R56" s="31">
        <f>R14-R48</f>
        <v>101429857.0800001</v>
      </c>
      <c r="S56" s="24"/>
      <c r="T56" s="31">
        <f>T14-T48</f>
        <v>55307686.840000033</v>
      </c>
      <c r="U56" s="31">
        <f>U14-U48</f>
        <v>84131661.529999971</v>
      </c>
      <c r="V56" s="24"/>
      <c r="W56" s="31">
        <f>W14-W48</f>
        <v>122902928.86999989</v>
      </c>
      <c r="X56" s="31">
        <f>X14-X48</f>
        <v>82126903.559999943</v>
      </c>
      <c r="Y56" s="24"/>
      <c r="Z56" s="13">
        <f t="shared" ref="Z56:AA59" si="82">IF(T56&gt;0,W56/T56*100-100,"-")</f>
        <v>122.21672228951931</v>
      </c>
      <c r="AA56" s="13">
        <f t="shared" si="82"/>
        <v>-2.3828817041550536</v>
      </c>
    </row>
    <row r="57" spans="1:27" x14ac:dyDescent="0.3">
      <c r="A57" s="5" t="s">
        <v>72</v>
      </c>
      <c r="B57" s="31">
        <f>B15-B49</f>
        <v>-40159914.79999999</v>
      </c>
      <c r="C57" s="31">
        <f>C15-C49</f>
        <v>-18037598.150000002</v>
      </c>
      <c r="D57" s="24"/>
      <c r="E57" s="31">
        <f>E15-E49</f>
        <v>-25100757.730000004</v>
      </c>
      <c r="F57" s="31">
        <f>F15-F49</f>
        <v>-318995.07999999821</v>
      </c>
      <c r="G57" s="24"/>
      <c r="H57" s="31">
        <f>H15-H49</f>
        <v>-12359497.240000002</v>
      </c>
      <c r="I57" s="31">
        <f>I15-I49</f>
        <v>-1610374.799999997</v>
      </c>
      <c r="J57" s="24"/>
      <c r="K57" s="31">
        <f>K15-K49</f>
        <v>-8012337.5399999991</v>
      </c>
      <c r="L57" s="31">
        <f>L15-L49</f>
        <v>-6257359.1499999985</v>
      </c>
      <c r="M57" s="24"/>
      <c r="N57" s="31">
        <f>N15-N49</f>
        <v>-44083858.460000016</v>
      </c>
      <c r="O57" s="31">
        <f>O15-O49</f>
        <v>-39694299.979999989</v>
      </c>
      <c r="P57" s="24"/>
      <c r="Q57" s="31">
        <f>Q15-Q49</f>
        <v>-33390074.599999987</v>
      </c>
      <c r="R57" s="31">
        <f>R15-R49</f>
        <v>-25754191.359999992</v>
      </c>
      <c r="S57" s="24"/>
      <c r="T57" s="31">
        <f>T15-T49</f>
        <v>-20061458.019999981</v>
      </c>
      <c r="U57" s="31">
        <f>U15-U49</f>
        <v>-4609696.3199999928</v>
      </c>
      <c r="V57" s="24"/>
      <c r="W57" s="31">
        <f>W15-W49</f>
        <v>-103788753.87000006</v>
      </c>
      <c r="X57" s="31">
        <f>X15-X49</f>
        <v>-184367087.62</v>
      </c>
      <c r="Y57" s="24"/>
      <c r="Z57" s="13" t="str">
        <f t="shared" si="82"/>
        <v>-</v>
      </c>
      <c r="AA57" s="13" t="str">
        <f t="shared" si="82"/>
        <v>-</v>
      </c>
    </row>
    <row r="58" spans="1:27" x14ac:dyDescent="0.3">
      <c r="A58" s="5" t="s">
        <v>358</v>
      </c>
      <c r="B58" s="31">
        <f>SUM(B14:B16)-SUM(B48:B50)</f>
        <v>33607767.299999952</v>
      </c>
      <c r="C58" s="31">
        <f>SUM(C14:C16)-SUM(C48:C50)</f>
        <v>948532.22000002861</v>
      </c>
      <c r="D58" s="24"/>
      <c r="E58" s="31">
        <f>SUM(E14:E16)-SUM(E48:E50)</f>
        <v>64188982.430000067</v>
      </c>
      <c r="F58" s="31">
        <f>SUM(F14:F16)-SUM(F48:F50)</f>
        <v>50476222.800000012</v>
      </c>
      <c r="G58" s="24"/>
      <c r="H58" s="31">
        <f>SUM(H14:H16)-SUM(H48:H50)</f>
        <v>102467635.97000003</v>
      </c>
      <c r="I58" s="31">
        <f>SUM(I14:I16)-SUM(I48:I50)</f>
        <v>79380643.970000029</v>
      </c>
      <c r="J58" s="24"/>
      <c r="K58" s="31">
        <f>SUM(K14:K16)-SUM(K48:K50)</f>
        <v>146296577.36999989</v>
      </c>
      <c r="L58" s="31">
        <f>SUM(L14:L16)-SUM(L48:L50)</f>
        <v>138106575.38000005</v>
      </c>
      <c r="M58" s="24"/>
      <c r="N58" s="31">
        <f>SUM(N14:N16)-SUM(N48:N50)</f>
        <v>87860528.909999847</v>
      </c>
      <c r="O58" s="31">
        <f>SUM(O14:O16)-SUM(O48:O50)</f>
        <v>117130257.35000002</v>
      </c>
      <c r="P58" s="24"/>
      <c r="Q58" s="31">
        <f>SUM(Q14:Q16)-SUM(Q48:Q50)</f>
        <v>35628882.230000138</v>
      </c>
      <c r="R58" s="31">
        <f>SUM(R14:R16)-SUM(R48:R50)</f>
        <v>48723295.5200001</v>
      </c>
      <c r="S58" s="24"/>
      <c r="T58" s="31">
        <f>SUM(T14:T16)-SUM(T48:T50)</f>
        <v>28746228.820000052</v>
      </c>
      <c r="U58" s="31">
        <f>SUM(U14:U16)-SUM(U48:U50)</f>
        <v>69413000.440000057</v>
      </c>
      <c r="V58" s="24"/>
      <c r="W58" s="31">
        <f>SUM(W14:W16)-SUM(W48:W50)</f>
        <v>12932174.999999881</v>
      </c>
      <c r="X58" s="31">
        <f>SUM(X14:X16)-SUM(X48:X50)</f>
        <v>-125679485.06000018</v>
      </c>
      <c r="Y58" s="24"/>
      <c r="Z58" s="13">
        <f t="shared" si="82"/>
        <v>-55.012620678082193</v>
      </c>
      <c r="AA58" s="13">
        <f t="shared" si="82"/>
        <v>-281.06044150711557</v>
      </c>
    </row>
    <row r="59" spans="1:27" x14ac:dyDescent="0.3">
      <c r="A59" s="5" t="s">
        <v>359</v>
      </c>
      <c r="B59" s="31">
        <f>B21-B55</f>
        <v>22179535.639999986</v>
      </c>
      <c r="C59" s="31">
        <f>C21-C55</f>
        <v>-10479699.439999998</v>
      </c>
      <c r="D59" s="111"/>
      <c r="E59" s="31">
        <f>E21-E55</f>
        <v>47875626.250000119</v>
      </c>
      <c r="F59" s="31">
        <f>F21-F55</f>
        <v>34162866.620000005</v>
      </c>
      <c r="G59" s="111"/>
      <c r="H59" s="31">
        <f>H21-H55</f>
        <v>72063225.350000024</v>
      </c>
      <c r="I59" s="31">
        <f>I21-I55</f>
        <v>48976233.350000083</v>
      </c>
      <c r="J59" s="111"/>
      <c r="K59" s="31">
        <f>K21-K55</f>
        <v>123560581.02999997</v>
      </c>
      <c r="L59" s="31">
        <f>L21-L55</f>
        <v>115370579.04000008</v>
      </c>
      <c r="M59" s="111"/>
      <c r="N59" s="31">
        <f>N21-N55</f>
        <v>94680585.609999895</v>
      </c>
      <c r="O59" s="31">
        <f>O21-O55</f>
        <v>115080045.48000002</v>
      </c>
      <c r="P59" s="111"/>
      <c r="Q59" s="31">
        <f>Q21-Q55</f>
        <v>49186523.720000148</v>
      </c>
      <c r="R59" s="31">
        <f>R21-R55</f>
        <v>62280937.01000011</v>
      </c>
      <c r="S59" s="111"/>
      <c r="T59" s="31">
        <f>T21-T55</f>
        <v>15611648.629999995</v>
      </c>
      <c r="U59" s="31">
        <f>U21-U55</f>
        <v>56391945.220000029</v>
      </c>
      <c r="V59" s="111"/>
      <c r="W59" s="31">
        <f>W21-W55</f>
        <v>17846719.210000038</v>
      </c>
      <c r="X59" s="31">
        <f>X21-X55</f>
        <v>-120647836.43000019</v>
      </c>
      <c r="Y59" s="111"/>
      <c r="Z59" s="13">
        <f t="shared" si="82"/>
        <v>14.316685143073471</v>
      </c>
      <c r="AA59" s="13">
        <f t="shared" si="82"/>
        <v>-313.94515823017059</v>
      </c>
    </row>
    <row r="60" spans="1:27" x14ac:dyDescent="0.3">
      <c r="A60" s="5" t="s">
        <v>360</v>
      </c>
      <c r="C60" s="6">
        <f>SUM(C14:C16)/SUM(B14:B16)*100</f>
        <v>75.172428748576721</v>
      </c>
      <c r="D60" s="111"/>
      <c r="F60" s="6">
        <f>SUM(F14:F16)/SUM(E14:E16)*100</f>
        <v>80.798227368641378</v>
      </c>
      <c r="G60" s="111"/>
      <c r="I60" s="6">
        <f>SUM(I14:I16)/SUM(H14:H16)*100</f>
        <v>77.385347853737983</v>
      </c>
      <c r="J60" s="111"/>
      <c r="L60" s="6">
        <f>SUM(L14:L16)/SUM(K14:K16)*100</f>
        <v>81.462326516921763</v>
      </c>
      <c r="M60" s="111"/>
      <c r="O60" s="6">
        <f>SUM(O14:O16)/SUM(N14:N16)*100</f>
        <v>84.478905623159775</v>
      </c>
      <c r="P60" s="111"/>
      <c r="R60" s="6">
        <f>SUM(R14:R16)/SUM(Q14:Q16)*100</f>
        <v>82.975761288607544</v>
      </c>
      <c r="S60" s="111"/>
      <c r="U60" s="6">
        <f>SUM(U14:U16)/SUM(T14:T16)*100</f>
        <v>84.076055513723063</v>
      </c>
      <c r="V60" s="111"/>
      <c r="X60" s="6">
        <f>SUM(X14:X16)/SUM(W14:W16)*100</f>
        <v>69.335271307092086</v>
      </c>
      <c r="Y60" s="111"/>
    </row>
    <row r="61" spans="1:27" x14ac:dyDescent="0.3">
      <c r="A61" s="5" t="s">
        <v>361</v>
      </c>
      <c r="C61" s="6">
        <f>SUM(C48:C50)/SUM(B48:B50)*100</f>
        <v>79.540370787507655</v>
      </c>
      <c r="D61" s="111"/>
      <c r="F61" s="6">
        <f>SUM(F48:F50)/SUM(E48:E50)*100</f>
        <v>81.042498764936582</v>
      </c>
      <c r="G61" s="111"/>
      <c r="I61" s="6">
        <f>SUM(I48:I50)/SUM(H48:H50)*100</f>
        <v>77.370085866256616</v>
      </c>
      <c r="J61" s="111"/>
      <c r="L61" s="6">
        <f>SUM(L48:L50)/SUM(K48:K50)*100</f>
        <v>78.156272241759766</v>
      </c>
      <c r="M61" s="111"/>
      <c r="O61" s="6">
        <f>SUM(O48:O50)/SUM(N48:N50)*100</f>
        <v>77.390103176047845</v>
      </c>
      <c r="P61" s="111"/>
      <c r="R61" s="6">
        <f>SUM(R48:R50)/SUM(Q48:Q50)*100</f>
        <v>80.137284364678123</v>
      </c>
      <c r="S61" s="111"/>
      <c r="U61" s="6">
        <f>SUM(U48:U50)/SUM(T48:T50)*100</f>
        <v>77.972607834447189</v>
      </c>
      <c r="V61" s="111"/>
      <c r="X61" s="6">
        <f>SUM(X48:X50)/SUM(W48:W50)*100</f>
        <v>83.95562752557953</v>
      </c>
      <c r="Y61" s="111"/>
    </row>
    <row r="62" spans="1:27" x14ac:dyDescent="0.3">
      <c r="A62" s="5" t="s">
        <v>362</v>
      </c>
      <c r="B62" s="117">
        <f>(B3+B5+B6+B9+B10+B16)/(B14+B15+B16)*100</f>
        <v>91.12239497677183</v>
      </c>
      <c r="C62" s="117">
        <f>(C3+C5+C6+C9+C10+C16)/(C14+C15+C16)*100</f>
        <v>94.018901859792408</v>
      </c>
      <c r="E62" s="117">
        <f>(E3+E5+E6+E9+E10+E16)/(E14+E15+E16)*100</f>
        <v>89.785957509818985</v>
      </c>
      <c r="F62" s="117">
        <f>(F3+F5+F6+F9+F10+F16)/(F14+F15+F16)*100</f>
        <v>89.582586484004594</v>
      </c>
      <c r="H62" s="117">
        <f>(H3+H5+H6+H9+H10+H16)/(H14+H15+H16)*100</f>
        <v>89.113073509932363</v>
      </c>
      <c r="I62" s="117">
        <f>(I3+I5+I6+I9+I10+I16)/(I14+I15+I16)*100</f>
        <v>91.266935551338037</v>
      </c>
      <c r="K62" s="117">
        <f>(K3+K5+K6+K9+K10+K16)/(K14+K15+K16)*100</f>
        <v>87.616960183594927</v>
      </c>
      <c r="L62" s="117">
        <f>(L3+L5+L6+L9+L10+L16)/(L14+L15+L16)*100</f>
        <v>90.252823188050286</v>
      </c>
      <c r="N62" s="117">
        <f>(N3+N5+N6+N9+N10+N16)/(N14+N15+N16)*100</f>
        <v>77.71220069111034</v>
      </c>
      <c r="O62" s="117">
        <f>(O3+O5+O6+O9+O10+O16)/(O14+O15+O16)*100</f>
        <v>78.407710973093856</v>
      </c>
      <c r="Q62" s="117">
        <f>(Q3+Q5+Q6+Q9+Q10+Q16)/(Q14+Q15+Q16)*100</f>
        <v>80.88381297608889</v>
      </c>
      <c r="R62" s="117">
        <f>(R3+R5+R6+R9+R10+R16)/(R14+R15+R16)*100</f>
        <v>80.553623957798195</v>
      </c>
      <c r="T62" s="117">
        <f>(T3+T5+T6+T9+T10+T16)/(T14+T15+T16)*100</f>
        <v>75.636038986149075</v>
      </c>
      <c r="U62" s="117">
        <f>(U3+U5+U6+U9+U10+U16)/(U14+U15+U16)*100</f>
        <v>77.162405453469361</v>
      </c>
      <c r="W62" s="117">
        <f>(W3+W5+W6+W9+W10+W16)/(W14+W15+W16)*100</f>
        <v>65.210106911649007</v>
      </c>
      <c r="X62" s="117">
        <f>(X3+X5+X6+X9+X10+X16)/(X14+X15+X16)*100</f>
        <v>78.566361860362349</v>
      </c>
    </row>
    <row r="63" spans="1:27" x14ac:dyDescent="0.3">
      <c r="A63" s="5" t="s">
        <v>363</v>
      </c>
      <c r="B63" s="117">
        <f>(B4+B7+B8)/(B14+B15+B16)*100</f>
        <v>8.8776050232281598</v>
      </c>
      <c r="C63" s="117">
        <f>(C4+C7+C8)/(C14+C15+C16)*100</f>
        <v>5.9810981402076111</v>
      </c>
      <c r="E63" s="117">
        <f>(E4+E7+E8)/(E14+E15+E16)*100</f>
        <v>10.214042490180995</v>
      </c>
      <c r="F63" s="117">
        <f>(F4+F7+F8)/(F14+F15+F16)*100</f>
        <v>10.417413515995392</v>
      </c>
      <c r="H63" s="117">
        <f>(H4+H7+H8)/(H14+H15+H16)*100</f>
        <v>10.886926490067653</v>
      </c>
      <c r="I63" s="117">
        <f>(I4+I7+I8)/(I14+I15+I16)*100</f>
        <v>8.7330644486619615</v>
      </c>
      <c r="K63" s="117">
        <f>(K4+K7+K8)/(K14+K15+K16)*100</f>
        <v>12.383039816405066</v>
      </c>
      <c r="L63" s="117">
        <f>(L4+L7+L8)/(L14+L15+L16)*100</f>
        <v>9.7471768119496947</v>
      </c>
      <c r="N63" s="117">
        <f>(N4+N7+N8)/(N14+N15+N16)*100</f>
        <v>22.287799308889664</v>
      </c>
      <c r="O63" s="117">
        <f>(O4+O7+O8)/(O14+O15+O16)*100</f>
        <v>21.592289026906126</v>
      </c>
      <c r="Q63" s="117">
        <f>(Q4+Q7+Q8)/(Q14+Q15+Q16)*100</f>
        <v>19.116187023911095</v>
      </c>
      <c r="R63" s="117">
        <f>(R4+R7+R8)/(R14+R15+R16)*100</f>
        <v>19.446376042201795</v>
      </c>
      <c r="T63" s="117">
        <f>(T4+T7+T8)/(T14+T15+T16)*100</f>
        <v>24.363961013850915</v>
      </c>
      <c r="U63" s="117">
        <f>(U4+U7+U8)/(U14+U15+U16)*100</f>
        <v>22.837594546530635</v>
      </c>
      <c r="W63" s="117">
        <f>(W4+W7+W8)/(W14+W15+W16)*100</f>
        <v>34.789893088350993</v>
      </c>
      <c r="X63" s="117">
        <f>(X4+X7+X8)/(X14+X15+X16)*100</f>
        <v>21.433638139637669</v>
      </c>
    </row>
  </sheetData>
  <mergeCells count="9">
    <mergeCell ref="Z1:AA1"/>
    <mergeCell ref="B1:D1"/>
    <mergeCell ref="E1:G1"/>
    <mergeCell ref="H1:J1"/>
    <mergeCell ref="W1:Y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pane xSplit="1" topLeftCell="E1" activePane="topRight" state="frozen"/>
      <selection pane="topRight" activeCell="L2" sqref="L2:L28"/>
    </sheetView>
  </sheetViews>
  <sheetFormatPr defaultRowHeight="14.4" x14ac:dyDescent="0.3"/>
  <cols>
    <col min="1" max="1" width="51.6640625" style="35" bestFit="1" customWidth="1"/>
    <col min="2" max="14" width="12.6640625" bestFit="1" customWidth="1"/>
  </cols>
  <sheetData>
    <row r="1" spans="1:12" x14ac:dyDescent="0.3">
      <c r="A1" s="76"/>
      <c r="B1" s="72">
        <v>2013</v>
      </c>
      <c r="C1" s="72">
        <v>2014</v>
      </c>
      <c r="D1" s="72">
        <v>2015</v>
      </c>
      <c r="E1" s="72">
        <v>2016</v>
      </c>
      <c r="F1" s="72">
        <v>2017</v>
      </c>
      <c r="G1" s="72">
        <v>2018</v>
      </c>
      <c r="H1" s="72">
        <v>2019</v>
      </c>
      <c r="I1" s="72">
        <v>2020</v>
      </c>
      <c r="J1" s="72">
        <v>2021</v>
      </c>
      <c r="K1" s="72">
        <v>2022</v>
      </c>
      <c r="L1" s="72">
        <v>2023</v>
      </c>
    </row>
    <row r="2" spans="1:12" x14ac:dyDescent="0.3">
      <c r="A2" s="35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</row>
    <row r="3" spans="1:12" x14ac:dyDescent="0.3">
      <c r="A3" s="35" t="s">
        <v>213</v>
      </c>
      <c r="B3" s="1">
        <v>0</v>
      </c>
      <c r="C3" s="1">
        <v>0</v>
      </c>
      <c r="D3" s="1">
        <v>0</v>
      </c>
      <c r="E3" s="1">
        <v>1472912.62</v>
      </c>
      <c r="F3" s="1">
        <v>1098306.31</v>
      </c>
      <c r="G3" s="1">
        <v>2956543.03</v>
      </c>
      <c r="H3" s="1">
        <v>2231139.08</v>
      </c>
      <c r="I3" s="1">
        <v>7874924.1799999997</v>
      </c>
      <c r="J3" s="1">
        <v>9840216.6400000006</v>
      </c>
      <c r="K3" s="1">
        <v>11734283.310000001</v>
      </c>
      <c r="L3" s="1">
        <v>11600756.83</v>
      </c>
    </row>
    <row r="4" spans="1:12" x14ac:dyDescent="0.3">
      <c r="A4" s="35" t="s">
        <v>214</v>
      </c>
      <c r="B4" s="1">
        <v>1854803880.48</v>
      </c>
      <c r="C4" s="1">
        <v>1838628251.9400001</v>
      </c>
      <c r="D4" s="1">
        <v>1874133032.3499999</v>
      </c>
      <c r="E4" s="1">
        <v>1934428396.29</v>
      </c>
      <c r="F4" s="1">
        <v>1983345751.26</v>
      </c>
      <c r="G4" s="1">
        <v>2007776014.24</v>
      </c>
      <c r="H4" s="1">
        <v>2030906449.5999999</v>
      </c>
      <c r="I4" s="1">
        <v>2069663235.4300001</v>
      </c>
      <c r="J4" s="1">
        <v>2096257112.51</v>
      </c>
      <c r="K4" s="1">
        <v>2137390750.02</v>
      </c>
      <c r="L4" s="1">
        <v>2356652888.7800002</v>
      </c>
    </row>
    <row r="5" spans="1:12" x14ac:dyDescent="0.3">
      <c r="A5" s="35" t="s">
        <v>228</v>
      </c>
      <c r="B5" s="1">
        <v>339204569.06999999</v>
      </c>
      <c r="C5" s="1">
        <v>331711123.06999999</v>
      </c>
      <c r="D5" s="1">
        <v>314080132.22000003</v>
      </c>
      <c r="E5" s="1">
        <v>313272132.69999999</v>
      </c>
      <c r="F5" s="1">
        <v>362874920.01999998</v>
      </c>
      <c r="G5" s="1">
        <v>359800502.13</v>
      </c>
      <c r="H5" s="1">
        <v>349779941.60000002</v>
      </c>
      <c r="I5" s="1">
        <v>343771382.42000002</v>
      </c>
      <c r="J5" s="1">
        <v>334070276.06</v>
      </c>
      <c r="K5" s="1">
        <v>374038162.36000001</v>
      </c>
      <c r="L5" s="1">
        <v>612827343.92999995</v>
      </c>
    </row>
    <row r="6" spans="1:12" x14ac:dyDescent="0.3">
      <c r="A6" s="35" t="s">
        <v>229</v>
      </c>
      <c r="B6" s="1">
        <v>567915.34</v>
      </c>
      <c r="C6" s="1">
        <v>348136.91</v>
      </c>
      <c r="D6" s="1">
        <v>327306.88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500000</v>
      </c>
      <c r="L6" s="1">
        <v>1700000</v>
      </c>
    </row>
    <row r="7" spans="1:12" x14ac:dyDescent="0.3">
      <c r="A7" s="35" t="s">
        <v>230</v>
      </c>
      <c r="B7" s="1">
        <v>12070.9</v>
      </c>
      <c r="C7" s="1">
        <v>12070.9</v>
      </c>
      <c r="D7" s="1">
        <v>13107.94</v>
      </c>
      <c r="E7" s="1">
        <v>13107.94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</row>
    <row r="8" spans="1:12" x14ac:dyDescent="0.3">
      <c r="A8" s="35" t="s">
        <v>231</v>
      </c>
      <c r="B8" s="1">
        <v>0</v>
      </c>
      <c r="C8" s="1">
        <v>0</v>
      </c>
      <c r="D8" s="1">
        <v>192734.74</v>
      </c>
      <c r="E8" s="1">
        <v>142291.18</v>
      </c>
      <c r="F8" s="1">
        <v>84442.44</v>
      </c>
      <c r="G8" s="1">
        <v>91745.21</v>
      </c>
      <c r="H8" s="1">
        <v>100169.99</v>
      </c>
      <c r="I8" s="1">
        <v>165128.17000000001</v>
      </c>
      <c r="J8" s="1">
        <v>211710.98</v>
      </c>
      <c r="K8" s="1">
        <v>2043790.33</v>
      </c>
      <c r="L8" s="1">
        <v>2009021.13</v>
      </c>
    </row>
    <row r="9" spans="1:12" x14ac:dyDescent="0.3">
      <c r="A9" s="35" t="s">
        <v>215</v>
      </c>
      <c r="B9" s="1">
        <v>260579612.91999999</v>
      </c>
      <c r="C9" s="1">
        <v>239552239.96000001</v>
      </c>
      <c r="D9" s="1">
        <v>262277552.61000001</v>
      </c>
      <c r="E9" s="1">
        <v>158636817.13</v>
      </c>
      <c r="F9" s="1">
        <v>130669617.08</v>
      </c>
      <c r="G9" s="1">
        <v>148836767.25</v>
      </c>
      <c r="H9" s="1">
        <v>137642522.96000001</v>
      </c>
      <c r="I9" s="1">
        <v>152429758.28</v>
      </c>
      <c r="J9" s="1">
        <v>130122977.02</v>
      </c>
      <c r="K9" s="1">
        <v>124924087.90000001</v>
      </c>
      <c r="L9" s="1">
        <v>267113131.94</v>
      </c>
    </row>
    <row r="10" spans="1:12" x14ac:dyDescent="0.3">
      <c r="A10" s="35" t="s">
        <v>232</v>
      </c>
      <c r="B10" s="1">
        <v>0</v>
      </c>
      <c r="C10" s="1">
        <v>0</v>
      </c>
      <c r="D10" s="1">
        <v>2625</v>
      </c>
      <c r="E10" s="1">
        <v>561700</v>
      </c>
      <c r="F10" s="1">
        <v>10306866.9</v>
      </c>
      <c r="G10" s="1">
        <v>10306866.9</v>
      </c>
      <c r="H10" s="1">
        <v>10306866.9</v>
      </c>
      <c r="I10" s="1">
        <v>10306956.140000001</v>
      </c>
      <c r="J10" s="1">
        <v>5482222.9000000004</v>
      </c>
      <c r="K10" s="1">
        <v>0</v>
      </c>
      <c r="L10" s="1">
        <v>0</v>
      </c>
    </row>
    <row r="11" spans="1:12" x14ac:dyDescent="0.3">
      <c r="A11" s="35" t="s">
        <v>216</v>
      </c>
      <c r="B11" s="1">
        <v>154953450.47</v>
      </c>
      <c r="C11" s="1">
        <v>171669169.08000001</v>
      </c>
      <c r="D11" s="1">
        <v>187770815.18000001</v>
      </c>
      <c r="E11" s="1">
        <v>180355520.19999999</v>
      </c>
      <c r="F11" s="1">
        <v>219841320.28999999</v>
      </c>
      <c r="G11" s="1">
        <v>264967668.58000001</v>
      </c>
      <c r="H11" s="1">
        <v>362098127.07999998</v>
      </c>
      <c r="I11" s="1">
        <v>429478294.75999999</v>
      </c>
      <c r="J11" s="1">
        <v>482760875.51999998</v>
      </c>
      <c r="K11" s="1">
        <v>508432100.56999999</v>
      </c>
      <c r="L11" s="1">
        <v>338651981.37</v>
      </c>
    </row>
    <row r="12" spans="1:12" x14ac:dyDescent="0.3">
      <c r="A12" s="35" t="s">
        <v>217</v>
      </c>
      <c r="B12" s="1">
        <v>0</v>
      </c>
      <c r="C12" s="1">
        <v>0</v>
      </c>
      <c r="D12" s="1">
        <v>2200000</v>
      </c>
      <c r="E12" s="1">
        <v>3700000</v>
      </c>
      <c r="F12" s="1">
        <v>4400000</v>
      </c>
      <c r="G12" s="1">
        <v>2500000</v>
      </c>
      <c r="H12" s="1">
        <v>2500000</v>
      </c>
      <c r="I12" s="1">
        <v>2500000</v>
      </c>
      <c r="J12" s="1">
        <v>2500000</v>
      </c>
      <c r="K12" s="1">
        <v>2500000</v>
      </c>
      <c r="L12" s="1">
        <v>2500000</v>
      </c>
    </row>
    <row r="13" spans="1:12" x14ac:dyDescent="0.3">
      <c r="A13" s="10" t="s">
        <v>218</v>
      </c>
      <c r="B13" s="11">
        <f t="shared" ref="B13:G13" si="0">SUM(B2:B12)</f>
        <v>2610121499.1800003</v>
      </c>
      <c r="C13" s="11">
        <f t="shared" si="0"/>
        <v>2581920991.8600001</v>
      </c>
      <c r="D13" s="11">
        <f t="shared" si="0"/>
        <v>2640997306.9199996</v>
      </c>
      <c r="E13" s="11">
        <f t="shared" si="0"/>
        <v>2592582878.0599995</v>
      </c>
      <c r="F13" s="11">
        <f t="shared" si="0"/>
        <v>2712621224.3000002</v>
      </c>
      <c r="G13" s="11">
        <f t="shared" si="0"/>
        <v>2797236107.3400002</v>
      </c>
      <c r="H13" s="11">
        <f t="shared" ref="H13:L13" si="1">SUM(H2:H12)</f>
        <v>2895565217.2099996</v>
      </c>
      <c r="I13" s="11">
        <f t="shared" ref="I13:K13" si="2">SUM(I2:I12)</f>
        <v>3016189679.3800001</v>
      </c>
      <c r="J13" s="11">
        <f t="shared" si="2"/>
        <v>3061245391.6300001</v>
      </c>
      <c r="K13" s="11">
        <f t="shared" si="2"/>
        <v>3161563174.4900002</v>
      </c>
      <c r="L13" s="11">
        <f t="shared" si="1"/>
        <v>3593055123.98</v>
      </c>
    </row>
    <row r="14" spans="1:12" x14ac:dyDescent="0.3">
      <c r="A14" s="35" t="s">
        <v>219</v>
      </c>
      <c r="B14" s="1">
        <v>2113404312.97</v>
      </c>
      <c r="C14" s="1">
        <v>2219719021.27</v>
      </c>
      <c r="D14" s="1">
        <v>2113404312.97</v>
      </c>
      <c r="E14" s="1">
        <v>2113404312.97</v>
      </c>
      <c r="F14" s="1">
        <v>764585997.70000005</v>
      </c>
      <c r="G14" s="1">
        <v>764585997.70000005</v>
      </c>
      <c r="H14" s="1">
        <v>764585997.70000005</v>
      </c>
      <c r="I14" s="1">
        <v>764585997.70000005</v>
      </c>
      <c r="J14" s="1">
        <v>764585997.70000005</v>
      </c>
      <c r="K14" s="1">
        <v>767305076.09000003</v>
      </c>
      <c r="L14" s="1">
        <v>767305076.09000003</v>
      </c>
    </row>
    <row r="15" spans="1:12" x14ac:dyDescent="0.3">
      <c r="A15" s="35" t="s">
        <v>220</v>
      </c>
      <c r="B15" s="1">
        <v>81530636.530000001</v>
      </c>
      <c r="C15" s="1">
        <v>1816349.86</v>
      </c>
      <c r="D15" s="1">
        <v>111049932.40000001</v>
      </c>
      <c r="E15" s="1">
        <v>154213622.71000001</v>
      </c>
      <c r="F15" s="1">
        <v>1601409767.5799999</v>
      </c>
      <c r="G15" s="1">
        <v>1659684120.1199999</v>
      </c>
      <c r="H15" s="1">
        <v>1728347403.21</v>
      </c>
      <c r="I15" s="1">
        <v>1828953185.3199999</v>
      </c>
      <c r="J15" s="1">
        <v>1639679780.6099999</v>
      </c>
      <c r="K15" s="1">
        <v>1648448630.8800001</v>
      </c>
      <c r="L15" s="1">
        <v>1890337491.3299999</v>
      </c>
    </row>
    <row r="16" spans="1:12" x14ac:dyDescent="0.3">
      <c r="A16" s="35" t="s">
        <v>235</v>
      </c>
      <c r="B16" s="1">
        <v>1901395.66</v>
      </c>
      <c r="C16" s="1">
        <v>1816349.86</v>
      </c>
      <c r="D16" s="1">
        <v>10962111.34</v>
      </c>
      <c r="E16" s="1">
        <v>20525855.260000002</v>
      </c>
      <c r="F16" s="1">
        <v>33063738.32</v>
      </c>
      <c r="G16" s="1">
        <v>44852280.93</v>
      </c>
      <c r="H16" s="1">
        <v>61339410.93</v>
      </c>
      <c r="I16" s="1">
        <v>73222513.980000004</v>
      </c>
      <c r="J16" s="1">
        <v>59548707.670000002</v>
      </c>
      <c r="K16" s="1">
        <v>68268894.540000007</v>
      </c>
      <c r="L16" s="1">
        <v>48486186.350000001</v>
      </c>
    </row>
    <row r="17" spans="1:14" x14ac:dyDescent="0.3">
      <c r="A17" s="35" t="s">
        <v>221</v>
      </c>
      <c r="B17" s="1">
        <v>24784071.77</v>
      </c>
      <c r="C17" s="1">
        <v>2636248.86</v>
      </c>
      <c r="D17" s="1">
        <v>33846245.909999996</v>
      </c>
      <c r="E17" s="1">
        <v>30930292.32</v>
      </c>
      <c r="F17" s="1">
        <v>46553658.969999999</v>
      </c>
      <c r="G17" s="1">
        <v>53196713.619999997</v>
      </c>
      <c r="H17" s="1">
        <v>86922679.060000002</v>
      </c>
      <c r="I17" s="1">
        <v>79487531.890000001</v>
      </c>
      <c r="J17" s="1">
        <v>14000332.619999999</v>
      </c>
      <c r="K17" s="1">
        <v>25411835.399999999</v>
      </c>
      <c r="L17" s="1">
        <v>44986440.200000003</v>
      </c>
    </row>
    <row r="18" spans="1:14" x14ac:dyDescent="0.3">
      <c r="A18" s="35" t="s">
        <v>364</v>
      </c>
      <c r="B18" s="1"/>
      <c r="C18" s="1"/>
      <c r="D18" s="1"/>
      <c r="E18" s="1"/>
      <c r="F18" s="1"/>
      <c r="G18" s="1"/>
      <c r="H18" s="1"/>
      <c r="I18" s="1">
        <v>0</v>
      </c>
      <c r="J18" s="1">
        <v>274291851.37</v>
      </c>
      <c r="K18" s="1">
        <v>288570821.33999997</v>
      </c>
      <c r="L18" s="1">
        <v>313982656.74000001</v>
      </c>
    </row>
    <row r="19" spans="1:14" x14ac:dyDescent="0.3">
      <c r="A19" s="35" t="s">
        <v>365</v>
      </c>
      <c r="B19" s="1"/>
      <c r="C19" s="1"/>
      <c r="D19" s="1"/>
      <c r="E19" s="1"/>
      <c r="F19" s="1"/>
      <c r="G19" s="1"/>
      <c r="H19" s="1"/>
      <c r="I19" s="1">
        <v>0</v>
      </c>
      <c r="J19" s="1">
        <v>0</v>
      </c>
      <c r="K19" s="1">
        <v>0</v>
      </c>
      <c r="L19" s="1">
        <v>0</v>
      </c>
    </row>
    <row r="20" spans="1:14" x14ac:dyDescent="0.3">
      <c r="A20" s="35" t="s">
        <v>222</v>
      </c>
      <c r="B20" s="1">
        <v>81831163.670000002</v>
      </c>
      <c r="C20" s="1">
        <v>93527493.25</v>
      </c>
      <c r="D20" s="1">
        <v>126742551.25</v>
      </c>
      <c r="E20" s="1">
        <v>10232343.15</v>
      </c>
      <c r="F20" s="1">
        <v>27495361.120000001</v>
      </c>
      <c r="G20" s="1">
        <v>23501604.420000002</v>
      </c>
      <c r="H20" s="1">
        <v>24080801.84</v>
      </c>
      <c r="I20" s="1">
        <v>25033906.98</v>
      </c>
      <c r="J20" s="1">
        <v>26973873.109999999</v>
      </c>
      <c r="K20" s="1">
        <v>22813638.620000001</v>
      </c>
      <c r="L20" s="1">
        <v>32686711.149999999</v>
      </c>
    </row>
    <row r="21" spans="1:14" x14ac:dyDescent="0.3">
      <c r="A21" s="35" t="s">
        <v>209</v>
      </c>
      <c r="B21" s="1">
        <v>185987107.15000001</v>
      </c>
      <c r="C21" s="1">
        <v>173564683.63</v>
      </c>
      <c r="D21" s="1">
        <v>156267069.81</v>
      </c>
      <c r="E21" s="1">
        <v>144838838.15000001</v>
      </c>
      <c r="F21" s="1">
        <v>128525481.97</v>
      </c>
      <c r="G21" s="1">
        <v>98121071.319999993</v>
      </c>
      <c r="H21" s="1">
        <v>75385074.980000004</v>
      </c>
      <c r="I21" s="1">
        <v>82205131.5</v>
      </c>
      <c r="J21" s="1">
        <v>95762772.989999995</v>
      </c>
      <c r="K21" s="1">
        <v>82741717.769999996</v>
      </c>
      <c r="L21" s="1">
        <v>87659841.430000007</v>
      </c>
    </row>
    <row r="22" spans="1:14" x14ac:dyDescent="0.3">
      <c r="A22" s="35" t="s">
        <v>223</v>
      </c>
      <c r="B22" s="1">
        <v>94050947.219999999</v>
      </c>
      <c r="C22" s="1">
        <v>72399850.920000002</v>
      </c>
      <c r="D22" s="1">
        <v>79262168.75</v>
      </c>
      <c r="E22" s="1">
        <v>87419279.859999999</v>
      </c>
      <c r="F22" s="1">
        <v>93654497.290000007</v>
      </c>
      <c r="G22" s="1">
        <v>112069018.14</v>
      </c>
      <c r="H22" s="1">
        <v>108361748.65000001</v>
      </c>
      <c r="I22" s="1">
        <v>111111918.02</v>
      </c>
      <c r="J22" s="1">
        <v>109579444.14</v>
      </c>
      <c r="K22" s="1">
        <v>123148567.87</v>
      </c>
      <c r="L22" s="1">
        <v>125895938.37</v>
      </c>
    </row>
    <row r="23" spans="1:14" x14ac:dyDescent="0.3">
      <c r="A23" s="35" t="s">
        <v>224</v>
      </c>
      <c r="B23" s="1">
        <v>10330581.74</v>
      </c>
      <c r="C23" s="1">
        <v>4918663.04</v>
      </c>
      <c r="D23" s="1">
        <v>5988446.7599999998</v>
      </c>
      <c r="E23" s="1">
        <v>9561196.0700000003</v>
      </c>
      <c r="F23" s="1">
        <v>9067343.4900000002</v>
      </c>
      <c r="G23" s="1">
        <v>14471699.84</v>
      </c>
      <c r="H23" s="1">
        <v>20737923.739999998</v>
      </c>
      <c r="I23" s="1">
        <v>25116142.039999999</v>
      </c>
      <c r="J23" s="1">
        <v>19217617.100000001</v>
      </c>
      <c r="K23" s="1">
        <v>26051309.420000002</v>
      </c>
      <c r="L23" s="1">
        <v>17308636.059999999</v>
      </c>
    </row>
    <row r="24" spans="1:14" x14ac:dyDescent="0.3">
      <c r="A24" s="35" t="s">
        <v>225</v>
      </c>
      <c r="B24" s="1">
        <v>10962755.68</v>
      </c>
      <c r="C24" s="1">
        <v>10754660.98</v>
      </c>
      <c r="D24" s="1">
        <v>14436579.07</v>
      </c>
      <c r="E24" s="1">
        <v>37782813.57</v>
      </c>
      <c r="F24" s="1">
        <v>29650936.899999999</v>
      </c>
      <c r="G24" s="1">
        <v>42632988.75</v>
      </c>
      <c r="H24" s="1">
        <v>33703582.539999999</v>
      </c>
      <c r="I24" s="1">
        <v>34221008.460000001</v>
      </c>
      <c r="J24" s="1">
        <v>39363459.75</v>
      </c>
      <c r="K24" s="1">
        <v>48640964.159999996</v>
      </c>
      <c r="L24" s="1">
        <v>35251844.159999996</v>
      </c>
      <c r="M24" s="1"/>
      <c r="N24" s="1"/>
    </row>
    <row r="25" spans="1:14" x14ac:dyDescent="0.3">
      <c r="A25" s="35" t="s">
        <v>226</v>
      </c>
      <c r="B25" s="1">
        <v>7239922.4500000002</v>
      </c>
      <c r="C25" s="1">
        <v>2584020.0499999998</v>
      </c>
      <c r="D25" s="1">
        <v>0</v>
      </c>
      <c r="E25" s="1">
        <v>4200179.26</v>
      </c>
      <c r="F25" s="1">
        <v>11678179.279999999</v>
      </c>
      <c r="G25" s="1">
        <v>28972893.43</v>
      </c>
      <c r="H25" s="1">
        <v>53440005.490000002</v>
      </c>
      <c r="I25" s="1">
        <v>65474857.469999999</v>
      </c>
      <c r="J25" s="1">
        <v>77790262.239999995</v>
      </c>
      <c r="K25" s="1">
        <v>128430612.94</v>
      </c>
      <c r="L25" s="1">
        <v>277640488.45999998</v>
      </c>
    </row>
    <row r="26" spans="1:14" x14ac:dyDescent="0.3">
      <c r="A26" s="75" t="s">
        <v>227</v>
      </c>
      <c r="B26" s="3">
        <f>SUM(B14:B25)-B16</f>
        <v>2610121499.1799994</v>
      </c>
      <c r="C26" s="3">
        <f>SUM(C14:C25)-C16</f>
        <v>2581920991.8600006</v>
      </c>
      <c r="D26" s="3">
        <f>SUM(D14:D25)-D16</f>
        <v>2640997306.9200001</v>
      </c>
      <c r="E26" s="3">
        <f>SUM(E14:E25)-E16</f>
        <v>2592582878.0600009</v>
      </c>
      <c r="F26" s="3">
        <f t="shared" ref="F26:G26" si="3">SUM(F14:F25)-F16</f>
        <v>2712621224.2999992</v>
      </c>
      <c r="G26" s="3">
        <f t="shared" si="3"/>
        <v>2797236107.3399997</v>
      </c>
      <c r="H26" s="3">
        <f t="shared" ref="H26:L26" si="4">SUM(H14:H25)-H16</f>
        <v>2895565217.2099996</v>
      </c>
      <c r="I26" s="3">
        <f t="shared" ref="I26" si="5">SUM(I14:I25)-I16</f>
        <v>3016189679.3799996</v>
      </c>
      <c r="J26" s="3">
        <f t="shared" ref="J26" si="6">SUM(J14:J25)-J16</f>
        <v>3061245391.6299992</v>
      </c>
      <c r="K26" s="3">
        <f t="shared" ref="K26" si="7">SUM(K14:K25)-K16</f>
        <v>3161563174.4900002</v>
      </c>
      <c r="L26" s="3">
        <f t="shared" si="4"/>
        <v>3593055123.9899998</v>
      </c>
    </row>
    <row r="27" spans="1:14" x14ac:dyDescent="0.3">
      <c r="A27" s="10" t="s">
        <v>267</v>
      </c>
      <c r="B27" s="11">
        <f t="shared" ref="B27:G27" si="8">B14+B15+B17+B18+B19</f>
        <v>2219719021.27</v>
      </c>
      <c r="C27" s="11">
        <f t="shared" si="8"/>
        <v>2224171619.9900002</v>
      </c>
      <c r="D27" s="11">
        <f t="shared" si="8"/>
        <v>2258300491.2799997</v>
      </c>
      <c r="E27" s="11">
        <f t="shared" si="8"/>
        <v>2298548228</v>
      </c>
      <c r="F27" s="11">
        <f t="shared" si="8"/>
        <v>2412549424.2499995</v>
      </c>
      <c r="G27" s="11">
        <f t="shared" si="8"/>
        <v>2477466831.4399996</v>
      </c>
      <c r="H27" s="11">
        <f t="shared" ref="H27:I27" si="9">H14+H15+H17+H18+H19</f>
        <v>2579856079.9699998</v>
      </c>
      <c r="I27" s="11">
        <f t="shared" si="9"/>
        <v>2673026714.9099998</v>
      </c>
      <c r="J27" s="11">
        <f>J14+J15+J17+J18+J19</f>
        <v>2692557962.2999997</v>
      </c>
      <c r="K27" s="11">
        <f>K14+K15+K17+K18+K19</f>
        <v>2729736363.7100005</v>
      </c>
      <c r="L27" s="11">
        <f>L14+L15+L17+L18+L19</f>
        <v>3016611664.3599997</v>
      </c>
      <c r="M27" s="103"/>
    </row>
    <row r="28" spans="1:14" x14ac:dyDescent="0.3">
      <c r="B28" s="6">
        <f t="shared" ref="B28:G28" si="10">B27/B26*100</f>
        <v>85.042746936008569</v>
      </c>
      <c r="C28" s="6">
        <f t="shared" si="10"/>
        <v>86.144061998880929</v>
      </c>
      <c r="D28" s="6">
        <f t="shared" si="10"/>
        <v>85.509382586750476</v>
      </c>
      <c r="E28" s="6">
        <f t="shared" si="10"/>
        <v>88.658621001152966</v>
      </c>
      <c r="F28" s="6">
        <f t="shared" si="10"/>
        <v>88.937939533838374</v>
      </c>
      <c r="G28" s="6">
        <f t="shared" si="10"/>
        <v>88.568384518528148</v>
      </c>
      <c r="H28" s="6">
        <f t="shared" ref="H28" si="11">H27/H26*100</f>
        <v>89.096804473145355</v>
      </c>
      <c r="I28" s="6">
        <f>I27/I26*100</f>
        <v>88.622633158119569</v>
      </c>
      <c r="J28" s="6">
        <f>J27/J26*100</f>
        <v>87.956292875505568</v>
      </c>
      <c r="K28" s="6">
        <f>K27/K26*100</f>
        <v>86.341351194108</v>
      </c>
      <c r="L28" s="6">
        <f>L27/L26*100</f>
        <v>83.956732091828485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83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48" t="s">
        <v>210</v>
      </c>
      <c r="B1" s="148"/>
      <c r="C1" s="2" t="s">
        <v>211</v>
      </c>
      <c r="D1" s="2">
        <v>2016</v>
      </c>
      <c r="E1" s="2">
        <v>2017</v>
      </c>
      <c r="F1" s="2">
        <v>2018</v>
      </c>
      <c r="G1" s="110">
        <v>2019</v>
      </c>
      <c r="H1" s="120">
        <v>2020</v>
      </c>
      <c r="I1" s="123">
        <v>2021</v>
      </c>
      <c r="J1" s="141">
        <v>2022</v>
      </c>
      <c r="K1" s="106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37.311</v>
      </c>
      <c r="E3" s="7">
        <v>34.506</v>
      </c>
      <c r="F3" s="7">
        <v>33.801000000000002</v>
      </c>
      <c r="G3" s="7">
        <v>31.3</v>
      </c>
      <c r="H3" s="7">
        <v>27.847999999999999</v>
      </c>
      <c r="I3" s="7">
        <v>27.89</v>
      </c>
      <c r="J3" s="7">
        <v>30.007999999999999</v>
      </c>
      <c r="K3" s="7">
        <v>26.9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102.91200000000001</v>
      </c>
      <c r="E5" s="7">
        <v>107.797</v>
      </c>
      <c r="F5" s="7">
        <v>105.80200000000001</v>
      </c>
      <c r="G5" s="7">
        <v>105.465</v>
      </c>
      <c r="H5" s="7">
        <v>104.71899999999999</v>
      </c>
      <c r="I5" s="7">
        <v>106.053</v>
      </c>
      <c r="J5" s="7">
        <v>99.596000000000004</v>
      </c>
      <c r="K5" s="7">
        <v>107.4</v>
      </c>
    </row>
    <row r="6" spans="1:11" x14ac:dyDescent="0.3">
      <c r="A6" t="s">
        <v>83</v>
      </c>
      <c r="B6" t="s">
        <v>84</v>
      </c>
      <c r="D6" s="7">
        <v>98.061000000000007</v>
      </c>
      <c r="E6" s="7">
        <v>99.644999999999996</v>
      </c>
      <c r="F6" s="7">
        <v>100.47199999999999</v>
      </c>
      <c r="G6" s="7">
        <v>99.930999999999997</v>
      </c>
      <c r="H6" s="7">
        <v>102.742</v>
      </c>
      <c r="I6" s="7">
        <v>97.36</v>
      </c>
      <c r="J6" s="7">
        <v>93.454999999999998</v>
      </c>
      <c r="K6" s="7">
        <v>93.4</v>
      </c>
    </row>
    <row r="7" spans="1:11" x14ac:dyDescent="0.3">
      <c r="A7" t="s">
        <v>85</v>
      </c>
      <c r="B7" t="s">
        <v>86</v>
      </c>
      <c r="D7" s="7">
        <v>84.873000000000005</v>
      </c>
      <c r="E7" s="7">
        <v>89.963999999999999</v>
      </c>
      <c r="F7" s="7">
        <v>87.006</v>
      </c>
      <c r="G7" s="7">
        <v>86.192999999999998</v>
      </c>
      <c r="H7" s="7">
        <v>72.498000000000005</v>
      </c>
      <c r="I7" s="7">
        <v>76.991</v>
      </c>
      <c r="J7" s="7">
        <v>74.459999999999994</v>
      </c>
      <c r="K7" s="7">
        <v>75.5</v>
      </c>
    </row>
    <row r="8" spans="1:11" x14ac:dyDescent="0.3">
      <c r="A8" t="s">
        <v>87</v>
      </c>
      <c r="B8" t="s">
        <v>88</v>
      </c>
      <c r="D8" s="7">
        <v>80.872</v>
      </c>
      <c r="E8" s="7">
        <v>83.161000000000001</v>
      </c>
      <c r="F8" s="7">
        <v>82.623000000000005</v>
      </c>
      <c r="G8" s="7">
        <v>81.668999999999997</v>
      </c>
      <c r="H8" s="7">
        <v>71.129000000000005</v>
      </c>
      <c r="I8" s="7">
        <v>70.680000000000007</v>
      </c>
      <c r="J8" s="7">
        <v>69.867999999999995</v>
      </c>
      <c r="K8" s="7">
        <v>65.7</v>
      </c>
    </row>
    <row r="9" spans="1:11" x14ac:dyDescent="0.3">
      <c r="A9" t="s">
        <v>89</v>
      </c>
      <c r="B9" t="s">
        <v>90</v>
      </c>
      <c r="D9" s="7">
        <v>91.313000000000002</v>
      </c>
      <c r="E9" s="7">
        <v>79.611000000000004</v>
      </c>
      <c r="F9" s="7">
        <v>77.257999999999996</v>
      </c>
      <c r="G9" s="7">
        <v>85.769000000000005</v>
      </c>
      <c r="H9" s="7">
        <v>83.287999999999997</v>
      </c>
      <c r="I9" s="7">
        <v>88.263999999999996</v>
      </c>
      <c r="J9" s="7">
        <v>73.977000000000004</v>
      </c>
      <c r="K9" s="7">
        <v>82</v>
      </c>
    </row>
    <row r="10" spans="1:11" x14ac:dyDescent="0.3">
      <c r="A10" t="s">
        <v>91</v>
      </c>
      <c r="B10" t="s">
        <v>92</v>
      </c>
      <c r="D10" s="7">
        <v>73.936000000000007</v>
      </c>
      <c r="E10" s="7">
        <v>70.631</v>
      </c>
      <c r="F10" s="7">
        <v>80.41</v>
      </c>
      <c r="G10" s="7">
        <v>86.858000000000004</v>
      </c>
      <c r="H10" s="7">
        <v>88.311000000000007</v>
      </c>
      <c r="I10" s="7">
        <v>81.486999999999995</v>
      </c>
      <c r="J10" s="7">
        <v>73.111000000000004</v>
      </c>
      <c r="K10" s="7">
        <v>76.2</v>
      </c>
    </row>
    <row r="11" spans="1:11" x14ac:dyDescent="0.3">
      <c r="A11" t="s">
        <v>93</v>
      </c>
      <c r="B11" t="s">
        <v>94</v>
      </c>
      <c r="D11" s="7">
        <v>76.644000000000005</v>
      </c>
      <c r="E11" s="7">
        <v>64.649000000000001</v>
      </c>
      <c r="F11" s="7">
        <v>63.576000000000001</v>
      </c>
      <c r="G11" s="7">
        <v>69.552000000000007</v>
      </c>
      <c r="H11" s="7">
        <v>58.738</v>
      </c>
      <c r="I11" s="7">
        <v>63.384999999999998</v>
      </c>
      <c r="J11" s="7">
        <v>56.274999999999999</v>
      </c>
      <c r="K11" s="7">
        <v>61.9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62.058999999999997</v>
      </c>
      <c r="E12" s="7">
        <v>57.356000000000002</v>
      </c>
      <c r="F12" s="7">
        <v>66.171000000000006</v>
      </c>
      <c r="G12" s="7">
        <v>70.433999999999997</v>
      </c>
      <c r="H12" s="7">
        <v>62.28</v>
      </c>
      <c r="I12" s="7">
        <v>58.518999999999998</v>
      </c>
      <c r="J12" s="7">
        <v>55.616999999999997</v>
      </c>
      <c r="K12" s="7">
        <v>57.5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36.353000000000002</v>
      </c>
      <c r="E17" s="7">
        <v>34.597999999999999</v>
      </c>
      <c r="F17" s="7">
        <v>34.091999999999999</v>
      </c>
      <c r="G17" s="7">
        <v>33.442</v>
      </c>
      <c r="H17" s="7">
        <v>32.259</v>
      </c>
      <c r="I17" s="7">
        <v>30.509</v>
      </c>
      <c r="J17" s="7">
        <v>30.161999999999999</v>
      </c>
      <c r="K17" s="7">
        <v>29.9</v>
      </c>
    </row>
    <row r="18" spans="1:11" x14ac:dyDescent="0.3">
      <c r="A18" t="s">
        <v>105</v>
      </c>
      <c r="B18" t="s">
        <v>106</v>
      </c>
      <c r="D18" s="7">
        <v>10.08</v>
      </c>
      <c r="E18" s="7">
        <v>9.76</v>
      </c>
      <c r="F18" s="7">
        <v>9.1630000000000003</v>
      </c>
      <c r="G18" s="7">
        <v>10.48</v>
      </c>
      <c r="H18" s="7">
        <v>13.114000000000001</v>
      </c>
      <c r="I18" s="7">
        <v>11.305999999999999</v>
      </c>
      <c r="J18" s="7">
        <v>11.824999999999999</v>
      </c>
      <c r="K18" s="7">
        <v>10.6</v>
      </c>
    </row>
    <row r="19" spans="1:11" x14ac:dyDescent="0.3">
      <c r="A19" t="s">
        <v>107</v>
      </c>
      <c r="B19" t="s">
        <v>108</v>
      </c>
      <c r="D19" s="7">
        <v>0.29699999999999999</v>
      </c>
      <c r="E19" s="7">
        <v>0.23</v>
      </c>
      <c r="F19" s="7">
        <v>0.26400000000000001</v>
      </c>
      <c r="G19" s="7">
        <v>0.33400000000000002</v>
      </c>
      <c r="H19" s="7">
        <v>0.32900000000000001</v>
      </c>
      <c r="I19" s="7">
        <v>0.44400000000000001</v>
      </c>
      <c r="J19" s="7">
        <v>0.746</v>
      </c>
      <c r="K19" s="7">
        <v>0.7</v>
      </c>
    </row>
    <row r="20" spans="1:11" x14ac:dyDescent="0.3">
      <c r="A20" t="s">
        <v>109</v>
      </c>
      <c r="B20" t="s">
        <v>110</v>
      </c>
      <c r="D20" s="7">
        <v>444.74700000000001</v>
      </c>
      <c r="E20" s="7">
        <v>433.01100000000002</v>
      </c>
      <c r="F20" s="7">
        <v>446.26499999999999</v>
      </c>
      <c r="G20" s="7">
        <v>443.35500000000002</v>
      </c>
      <c r="H20" s="7">
        <v>441.51</v>
      </c>
      <c r="I20" s="7">
        <v>444.39</v>
      </c>
      <c r="J20" s="7">
        <v>475.13</v>
      </c>
      <c r="K20" s="7">
        <v>476.14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34.414999999999999</v>
      </c>
      <c r="E22" s="7">
        <v>35.270000000000003</v>
      </c>
      <c r="F22" s="7">
        <v>35.712000000000003</v>
      </c>
      <c r="G22" s="7">
        <v>36.813000000000002</v>
      </c>
      <c r="H22" s="7">
        <v>35.158000000000001</v>
      </c>
      <c r="I22" s="7">
        <v>35.158000000000001</v>
      </c>
      <c r="J22" s="7">
        <v>38.158999999999999</v>
      </c>
      <c r="K22" s="7">
        <v>39.799999999999997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0.9</v>
      </c>
      <c r="E24" s="7">
        <v>0.73399999999999999</v>
      </c>
      <c r="F24" s="7">
        <v>0.65300000000000002</v>
      </c>
      <c r="G24" s="7">
        <v>0.48699999999999999</v>
      </c>
      <c r="H24" s="7">
        <v>0.27</v>
      </c>
      <c r="I24" s="7">
        <v>0.27</v>
      </c>
      <c r="J24" s="7">
        <v>0.249</v>
      </c>
      <c r="K24" s="7">
        <v>0.2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10.99</v>
      </c>
      <c r="E28" s="7">
        <v>11.898999999999999</v>
      </c>
      <c r="F28" s="7">
        <v>8.7949999999999999</v>
      </c>
      <c r="G28" s="7">
        <v>9.7200000000000006</v>
      </c>
      <c r="H28" s="7">
        <v>12.428000000000001</v>
      </c>
      <c r="I28" s="7">
        <v>11.932</v>
      </c>
      <c r="J28" s="7">
        <v>15.981999999999999</v>
      </c>
      <c r="K28" s="7">
        <v>30.8</v>
      </c>
    </row>
    <row r="29" spans="1:11" x14ac:dyDescent="0.3">
      <c r="A29" t="s">
        <v>124</v>
      </c>
      <c r="B29" t="s">
        <v>125</v>
      </c>
      <c r="D29" s="7">
        <v>140.846</v>
      </c>
      <c r="E29" s="7">
        <v>133.685</v>
      </c>
      <c r="F29" s="7">
        <v>123.33499999999999</v>
      </c>
      <c r="G29" s="7">
        <v>133.77000000000001</v>
      </c>
      <c r="H29" s="7">
        <v>188.304</v>
      </c>
      <c r="I29" s="7">
        <v>195.96899999999999</v>
      </c>
      <c r="J29" s="7">
        <v>250.952</v>
      </c>
      <c r="K29" s="7">
        <v>661.87</v>
      </c>
    </row>
    <row r="30" spans="1:11" x14ac:dyDescent="0.3">
      <c r="A30" t="s">
        <v>126</v>
      </c>
      <c r="B30" t="s">
        <v>127</v>
      </c>
      <c r="D30" s="7">
        <v>10.896000000000001</v>
      </c>
      <c r="E30" s="7">
        <v>35.075000000000003</v>
      </c>
      <c r="F30" s="7">
        <v>2.839</v>
      </c>
      <c r="G30" s="7">
        <v>8.6470000000000002</v>
      </c>
      <c r="H30" s="7">
        <v>3.1040000000000001</v>
      </c>
      <c r="I30" s="7">
        <v>1.2230000000000001</v>
      </c>
      <c r="J30" s="7">
        <v>46.406999999999996</v>
      </c>
      <c r="K30" s="7">
        <v>44.04</v>
      </c>
    </row>
    <row r="31" spans="1:11" x14ac:dyDescent="0.3">
      <c r="A31" t="s">
        <v>128</v>
      </c>
      <c r="B31" t="s">
        <v>129</v>
      </c>
      <c r="D31" s="7">
        <v>151.74199999999999</v>
      </c>
      <c r="E31" s="7">
        <v>168.761</v>
      </c>
      <c r="F31" s="7">
        <v>126.17399999999999</v>
      </c>
      <c r="G31" s="7">
        <v>142.417</v>
      </c>
      <c r="H31" s="7">
        <v>191.40799999999999</v>
      </c>
      <c r="I31" s="7">
        <v>197.19200000000001</v>
      </c>
      <c r="J31" s="7">
        <v>297.35899999999998</v>
      </c>
      <c r="K31" s="7">
        <v>705.91</v>
      </c>
    </row>
    <row r="32" spans="1:11" x14ac:dyDescent="0.3">
      <c r="A32" t="s">
        <v>130</v>
      </c>
      <c r="B32" t="s">
        <v>131</v>
      </c>
      <c r="D32" s="7">
        <v>42.911999999999999</v>
      </c>
      <c r="E32" s="7">
        <v>53.494</v>
      </c>
      <c r="F32" s="7">
        <v>70.355999999999995</v>
      </c>
      <c r="G32" s="7">
        <v>59.238999999999997</v>
      </c>
      <c r="H32" s="7">
        <v>36.902999999999999</v>
      </c>
      <c r="I32" s="7">
        <v>22.41</v>
      </c>
      <c r="J32" s="7">
        <v>15.864000000000001</v>
      </c>
      <c r="K32" s="7">
        <v>24</v>
      </c>
    </row>
    <row r="33" spans="1:11" x14ac:dyDescent="0.3">
      <c r="A33" t="s">
        <v>132</v>
      </c>
      <c r="B33" t="s">
        <v>133</v>
      </c>
      <c r="D33" s="7">
        <v>0.71699999999999997</v>
      </c>
      <c r="E33" s="7">
        <v>0</v>
      </c>
      <c r="F33" s="7">
        <v>5.0060000000000002</v>
      </c>
      <c r="G33" s="7">
        <v>16.241</v>
      </c>
      <c r="H33" s="7">
        <v>8.4990000000000006</v>
      </c>
      <c r="I33" s="7">
        <v>0</v>
      </c>
      <c r="J33" s="7">
        <v>0</v>
      </c>
      <c r="K33" s="7">
        <v>0</v>
      </c>
    </row>
    <row r="34" spans="1:11" x14ac:dyDescent="0.3">
      <c r="A34" t="s">
        <v>134</v>
      </c>
      <c r="B34" t="s">
        <v>135</v>
      </c>
      <c r="D34" s="7">
        <v>8.9359999999999999</v>
      </c>
      <c r="E34" s="7">
        <v>5.6870000000000003</v>
      </c>
      <c r="F34" s="7">
        <v>0</v>
      </c>
      <c r="G34" s="7">
        <v>0</v>
      </c>
      <c r="H34" s="7">
        <v>3.052</v>
      </c>
      <c r="I34" s="7">
        <v>4.968</v>
      </c>
      <c r="J34" s="7">
        <v>0</v>
      </c>
      <c r="K34" s="7">
        <v>3.4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94.078000000000003</v>
      </c>
      <c r="E36" s="7">
        <v>93.605000000000004</v>
      </c>
      <c r="F36" s="7">
        <v>92.203999999999994</v>
      </c>
      <c r="G36" s="7">
        <v>99.802999999999997</v>
      </c>
      <c r="H36" s="7">
        <v>92.405000000000001</v>
      </c>
      <c r="I36" s="7">
        <v>90.754999999999995</v>
      </c>
      <c r="J36" s="7">
        <v>90.495999999999995</v>
      </c>
      <c r="K36" s="7">
        <v>88.9</v>
      </c>
    </row>
    <row r="37" spans="1:11" x14ac:dyDescent="0.3">
      <c r="A37" t="s">
        <v>139</v>
      </c>
      <c r="B37" t="s">
        <v>140</v>
      </c>
      <c r="D37" s="7">
        <v>83.537999999999997</v>
      </c>
      <c r="E37" s="7">
        <v>83.176000000000002</v>
      </c>
      <c r="F37" s="7">
        <v>60.408000000000001</v>
      </c>
      <c r="G37" s="7">
        <v>62.082000000000001</v>
      </c>
      <c r="H37" s="7">
        <v>56.252000000000002</v>
      </c>
      <c r="I37" s="7">
        <v>58.125999999999998</v>
      </c>
      <c r="J37" s="7">
        <v>70.486999999999995</v>
      </c>
      <c r="K37" s="7">
        <v>82.5</v>
      </c>
    </row>
    <row r="38" spans="1:11" x14ac:dyDescent="0.3">
      <c r="A38" t="s">
        <v>141</v>
      </c>
      <c r="B38" t="s">
        <v>142</v>
      </c>
      <c r="D38" s="7">
        <v>100</v>
      </c>
      <c r="E38" s="7">
        <v>100</v>
      </c>
      <c r="F38" s="7">
        <v>100</v>
      </c>
      <c r="G38" s="7">
        <v>100</v>
      </c>
      <c r="H38" s="7">
        <v>100</v>
      </c>
      <c r="I38" s="7">
        <v>0</v>
      </c>
      <c r="J38" s="7">
        <v>100</v>
      </c>
      <c r="K38" s="7">
        <v>100</v>
      </c>
    </row>
    <row r="39" spans="1:11" x14ac:dyDescent="0.3">
      <c r="A39" t="s">
        <v>143</v>
      </c>
      <c r="B39" t="s">
        <v>144</v>
      </c>
      <c r="D39" s="7">
        <v>53.597999999999999</v>
      </c>
      <c r="E39" s="7">
        <v>50.018999999999998</v>
      </c>
      <c r="F39" s="7">
        <v>56.238999999999997</v>
      </c>
      <c r="G39" s="7">
        <v>48.572000000000003</v>
      </c>
      <c r="H39" s="7">
        <v>40.573999999999998</v>
      </c>
      <c r="I39" s="7">
        <v>39.956000000000003</v>
      </c>
      <c r="J39" s="7">
        <v>48.402999999999999</v>
      </c>
      <c r="K39" s="7">
        <v>55.1</v>
      </c>
    </row>
    <row r="40" spans="1:11" x14ac:dyDescent="0.3">
      <c r="A40" t="s">
        <v>145</v>
      </c>
      <c r="B40" t="s">
        <v>146</v>
      </c>
      <c r="D40" s="7">
        <v>7.742</v>
      </c>
      <c r="E40" s="7">
        <v>13.853</v>
      </c>
      <c r="F40" s="7">
        <v>29.157</v>
      </c>
      <c r="G40" s="7">
        <v>36.606999999999999</v>
      </c>
      <c r="H40" s="7">
        <v>17.515999999999998</v>
      </c>
      <c r="I40" s="7">
        <v>9.6609999999999996</v>
      </c>
      <c r="J40" s="7">
        <v>10.045999999999999</v>
      </c>
      <c r="K40" s="7">
        <v>77</v>
      </c>
    </row>
    <row r="41" spans="1:11" x14ac:dyDescent="0.3">
      <c r="A41" t="s">
        <v>147</v>
      </c>
      <c r="B41" t="s">
        <v>148</v>
      </c>
      <c r="D41" s="7">
        <v>42.82</v>
      </c>
      <c r="E41" s="7">
        <v>24.754000000000001</v>
      </c>
      <c r="F41" s="7">
        <v>7.556</v>
      </c>
      <c r="G41" s="7">
        <v>0.72599999999999998</v>
      </c>
      <c r="H41" s="7">
        <v>6.9569999999999999</v>
      </c>
      <c r="I41" s="7">
        <v>68.072000000000003</v>
      </c>
      <c r="J41" s="7">
        <v>10.555999999999999</v>
      </c>
      <c r="K41" s="7">
        <v>41.2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72.004999999999995</v>
      </c>
      <c r="E43" s="7">
        <v>70.694999999999993</v>
      </c>
      <c r="F43" s="7">
        <v>69.768000000000001</v>
      </c>
      <c r="G43" s="7">
        <v>71.504000000000005</v>
      </c>
      <c r="H43" s="7">
        <v>71.902000000000001</v>
      </c>
      <c r="I43" s="7">
        <v>73.89</v>
      </c>
      <c r="J43" s="7">
        <v>74.652000000000001</v>
      </c>
      <c r="K43" s="7">
        <v>80.8</v>
      </c>
    </row>
    <row r="44" spans="1:11" x14ac:dyDescent="0.3">
      <c r="A44" t="s">
        <v>152</v>
      </c>
      <c r="B44" t="s">
        <v>153</v>
      </c>
      <c r="D44" s="7">
        <v>89.817999999999998</v>
      </c>
      <c r="E44" s="7">
        <v>88.632999999999996</v>
      </c>
      <c r="F44" s="7">
        <v>77.144999999999996</v>
      </c>
      <c r="G44" s="7">
        <v>81.709000000000003</v>
      </c>
      <c r="H44" s="7">
        <v>84.033000000000001</v>
      </c>
      <c r="I44" s="7">
        <v>84.903000000000006</v>
      </c>
      <c r="J44" s="7">
        <v>83.403999999999996</v>
      </c>
      <c r="K44" s="7">
        <v>86.6</v>
      </c>
    </row>
    <row r="45" spans="1:11" x14ac:dyDescent="0.3">
      <c r="A45" t="s">
        <v>154</v>
      </c>
      <c r="B45" t="s">
        <v>155</v>
      </c>
      <c r="D45" s="7">
        <v>95.653999999999996</v>
      </c>
      <c r="E45" s="7">
        <v>95.135999999999996</v>
      </c>
      <c r="F45" s="7">
        <v>86.414000000000001</v>
      </c>
      <c r="G45" s="7">
        <v>68.462999999999994</v>
      </c>
      <c r="H45" s="7">
        <v>69.27</v>
      </c>
      <c r="I45" s="7">
        <v>72.150000000000006</v>
      </c>
      <c r="J45" s="7">
        <v>70.781999999999996</v>
      </c>
      <c r="K45" s="7">
        <v>78.3</v>
      </c>
    </row>
    <row r="46" spans="1:11" x14ac:dyDescent="0.3">
      <c r="A46" t="s">
        <v>156</v>
      </c>
      <c r="B46" t="s">
        <v>157</v>
      </c>
      <c r="D46" s="7">
        <v>71.438000000000002</v>
      </c>
      <c r="E46" s="7">
        <v>94.819000000000003</v>
      </c>
      <c r="F46" s="7">
        <v>90.477000000000004</v>
      </c>
      <c r="G46" s="7">
        <v>98.366</v>
      </c>
      <c r="H46" s="7">
        <v>88.200999999999993</v>
      </c>
      <c r="I46" s="7">
        <v>89.096999999999994</v>
      </c>
      <c r="J46" s="7">
        <v>79.840999999999994</v>
      </c>
      <c r="K46" s="7">
        <v>93.2</v>
      </c>
    </row>
    <row r="47" spans="1:11" x14ac:dyDescent="0.3">
      <c r="A47" t="s">
        <v>158</v>
      </c>
      <c r="B47" t="s">
        <v>159</v>
      </c>
      <c r="D47" s="7">
        <v>-3</v>
      </c>
      <c r="E47" s="7">
        <v>-6.59</v>
      </c>
      <c r="F47" s="7">
        <v>-8.06</v>
      </c>
      <c r="G47" s="7">
        <v>-11.39</v>
      </c>
      <c r="H47" s="7">
        <v>-21.31</v>
      </c>
      <c r="I47" s="7">
        <v>-20.54</v>
      </c>
      <c r="J47" s="7">
        <v>-19.510000000000002</v>
      </c>
      <c r="K47" s="7">
        <v>-16.34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6.8440000000000003</v>
      </c>
      <c r="G49" s="7">
        <v>11.164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16.981000000000002</v>
      </c>
      <c r="E50" s="7">
        <v>17.919</v>
      </c>
      <c r="F50" s="7">
        <v>16.812999999999999</v>
      </c>
      <c r="G50" s="7">
        <v>12.007</v>
      </c>
      <c r="H50" s="7">
        <v>2.72</v>
      </c>
      <c r="I50" s="7">
        <v>2.12</v>
      </c>
      <c r="J50" s="7">
        <v>13.715999999999999</v>
      </c>
      <c r="K50" s="7">
        <v>15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5.7679999999999998</v>
      </c>
      <c r="E51" s="7">
        <v>5.2489999999999997</v>
      </c>
      <c r="F51" s="7">
        <v>4.1630000000000003</v>
      </c>
      <c r="G51" s="7">
        <v>2.339</v>
      </c>
      <c r="H51" s="7">
        <v>0.59299999999999997</v>
      </c>
      <c r="I51" s="7">
        <v>0.54900000000000004</v>
      </c>
      <c r="J51" s="7">
        <v>2.2130000000000001</v>
      </c>
      <c r="K51" s="7">
        <v>1.9</v>
      </c>
    </row>
    <row r="52" spans="1:11" x14ac:dyDescent="0.3">
      <c r="A52" t="s">
        <v>167</v>
      </c>
      <c r="B52" t="s">
        <v>168</v>
      </c>
      <c r="D52" s="7">
        <v>404.14299999999997</v>
      </c>
      <c r="E52" s="7">
        <v>372.94299999999998</v>
      </c>
      <c r="F52" s="7">
        <v>330.178</v>
      </c>
      <c r="G52" s="7">
        <v>192.98035762192939</v>
      </c>
      <c r="H52" s="7">
        <v>207.8953089910373</v>
      </c>
      <c r="I52" s="7">
        <v>244.48862862088509</v>
      </c>
      <c r="J52" s="7">
        <v>213.33872497047767</v>
      </c>
      <c r="K52" s="7">
        <v>225.23083615107916</v>
      </c>
    </row>
    <row r="53" spans="1:11" x14ac:dyDescent="0.3">
      <c r="A53" t="s">
        <v>169</v>
      </c>
      <c r="D53" s="7">
        <v>16.731629869145735</v>
      </c>
      <c r="E53" s="7">
        <v>12.39707698837611</v>
      </c>
      <c r="F53" s="7">
        <v>18.802113363580577</v>
      </c>
      <c r="G53" s="7">
        <v>22.40022404681595</v>
      </c>
      <c r="H53" s="7">
        <v>23.659502307820212</v>
      </c>
      <c r="I53" s="7">
        <v>24.758797142168927</v>
      </c>
      <c r="J53" s="7">
        <v>12.80709506810714</v>
      </c>
      <c r="K53" s="7">
        <v>10.814469895528378</v>
      </c>
    </row>
    <row r="54" spans="1:11" x14ac:dyDescent="0.3">
      <c r="A54" t="s">
        <v>170</v>
      </c>
      <c r="B54" t="s">
        <v>171</v>
      </c>
      <c r="D54" s="7">
        <v>11.06230033172355</v>
      </c>
      <c r="E54" s="7">
        <v>10.655759924808295</v>
      </c>
      <c r="F54" s="7">
        <v>15.578911073979249</v>
      </c>
      <c r="G54" s="7">
        <v>18.216775763104966</v>
      </c>
      <c r="H54" s="7">
        <v>21.640776143307068</v>
      </c>
      <c r="I54" s="7">
        <v>22.591451527059242</v>
      </c>
      <c r="J54" s="7">
        <v>12.206968600655808</v>
      </c>
      <c r="K54" s="7">
        <v>9.2646615454395196</v>
      </c>
    </row>
    <row r="55" spans="1:11" x14ac:dyDescent="0.3">
      <c r="A55" t="s">
        <v>172</v>
      </c>
      <c r="B55" t="s">
        <v>173</v>
      </c>
      <c r="D55" s="7">
        <v>5.6693295374221835</v>
      </c>
      <c r="E55" s="7">
        <v>1.7413170635678141</v>
      </c>
      <c r="F55" s="7">
        <v>3.223202289601327</v>
      </c>
      <c r="G55" s="7">
        <v>4.1834482837109821</v>
      </c>
      <c r="H55" s="7">
        <v>2.0187261645131436</v>
      </c>
      <c r="I55" s="7">
        <v>2.1673456151096837</v>
      </c>
      <c r="J55" s="7">
        <v>0.60012646745133147</v>
      </c>
      <c r="K55" s="7">
        <v>1.5498083500888584</v>
      </c>
    </row>
    <row r="56" spans="1:11" x14ac:dyDescent="0.3">
      <c r="A56" t="s">
        <v>174</v>
      </c>
      <c r="B56" t="s">
        <v>175</v>
      </c>
      <c r="D56" s="7">
        <v>70.695987652558699</v>
      </c>
      <c r="E56" s="7">
        <v>72.524773520023118</v>
      </c>
      <c r="F56" s="7">
        <v>63.643324996893504</v>
      </c>
      <c r="G56" s="7">
        <v>56.653124470064078</v>
      </c>
      <c r="H56" s="7">
        <v>57.468071316760103</v>
      </c>
      <c r="I56" s="7">
        <v>55.135025360920139</v>
      </c>
      <c r="J56" s="7">
        <v>56.156954491307829</v>
      </c>
      <c r="K56" s="7">
        <v>63.43772489475873</v>
      </c>
    </row>
    <row r="57" spans="1:11" x14ac:dyDescent="0.3">
      <c r="A57" t="s">
        <v>176</v>
      </c>
      <c r="B57" t="s">
        <v>177</v>
      </c>
      <c r="D57" s="7">
        <v>12.572382478295561</v>
      </c>
      <c r="E57" s="7">
        <v>15.078149491600772</v>
      </c>
      <c r="F57" s="7">
        <v>17.554561639525922</v>
      </c>
      <c r="G57" s="7">
        <v>20.946651483119975</v>
      </c>
      <c r="H57" s="7">
        <v>18.872426375419678</v>
      </c>
      <c r="I57" s="7">
        <v>20.106177496910931</v>
      </c>
      <c r="J57" s="7">
        <v>31.035950440585029</v>
      </c>
      <c r="K57" s="7">
        <v>25.747805209712894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 t="s">
        <v>350</v>
      </c>
      <c r="E59" s="7" t="s">
        <v>350</v>
      </c>
      <c r="F59" s="7" t="s">
        <v>350</v>
      </c>
      <c r="G59" s="7" t="s">
        <v>350</v>
      </c>
      <c r="H59" s="7" t="s">
        <v>350</v>
      </c>
      <c r="I59" s="7" t="s">
        <v>350</v>
      </c>
      <c r="J59" s="7" t="s">
        <v>350</v>
      </c>
      <c r="K59" s="7" t="s">
        <v>350</v>
      </c>
    </row>
    <row r="60" spans="1:11" x14ac:dyDescent="0.3">
      <c r="A60" t="s">
        <v>181</v>
      </c>
      <c r="B60" t="s">
        <v>182</v>
      </c>
      <c r="D60" s="7" t="s">
        <v>350</v>
      </c>
      <c r="E60" s="7" t="s">
        <v>350</v>
      </c>
      <c r="F60" s="7" t="s">
        <v>350</v>
      </c>
      <c r="G60" s="7" t="s">
        <v>350</v>
      </c>
      <c r="H60" s="7" t="s">
        <v>350</v>
      </c>
      <c r="I60" s="7" t="s">
        <v>350</v>
      </c>
      <c r="J60" s="7" t="s">
        <v>350</v>
      </c>
      <c r="K60" s="7" t="s">
        <v>350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</v>
      </c>
      <c r="E64" s="7">
        <v>2E-3</v>
      </c>
      <c r="F64" s="7">
        <v>0.59499999999999997</v>
      </c>
      <c r="G64" s="7">
        <v>0.26300000000000001</v>
      </c>
      <c r="H64" s="7">
        <v>0.109</v>
      </c>
      <c r="I64" s="7">
        <v>0.19800000000000001</v>
      </c>
      <c r="J64" s="7">
        <v>1.4999999999999999E-2</v>
      </c>
      <c r="K64" s="7">
        <v>0.6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0</v>
      </c>
      <c r="G65" s="7">
        <v>7.0000000000000001E-3</v>
      </c>
      <c r="H65" s="7">
        <v>0</v>
      </c>
      <c r="I65" s="7">
        <v>0</v>
      </c>
      <c r="J65" s="7">
        <v>0</v>
      </c>
      <c r="K65" s="7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</v>
      </c>
      <c r="G66" s="7">
        <v>2E-3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44.78</v>
      </c>
      <c r="E68" s="7">
        <v>40.734000000000002</v>
      </c>
      <c r="F68" s="33">
        <v>35.783999999999999</v>
      </c>
      <c r="G68" s="33">
        <v>45.783000000000001</v>
      </c>
      <c r="H68" s="33">
        <v>37.795000000000002</v>
      </c>
      <c r="I68" s="33">
        <v>30.728999999999999</v>
      </c>
      <c r="J68" s="33">
        <v>32.185000000000002</v>
      </c>
      <c r="K68" s="33">
        <v>33.700000000000003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14.117000000000001</v>
      </c>
      <c r="E70" s="33">
        <v>15.881</v>
      </c>
      <c r="F70" s="7">
        <v>14.177</v>
      </c>
      <c r="G70" s="7">
        <v>13.316000000000001</v>
      </c>
      <c r="H70" s="7">
        <v>12.516999999999999</v>
      </c>
      <c r="I70" s="7">
        <v>12.923999999999999</v>
      </c>
      <c r="J70" s="7">
        <v>12.686999999999999</v>
      </c>
      <c r="K70" s="7">
        <v>19.899999999999999</v>
      </c>
    </row>
    <row r="71" spans="1:11" x14ac:dyDescent="0.3">
      <c r="A71" t="s">
        <v>200</v>
      </c>
      <c r="B71" t="s">
        <v>201</v>
      </c>
      <c r="D71" s="7">
        <v>16.283999999999999</v>
      </c>
      <c r="E71" s="33">
        <v>18.856999999999999</v>
      </c>
      <c r="F71" s="7">
        <v>17.164999999999999</v>
      </c>
      <c r="G71" s="7">
        <v>16.449000000000002</v>
      </c>
      <c r="H71" s="7">
        <v>15.06</v>
      </c>
      <c r="I71" s="7">
        <v>14.496</v>
      </c>
      <c r="J71" s="7">
        <v>13.83</v>
      </c>
      <c r="K71" s="7">
        <v>23.8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76.287999999999997</v>
      </c>
      <c r="E73" s="7">
        <v>79.132000000000005</v>
      </c>
      <c r="F73" s="7">
        <v>77.224999999999994</v>
      </c>
      <c r="G73" s="7">
        <v>77.991</v>
      </c>
      <c r="H73" s="7">
        <v>78.375</v>
      </c>
      <c r="I73" s="7">
        <v>79.480999999999995</v>
      </c>
      <c r="J73" s="7">
        <v>81.123000000000005</v>
      </c>
      <c r="K73" s="7">
        <v>83.032413749643979</v>
      </c>
    </row>
    <row r="74" spans="1:11" x14ac:dyDescent="0.3">
      <c r="B74" t="s">
        <v>203</v>
      </c>
      <c r="D74" s="7">
        <v>82.147000000000006</v>
      </c>
      <c r="E74" s="7">
        <v>84.126999999999995</v>
      </c>
      <c r="F74" s="7">
        <v>82.278000000000006</v>
      </c>
      <c r="G74" s="7">
        <v>84.826999999999998</v>
      </c>
      <c r="H74" s="7">
        <v>87.346999999999994</v>
      </c>
      <c r="I74" s="7">
        <v>89.421999999999997</v>
      </c>
      <c r="J74" s="7">
        <v>89.459000000000003</v>
      </c>
      <c r="K74" s="7">
        <v>90.458200579878522</v>
      </c>
    </row>
    <row r="75" spans="1:11" x14ac:dyDescent="0.3">
      <c r="B75" t="s">
        <v>204</v>
      </c>
      <c r="D75" s="7">
        <v>52.6</v>
      </c>
      <c r="E75" s="7">
        <v>58.707999999999998</v>
      </c>
      <c r="F75" s="7">
        <v>53.97</v>
      </c>
      <c r="G75" s="7">
        <v>48.911999999999999</v>
      </c>
      <c r="H75" s="7">
        <v>43.061</v>
      </c>
      <c r="I75" s="7">
        <v>38.290999999999997</v>
      </c>
      <c r="J75" s="7">
        <v>40.625</v>
      </c>
      <c r="K75" s="7">
        <v>41.550526425114462</v>
      </c>
    </row>
    <row r="76" spans="1:11" x14ac:dyDescent="0.3">
      <c r="A76" s="8" t="s">
        <v>37</v>
      </c>
      <c r="B76" s="8"/>
      <c r="C76" s="9">
        <v>47</v>
      </c>
      <c r="D76" s="7">
        <v>66.834973501506283</v>
      </c>
      <c r="E76" s="7">
        <v>70.865391861671256</v>
      </c>
      <c r="F76" s="33">
        <v>67.77</v>
      </c>
      <c r="G76" s="33">
        <v>71.206047011502164</v>
      </c>
      <c r="H76" s="33">
        <v>69.89382440645187</v>
      </c>
      <c r="I76" s="33">
        <v>71.702297883585956</v>
      </c>
      <c r="J76" s="33">
        <v>72.093435716397053</v>
      </c>
      <c r="K76" s="33">
        <v>65.824072975289965</v>
      </c>
    </row>
    <row r="77" spans="1:11" x14ac:dyDescent="0.3">
      <c r="A77" s="34" t="s">
        <v>338</v>
      </c>
      <c r="B77" s="34"/>
      <c r="C77" s="66"/>
      <c r="D77" s="33">
        <v>64.049103007665394</v>
      </c>
      <c r="E77" s="33">
        <v>68.043721434021805</v>
      </c>
      <c r="F77" s="33">
        <v>64.800765771199863</v>
      </c>
      <c r="G77" s="33">
        <v>68.848864171961793</v>
      </c>
      <c r="H77" s="33">
        <v>67.402282726477935</v>
      </c>
      <c r="I77" s="33">
        <v>69.192490956912025</v>
      </c>
      <c r="J77" s="33">
        <v>69.822052279677564</v>
      </c>
      <c r="K77" s="33">
        <v>61.540930424507124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12.40977881257276</v>
      </c>
      <c r="E79" s="7">
        <v>11.227896066402021</v>
      </c>
      <c r="F79" s="33">
        <v>11.075924491010566</v>
      </c>
      <c r="G79" s="33">
        <v>10.848794578380181</v>
      </c>
      <c r="H79" s="33">
        <v>11.159679739925975</v>
      </c>
      <c r="I79" s="33">
        <v>12.979956532238587</v>
      </c>
      <c r="J79" s="33">
        <v>11.859408709981679</v>
      </c>
      <c r="K79" s="33">
        <v>10.822998872604284</v>
      </c>
    </row>
    <row r="80" spans="1:11" x14ac:dyDescent="0.3">
      <c r="A80">
        <v>9</v>
      </c>
      <c r="B80" t="s">
        <v>351</v>
      </c>
      <c r="D80" s="7">
        <v>15.822384832862134</v>
      </c>
      <c r="E80" s="7">
        <v>15.406216167448575</v>
      </c>
      <c r="F80" s="33">
        <v>15.31853249334636</v>
      </c>
      <c r="G80" s="33">
        <v>13.0663259637818</v>
      </c>
      <c r="H80" s="33">
        <v>12.892774379194078</v>
      </c>
      <c r="I80" s="33">
        <v>11.882285789554563</v>
      </c>
      <c r="J80" s="33">
        <v>10.666854584286472</v>
      </c>
      <c r="K80" s="33">
        <v>9.8083427282976317</v>
      </c>
    </row>
    <row r="81" spans="1:11" x14ac:dyDescent="0.3">
      <c r="A81">
        <v>10</v>
      </c>
      <c r="B81" t="s">
        <v>206</v>
      </c>
      <c r="D81" s="7">
        <v>10.747824158767118</v>
      </c>
      <c r="E81" s="7">
        <v>11.91920786719596</v>
      </c>
      <c r="F81" s="33">
        <v>10.393154330761716</v>
      </c>
      <c r="G81" s="33">
        <v>12.60971003221864</v>
      </c>
      <c r="H81" s="33">
        <v>12.601728701496965</v>
      </c>
      <c r="I81" s="33">
        <v>11.915215911835087</v>
      </c>
      <c r="J81" s="33">
        <v>14.026604798404147</v>
      </c>
      <c r="K81" s="33">
        <v>21.53325817361894</v>
      </c>
    </row>
    <row r="82" spans="1:11" x14ac:dyDescent="0.3">
      <c r="A82">
        <v>12</v>
      </c>
      <c r="B82" t="s">
        <v>207</v>
      </c>
      <c r="D82" s="7">
        <v>13.671489550418539</v>
      </c>
      <c r="E82" s="7">
        <v>14.721670876939733</v>
      </c>
      <c r="F82" s="33">
        <v>17.383687632651686</v>
      </c>
      <c r="G82" s="33">
        <v>16.580379957782469</v>
      </c>
      <c r="H82" s="33">
        <v>16.967413866953684</v>
      </c>
      <c r="I82" s="33">
        <v>16.236745625782088</v>
      </c>
      <c r="J82" s="33">
        <v>16.2078947083121</v>
      </c>
      <c r="K82" s="33">
        <v>14.205186020293123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86.516999999999996</v>
      </c>
      <c r="E84" s="7">
        <v>86.783000000000001</v>
      </c>
      <c r="F84" s="7">
        <v>83.590999999999994</v>
      </c>
      <c r="G84" s="7">
        <v>88.147999999999996</v>
      </c>
      <c r="H84" s="7">
        <v>76.736000000000004</v>
      </c>
      <c r="I84" s="7">
        <v>82.04</v>
      </c>
      <c r="J84" s="7">
        <v>83.201999999999998</v>
      </c>
      <c r="K84" s="7">
        <v>86.61241631198024</v>
      </c>
    </row>
    <row r="85" spans="1:11" x14ac:dyDescent="0.3">
      <c r="A85">
        <v>9</v>
      </c>
      <c r="B85" t="s">
        <v>351</v>
      </c>
      <c r="D85" s="7">
        <v>86.352999999999994</v>
      </c>
      <c r="E85" s="7">
        <v>91.241</v>
      </c>
      <c r="F85" s="7">
        <v>90.721999999999994</v>
      </c>
      <c r="G85" s="7">
        <v>91.153999999999996</v>
      </c>
      <c r="H85" s="7">
        <v>84.754999999999995</v>
      </c>
      <c r="I85" s="7">
        <v>90.606999999999999</v>
      </c>
      <c r="J85" s="7">
        <v>85.597999999999999</v>
      </c>
      <c r="K85" s="7">
        <v>85.853624334250313</v>
      </c>
    </row>
    <row r="86" spans="1:11" x14ac:dyDescent="0.3">
      <c r="A86">
        <v>10</v>
      </c>
      <c r="B86" t="s">
        <v>206</v>
      </c>
      <c r="D86" s="7">
        <v>76.613</v>
      </c>
      <c r="E86" s="7">
        <v>83.161000000000001</v>
      </c>
      <c r="F86" s="7">
        <v>59.86</v>
      </c>
      <c r="G86" s="7">
        <v>79.456000000000003</v>
      </c>
      <c r="H86" s="7">
        <v>83.150999999999996</v>
      </c>
      <c r="I86" s="7">
        <v>84.977000000000004</v>
      </c>
      <c r="J86" s="7">
        <v>82.093999999999994</v>
      </c>
      <c r="K86" s="7">
        <v>94.15593740109108</v>
      </c>
    </row>
    <row r="87" spans="1:11" x14ac:dyDescent="0.3">
      <c r="A87">
        <v>12</v>
      </c>
      <c r="B87" t="s">
        <v>207</v>
      </c>
      <c r="D87" s="7">
        <v>81.784999999999997</v>
      </c>
      <c r="E87" s="7">
        <v>81.879000000000005</v>
      </c>
      <c r="F87" s="7">
        <v>76.516999999999996</v>
      </c>
      <c r="G87" s="7">
        <v>72.814999999999998</v>
      </c>
      <c r="H87" s="7">
        <v>74.004000000000005</v>
      </c>
      <c r="I87" s="7">
        <v>77.299000000000007</v>
      </c>
      <c r="J87" s="7">
        <v>73.813999999999993</v>
      </c>
      <c r="K87" s="7">
        <v>82.08730665336806</v>
      </c>
    </row>
    <row r="88" spans="1:11" x14ac:dyDescent="0.3">
      <c r="B88" s="71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42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42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42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42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42" t="s">
        <v>302</v>
      </c>
    </row>
    <row r="179" spans="2:11" x14ac:dyDescent="0.3">
      <c r="E179" s="34"/>
    </row>
    <row r="199" spans="2:2" x14ac:dyDescent="0.3">
      <c r="B199" s="42" t="s">
        <v>268</v>
      </c>
    </row>
    <row r="218" spans="2:2" x14ac:dyDescent="0.3">
      <c r="B218" s="42" t="s">
        <v>208</v>
      </c>
    </row>
  </sheetData>
  <mergeCells count="1">
    <mergeCell ref="A1:B1"/>
  </mergeCells>
  <conditionalFormatting sqref="D3">
    <cfRule type="cellIs" dxfId="82" priority="56" operator="greaterThan">
      <formula>$C3</formula>
    </cfRule>
  </conditionalFormatting>
  <conditionalFormatting sqref="D12">
    <cfRule type="cellIs" dxfId="81" priority="54" operator="lessThan">
      <formula>$C12</formula>
    </cfRule>
  </conditionalFormatting>
  <conditionalFormatting sqref="D15:G15 K15">
    <cfRule type="cellIs" dxfId="80" priority="52" operator="greaterThan">
      <formula>$C$15</formula>
    </cfRule>
  </conditionalFormatting>
  <conditionalFormatting sqref="E3:G3 K3">
    <cfRule type="cellIs" dxfId="79" priority="48" operator="greaterThan">
      <formula>$C3</formula>
    </cfRule>
  </conditionalFormatting>
  <conditionalFormatting sqref="D51:G51 K51">
    <cfRule type="cellIs" dxfId="78" priority="47" operator="greaterThan">
      <formula>$C51</formula>
    </cfRule>
  </conditionalFormatting>
  <conditionalFormatting sqref="D62:G62 K62">
    <cfRule type="cellIs" dxfId="77" priority="46" operator="greaterThan">
      <formula>$C62</formula>
    </cfRule>
  </conditionalFormatting>
  <conditionalFormatting sqref="D64:G64 K64">
    <cfRule type="cellIs" dxfId="76" priority="45" operator="greaterThan">
      <formula>$C64</formula>
    </cfRule>
  </conditionalFormatting>
  <conditionalFormatting sqref="E12:G12 K12">
    <cfRule type="cellIs" dxfId="75" priority="44" operator="lessThan">
      <formula>$C12</formula>
    </cfRule>
  </conditionalFormatting>
  <conditionalFormatting sqref="D76:E77">
    <cfRule type="cellIs" dxfId="74" priority="43" operator="lessThan">
      <formula>$C76</formula>
    </cfRule>
  </conditionalFormatting>
  <conditionalFormatting sqref="E76:G77 K76:K77">
    <cfRule type="cellIs" dxfId="73" priority="42" operator="lessThan">
      <formula>$C76</formula>
    </cfRule>
  </conditionalFormatting>
  <conditionalFormatting sqref="D65">
    <cfRule type="expression" dxfId="72" priority="41">
      <formula>$D65+$D66&gt;$C66</formula>
    </cfRule>
  </conditionalFormatting>
  <conditionalFormatting sqref="D66">
    <cfRule type="expression" dxfId="71" priority="40">
      <formula>$D65+$D66&gt;$C66</formula>
    </cfRule>
  </conditionalFormatting>
  <conditionalFormatting sqref="E65:G65 K65">
    <cfRule type="expression" dxfId="70" priority="39">
      <formula>$D65+$D66&gt;$C66</formula>
    </cfRule>
  </conditionalFormatting>
  <conditionalFormatting sqref="E66:G66 K66">
    <cfRule type="expression" dxfId="69" priority="38">
      <formula>$D65+$D66&gt;$C66</formula>
    </cfRule>
  </conditionalFormatting>
  <conditionalFormatting sqref="D65">
    <cfRule type="expression" dxfId="68" priority="37">
      <formula>D$65+D$66&gt;=$C$66</formula>
    </cfRule>
  </conditionalFormatting>
  <conditionalFormatting sqref="E65:G65 K65">
    <cfRule type="expression" dxfId="67" priority="36">
      <formula>E$65+E$66&gt;=$C$66</formula>
    </cfRule>
  </conditionalFormatting>
  <conditionalFormatting sqref="D66">
    <cfRule type="expression" dxfId="66" priority="35">
      <formula>D$65+D$66&gt;=$C$66</formula>
    </cfRule>
  </conditionalFormatting>
  <conditionalFormatting sqref="E66:G66 K66">
    <cfRule type="expression" dxfId="65" priority="34">
      <formula>E$65+E$66&gt;=$C$66</formula>
    </cfRule>
  </conditionalFormatting>
  <conditionalFormatting sqref="H15">
    <cfRule type="cellIs" dxfId="64" priority="33" operator="greaterThan">
      <formula>$C$15</formula>
    </cfRule>
  </conditionalFormatting>
  <conditionalFormatting sqref="H3">
    <cfRule type="cellIs" dxfId="63" priority="32" operator="greaterThan">
      <formula>$C3</formula>
    </cfRule>
  </conditionalFormatting>
  <conditionalFormatting sqref="H51">
    <cfRule type="cellIs" dxfId="62" priority="31" operator="greaterThan">
      <formula>$C51</formula>
    </cfRule>
  </conditionalFormatting>
  <conditionalFormatting sqref="H62">
    <cfRule type="cellIs" dxfId="61" priority="30" operator="greaterThan">
      <formula>$C62</formula>
    </cfRule>
  </conditionalFormatting>
  <conditionalFormatting sqref="H64">
    <cfRule type="cellIs" dxfId="60" priority="29" operator="greaterThan">
      <formula>$C64</formula>
    </cfRule>
  </conditionalFormatting>
  <conditionalFormatting sqref="H12">
    <cfRule type="cellIs" dxfId="59" priority="28" operator="lessThan">
      <formula>$C12</formula>
    </cfRule>
  </conditionalFormatting>
  <conditionalFormatting sqref="H76:H77">
    <cfRule type="cellIs" dxfId="58" priority="27" operator="lessThan">
      <formula>$C76</formula>
    </cfRule>
  </conditionalFormatting>
  <conditionalFormatting sqref="H65">
    <cfRule type="expression" dxfId="57" priority="26">
      <formula>$D65+$D66&gt;$C66</formula>
    </cfRule>
  </conditionalFormatting>
  <conditionalFormatting sqref="H66">
    <cfRule type="expression" dxfId="56" priority="25">
      <formula>$D65+$D66&gt;$C66</formula>
    </cfRule>
  </conditionalFormatting>
  <conditionalFormatting sqref="H65">
    <cfRule type="expression" dxfId="55" priority="24">
      <formula>H$65+H$66&gt;=$C$66</formula>
    </cfRule>
  </conditionalFormatting>
  <conditionalFormatting sqref="H66">
    <cfRule type="expression" dxfId="54" priority="23">
      <formula>H$65+H$66&gt;=$C$66</formula>
    </cfRule>
  </conditionalFormatting>
  <conditionalFormatting sqref="I15">
    <cfRule type="cellIs" dxfId="53" priority="22" operator="greaterThan">
      <formula>$C$15</formula>
    </cfRule>
  </conditionalFormatting>
  <conditionalFormatting sqref="I3">
    <cfRule type="cellIs" dxfId="52" priority="21" operator="greaterThan">
      <formula>$C3</formula>
    </cfRule>
  </conditionalFormatting>
  <conditionalFormatting sqref="I51">
    <cfRule type="cellIs" dxfId="51" priority="20" operator="greaterThan">
      <formula>$C51</formula>
    </cfRule>
  </conditionalFormatting>
  <conditionalFormatting sqref="I62">
    <cfRule type="cellIs" dxfId="50" priority="19" operator="greaterThan">
      <formula>$C62</formula>
    </cfRule>
  </conditionalFormatting>
  <conditionalFormatting sqref="I64">
    <cfRule type="cellIs" dxfId="49" priority="18" operator="greaterThan">
      <formula>$C64</formula>
    </cfRule>
  </conditionalFormatting>
  <conditionalFormatting sqref="I12">
    <cfRule type="cellIs" dxfId="48" priority="17" operator="lessThan">
      <formula>$C12</formula>
    </cfRule>
  </conditionalFormatting>
  <conditionalFormatting sqref="I76:I77">
    <cfRule type="cellIs" dxfId="47" priority="16" operator="lessThan">
      <formula>$C76</formula>
    </cfRule>
  </conditionalFormatting>
  <conditionalFormatting sqref="I65">
    <cfRule type="expression" dxfId="46" priority="15">
      <formula>$D65+$D66&gt;$C66</formula>
    </cfRule>
  </conditionalFormatting>
  <conditionalFormatting sqref="I66">
    <cfRule type="expression" dxfId="45" priority="14">
      <formula>$D65+$D66&gt;$C66</formula>
    </cfRule>
  </conditionalFormatting>
  <conditionalFormatting sqref="I65">
    <cfRule type="expression" dxfId="44" priority="13">
      <formula>I$65+I$66&gt;=$C$66</formula>
    </cfRule>
  </conditionalFormatting>
  <conditionalFormatting sqref="I66">
    <cfRule type="expression" dxfId="43" priority="12">
      <formula>I$65+I$66&gt;=$C$66</formula>
    </cfRule>
  </conditionalFormatting>
  <conditionalFormatting sqref="J15">
    <cfRule type="cellIs" dxfId="42" priority="11" operator="greaterThan">
      <formula>$C$15</formula>
    </cfRule>
  </conditionalFormatting>
  <conditionalFormatting sqref="J3">
    <cfRule type="cellIs" dxfId="41" priority="10" operator="greaterThan">
      <formula>$C3</formula>
    </cfRule>
  </conditionalFormatting>
  <conditionalFormatting sqref="J51">
    <cfRule type="cellIs" dxfId="40" priority="9" operator="greaterThan">
      <formula>$C51</formula>
    </cfRule>
  </conditionalFormatting>
  <conditionalFormatting sqref="J62">
    <cfRule type="cellIs" dxfId="39" priority="8" operator="greaterThan">
      <formula>$C62</formula>
    </cfRule>
  </conditionalFormatting>
  <conditionalFormatting sqref="J64">
    <cfRule type="cellIs" dxfId="38" priority="7" operator="greaterThan">
      <formula>$C64</formula>
    </cfRule>
  </conditionalFormatting>
  <conditionalFormatting sqref="J12">
    <cfRule type="cellIs" dxfId="37" priority="6" operator="lessThan">
      <formula>$C12</formula>
    </cfRule>
  </conditionalFormatting>
  <conditionalFormatting sqref="J76:J77">
    <cfRule type="cellIs" dxfId="36" priority="5" operator="lessThan">
      <formula>$C76</formula>
    </cfRule>
  </conditionalFormatting>
  <conditionalFormatting sqref="J65">
    <cfRule type="expression" dxfId="35" priority="4">
      <formula>$D65+$D66&gt;$C66</formula>
    </cfRule>
  </conditionalFormatting>
  <conditionalFormatting sqref="J66">
    <cfRule type="expression" dxfId="34" priority="3">
      <formula>$D65+$D66&gt;$C66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sqref="A1:L9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7" t="s">
        <v>311</v>
      </c>
      <c r="B1" s="77" t="s">
        <v>312</v>
      </c>
      <c r="C1" s="77" t="s">
        <v>322</v>
      </c>
      <c r="D1" s="45" t="s">
        <v>211</v>
      </c>
      <c r="E1" s="45">
        <v>2016</v>
      </c>
      <c r="F1" s="45">
        <v>2017</v>
      </c>
      <c r="G1" s="45">
        <v>2018</v>
      </c>
      <c r="H1" s="45">
        <v>2019</v>
      </c>
      <c r="I1" s="45">
        <v>2020</v>
      </c>
      <c r="J1" s="45">
        <v>2021</v>
      </c>
      <c r="K1" s="45">
        <v>2022</v>
      </c>
      <c r="L1" s="45">
        <v>2023</v>
      </c>
    </row>
    <row r="2" spans="1:12" ht="29.25" customHeight="1" x14ac:dyDescent="0.3">
      <c r="A2" s="78" t="s">
        <v>313</v>
      </c>
      <c r="B2" s="78" t="s">
        <v>78</v>
      </c>
      <c r="C2" s="80" t="s">
        <v>321</v>
      </c>
      <c r="D2" s="91" t="s">
        <v>328</v>
      </c>
      <c r="E2" s="85">
        <f>Piano_indicatori!D3</f>
        <v>37.311</v>
      </c>
      <c r="F2" s="85">
        <f>Piano_indicatori!E3</f>
        <v>34.506</v>
      </c>
      <c r="G2" s="85">
        <f>Piano_indicatori!F3</f>
        <v>33.801000000000002</v>
      </c>
      <c r="H2" s="85">
        <f>Piano_indicatori!G3</f>
        <v>31.3</v>
      </c>
      <c r="I2" s="85">
        <f>Piano_indicatori!H3</f>
        <v>27.847999999999999</v>
      </c>
      <c r="J2" s="85">
        <f>Piano_indicatori!I3</f>
        <v>27.89</v>
      </c>
      <c r="K2" s="85">
        <f>Piano_indicatori!J3</f>
        <v>30.007999999999999</v>
      </c>
      <c r="L2" s="85">
        <f>Piano_indicatori!K3</f>
        <v>26.9</v>
      </c>
    </row>
    <row r="3" spans="1:12" ht="29.25" customHeight="1" x14ac:dyDescent="0.3">
      <c r="A3" s="79" t="s">
        <v>314</v>
      </c>
      <c r="B3" s="79" t="s">
        <v>95</v>
      </c>
      <c r="C3" s="81" t="s">
        <v>96</v>
      </c>
      <c r="D3" s="92" t="s">
        <v>329</v>
      </c>
      <c r="E3" s="86">
        <f>Piano_indicatori!D12</f>
        <v>62.058999999999997</v>
      </c>
      <c r="F3" s="86">
        <f>Piano_indicatori!E12</f>
        <v>57.356000000000002</v>
      </c>
      <c r="G3" s="86">
        <f>Piano_indicatori!F12</f>
        <v>66.171000000000006</v>
      </c>
      <c r="H3" s="86">
        <f>Piano_indicatori!G12</f>
        <v>70.433999999999997</v>
      </c>
      <c r="I3" s="86">
        <f>Piano_indicatori!H12</f>
        <v>62.28</v>
      </c>
      <c r="J3" s="86">
        <f>Piano_indicatori!I12</f>
        <v>58.518999999999998</v>
      </c>
      <c r="K3" s="86">
        <f>Piano_indicatori!J12</f>
        <v>55.616999999999997</v>
      </c>
      <c r="L3" s="86">
        <f>Piano_indicatori!K12</f>
        <v>57.5</v>
      </c>
    </row>
    <row r="4" spans="1:12" ht="29.25" customHeight="1" x14ac:dyDescent="0.3">
      <c r="A4" s="78" t="s">
        <v>315</v>
      </c>
      <c r="B4" s="78" t="s">
        <v>100</v>
      </c>
      <c r="C4" s="82" t="s">
        <v>324</v>
      </c>
      <c r="D4" s="91" t="s">
        <v>330</v>
      </c>
      <c r="E4" s="87">
        <f>Piano_indicatori!D15</f>
        <v>0</v>
      </c>
      <c r="F4" s="87">
        <f>Piano_indicatori!E15</f>
        <v>0</v>
      </c>
      <c r="G4" s="87">
        <f>Piano_indicatori!F15</f>
        <v>0</v>
      </c>
      <c r="H4" s="87">
        <f>Piano_indicatori!G15</f>
        <v>0</v>
      </c>
      <c r="I4" s="87">
        <f>Piano_indicatori!H15</f>
        <v>0</v>
      </c>
      <c r="J4" s="87">
        <f>Piano_indicatori!I15</f>
        <v>0</v>
      </c>
      <c r="K4" s="87">
        <f>Piano_indicatori!J15</f>
        <v>0</v>
      </c>
      <c r="L4" s="87">
        <f>Piano_indicatori!K15</f>
        <v>0</v>
      </c>
    </row>
    <row r="5" spans="1:12" ht="29.25" customHeight="1" x14ac:dyDescent="0.3">
      <c r="A5" s="79" t="s">
        <v>316</v>
      </c>
      <c r="B5" s="79" t="s">
        <v>165</v>
      </c>
      <c r="C5" s="83" t="s">
        <v>325</v>
      </c>
      <c r="D5" s="93" t="s">
        <v>331</v>
      </c>
      <c r="E5" s="88">
        <f>Piano_indicatori!D51</f>
        <v>5.7679999999999998</v>
      </c>
      <c r="F5" s="88">
        <f>Piano_indicatori!E51</f>
        <v>5.2489999999999997</v>
      </c>
      <c r="G5" s="88">
        <f>Piano_indicatori!F51</f>
        <v>4.1630000000000003</v>
      </c>
      <c r="H5" s="88">
        <f>Piano_indicatori!G51</f>
        <v>2.339</v>
      </c>
      <c r="I5" s="88">
        <f>Piano_indicatori!H51</f>
        <v>0.59299999999999997</v>
      </c>
      <c r="J5" s="88">
        <f>Piano_indicatori!I51</f>
        <v>0.54900000000000004</v>
      </c>
      <c r="K5" s="88">
        <f>Piano_indicatori!J51</f>
        <v>2.2130000000000001</v>
      </c>
      <c r="L5" s="88">
        <f>Piano_indicatori!K51</f>
        <v>1.9</v>
      </c>
    </row>
    <row r="6" spans="1:12" ht="29.25" customHeight="1" x14ac:dyDescent="0.3">
      <c r="A6" s="78" t="s">
        <v>317</v>
      </c>
      <c r="B6" s="78" t="s">
        <v>185</v>
      </c>
      <c r="C6" s="95" t="s">
        <v>186</v>
      </c>
      <c r="D6" s="94" t="s">
        <v>332</v>
      </c>
      <c r="E6" s="89">
        <f>Piano_indicatori!D62</f>
        <v>0</v>
      </c>
      <c r="F6" s="89">
        <f>Piano_indicatori!E62</f>
        <v>0</v>
      </c>
      <c r="G6" s="89">
        <f>Piano_indicatori!F62</f>
        <v>0</v>
      </c>
      <c r="H6" s="89">
        <f>Piano_indicatori!G62</f>
        <v>0</v>
      </c>
      <c r="I6" s="89">
        <f>Piano_indicatori!H62</f>
        <v>0</v>
      </c>
      <c r="J6" s="89">
        <f>Piano_indicatori!I62</f>
        <v>0</v>
      </c>
      <c r="K6" s="89">
        <f>Piano_indicatori!J62</f>
        <v>0</v>
      </c>
      <c r="L6" s="89">
        <f>Piano_indicatori!K62</f>
        <v>0</v>
      </c>
    </row>
    <row r="7" spans="1:12" ht="29.25" customHeight="1" x14ac:dyDescent="0.3">
      <c r="A7" s="79" t="s">
        <v>318</v>
      </c>
      <c r="B7" s="79" t="s">
        <v>188</v>
      </c>
      <c r="C7" s="83" t="s">
        <v>189</v>
      </c>
      <c r="D7" s="92" t="s">
        <v>333</v>
      </c>
      <c r="E7" s="112">
        <f>Piano_indicatori!D64</f>
        <v>0</v>
      </c>
      <c r="F7" s="112">
        <f>Piano_indicatori!E64</f>
        <v>2E-3</v>
      </c>
      <c r="G7" s="112">
        <f>Piano_indicatori!F64</f>
        <v>0.59499999999999997</v>
      </c>
      <c r="H7" s="112">
        <f>Piano_indicatori!G64</f>
        <v>0.26300000000000001</v>
      </c>
      <c r="I7" s="112">
        <f>Piano_indicatori!H64</f>
        <v>0.109</v>
      </c>
      <c r="J7" s="112">
        <f>Piano_indicatori!I64</f>
        <v>0.19800000000000001</v>
      </c>
      <c r="K7" s="112">
        <f>Piano_indicatori!J64</f>
        <v>1.4999999999999999E-2</v>
      </c>
      <c r="L7" s="112">
        <f>Piano_indicatori!K64</f>
        <v>0.6</v>
      </c>
    </row>
    <row r="8" spans="1:12" ht="29.25" customHeight="1" x14ac:dyDescent="0.3">
      <c r="A8" s="78" t="s">
        <v>319</v>
      </c>
      <c r="B8" s="78" t="s">
        <v>323</v>
      </c>
      <c r="C8" s="82" t="s">
        <v>326</v>
      </c>
      <c r="D8" s="91" t="s">
        <v>334</v>
      </c>
      <c r="E8" s="116">
        <f>Piano_indicatori!D65+Piano_indicatori!D66</f>
        <v>0</v>
      </c>
      <c r="F8" s="116">
        <f>Piano_indicatori!E65+Piano_indicatori!E66</f>
        <v>0</v>
      </c>
      <c r="G8" s="116">
        <f>Piano_indicatori!F65+Piano_indicatori!F66</f>
        <v>0</v>
      </c>
      <c r="H8" s="116">
        <f>Piano_indicatori!G65+Piano_indicatori!G66</f>
        <v>9.0000000000000011E-3</v>
      </c>
      <c r="I8" s="116">
        <f>Piano_indicatori!H65+Piano_indicatori!H66</f>
        <v>0</v>
      </c>
      <c r="J8" s="116">
        <f>Piano_indicatori!I65+Piano_indicatori!I66</f>
        <v>0</v>
      </c>
      <c r="K8" s="116">
        <f>Piano_indicatori!J65+Piano_indicatori!J66</f>
        <v>0</v>
      </c>
      <c r="L8" s="116">
        <f>Piano_indicatori!K65+Piano_indicatori!K66</f>
        <v>0</v>
      </c>
    </row>
    <row r="9" spans="1:12" ht="29.25" customHeight="1" x14ac:dyDescent="0.3">
      <c r="A9" s="79" t="s">
        <v>320</v>
      </c>
      <c r="B9" s="79"/>
      <c r="C9" s="84" t="s">
        <v>327</v>
      </c>
      <c r="D9" s="93" t="s">
        <v>335</v>
      </c>
      <c r="E9" s="90">
        <f>Piano_indicatori!D76</f>
        <v>66.834973501506283</v>
      </c>
      <c r="F9" s="90">
        <f>Piano_indicatori!E76</f>
        <v>70.865391861671256</v>
      </c>
      <c r="G9" s="90">
        <f>Piano_indicatori!F76</f>
        <v>67.77</v>
      </c>
      <c r="H9" s="90">
        <f>Piano_indicatori!G76</f>
        <v>71.206047011502164</v>
      </c>
      <c r="I9" s="90">
        <f>Piano_indicatori!H76</f>
        <v>69.89382440645187</v>
      </c>
      <c r="J9" s="90">
        <f>Piano_indicatori!I76</f>
        <v>71.702297883585956</v>
      </c>
      <c r="K9" s="90">
        <f>Piano_indicatori!J76</f>
        <v>72.093435716397053</v>
      </c>
      <c r="L9" s="90">
        <f>Piano_indicatori!K76</f>
        <v>65.824072975289965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3" max="3" width="9.109375" bestFit="1" customWidth="1"/>
    <col min="5" max="6" width="10" customWidth="1"/>
    <col min="7" max="7" width="7.33203125" bestFit="1" customWidth="1"/>
  </cols>
  <sheetData>
    <row r="1" spans="1:19" ht="43.2" x14ac:dyDescent="0.3">
      <c r="A1" s="102" t="s">
        <v>336</v>
      </c>
      <c r="B1" s="102" t="s">
        <v>337</v>
      </c>
      <c r="C1" s="102" t="s">
        <v>352</v>
      </c>
      <c r="D1" s="102" t="s">
        <v>353</v>
      </c>
      <c r="E1" s="102" t="s">
        <v>354</v>
      </c>
      <c r="F1" s="102" t="s">
        <v>366</v>
      </c>
      <c r="G1" s="102" t="s">
        <v>355</v>
      </c>
    </row>
    <row r="2" spans="1:19" x14ac:dyDescent="0.3">
      <c r="A2">
        <v>2024</v>
      </c>
      <c r="B2" s="1">
        <v>390518</v>
      </c>
      <c r="C2" s="1">
        <v>1018346</v>
      </c>
    </row>
    <row r="3" spans="1:19" x14ac:dyDescent="0.3">
      <c r="A3">
        <v>2023</v>
      </c>
      <c r="B3" s="1">
        <v>389200</v>
      </c>
      <c r="C3" s="1">
        <v>1014124</v>
      </c>
      <c r="D3" s="1">
        <v>-1922</v>
      </c>
      <c r="E3" s="1">
        <f>657+2583</f>
        <v>3240</v>
      </c>
      <c r="G3" s="1">
        <f t="shared" ref="G3:G5" si="0">B2-B3-D3-E3-F3</f>
        <v>0</v>
      </c>
    </row>
    <row r="4" spans="1:19" x14ac:dyDescent="0.3">
      <c r="A4">
        <v>2022</v>
      </c>
      <c r="B4" s="1">
        <v>387842</v>
      </c>
      <c r="C4" s="1">
        <v>1010812</v>
      </c>
      <c r="D4" s="1">
        <v>-2226</v>
      </c>
      <c r="E4" s="1">
        <f>1111+2577</f>
        <v>3688</v>
      </c>
      <c r="F4" s="1">
        <v>-104</v>
      </c>
      <c r="G4" s="1">
        <f t="shared" si="0"/>
        <v>0</v>
      </c>
    </row>
    <row r="5" spans="1:19" x14ac:dyDescent="0.3">
      <c r="A5">
        <v>2021</v>
      </c>
      <c r="B5" s="1">
        <v>391686</v>
      </c>
      <c r="C5" s="1">
        <v>1015608</v>
      </c>
      <c r="D5" s="1">
        <v>-2068</v>
      </c>
      <c r="E5" s="1">
        <v>2444</v>
      </c>
      <c r="F5" s="1">
        <v>-4220</v>
      </c>
      <c r="G5" s="1">
        <f t="shared" si="0"/>
        <v>0</v>
      </c>
    </row>
    <row r="6" spans="1:19" x14ac:dyDescent="0.3">
      <c r="A6">
        <v>2020</v>
      </c>
      <c r="B6" s="1">
        <v>395416</v>
      </c>
      <c r="C6" s="1">
        <v>1021501</v>
      </c>
      <c r="D6" s="1">
        <v>-2396</v>
      </c>
      <c r="E6" s="1">
        <v>2392</v>
      </c>
      <c r="F6" s="1">
        <v>-3726</v>
      </c>
      <c r="G6" s="1">
        <f>B5-B6-D6-E6-F6</f>
        <v>0</v>
      </c>
    </row>
    <row r="7" spans="1:19" x14ac:dyDescent="0.3">
      <c r="A7">
        <v>2019</v>
      </c>
      <c r="B7" s="1">
        <v>393248</v>
      </c>
      <c r="C7" s="1">
        <v>1017551</v>
      </c>
      <c r="D7" s="1">
        <v>-1686</v>
      </c>
      <c r="E7" s="1">
        <v>2509</v>
      </c>
      <c r="F7" s="1">
        <v>1345</v>
      </c>
      <c r="G7" s="1">
        <f t="shared" ref="G7:G11" si="1">B6-B7-D7-E7-F7</f>
        <v>0</v>
      </c>
    </row>
    <row r="8" spans="1:19" x14ac:dyDescent="0.3">
      <c r="A8">
        <v>2018</v>
      </c>
      <c r="B8" s="1">
        <v>390956</v>
      </c>
      <c r="C8" s="1">
        <v>1012550</v>
      </c>
      <c r="D8" s="1">
        <v>-1542</v>
      </c>
      <c r="E8" s="1">
        <v>3834</v>
      </c>
      <c r="F8" s="1"/>
      <c r="G8" s="1">
        <f t="shared" si="1"/>
        <v>0</v>
      </c>
      <c r="J8" s="113"/>
      <c r="K8" s="114"/>
      <c r="L8" s="114"/>
      <c r="M8" s="114"/>
      <c r="N8" s="114"/>
      <c r="O8" s="114"/>
      <c r="P8" s="114"/>
      <c r="Q8" s="114"/>
      <c r="R8" s="114"/>
      <c r="S8" s="114"/>
    </row>
    <row r="9" spans="1:19" x14ac:dyDescent="0.3">
      <c r="A9">
        <v>2017</v>
      </c>
      <c r="B9" s="1">
        <v>389819</v>
      </c>
      <c r="C9" s="1">
        <v>1009831</v>
      </c>
      <c r="D9" s="1">
        <v>-1758</v>
      </c>
      <c r="E9" s="1">
        <v>2895</v>
      </c>
      <c r="F9" s="1"/>
      <c r="G9" s="1">
        <f t="shared" si="1"/>
        <v>0</v>
      </c>
      <c r="J9" s="113"/>
      <c r="K9" s="114"/>
      <c r="L9" s="114"/>
      <c r="M9" s="114"/>
      <c r="N9" s="114"/>
      <c r="O9" s="114"/>
      <c r="P9" s="114"/>
      <c r="Q9" s="114"/>
      <c r="R9" s="114"/>
      <c r="S9" s="114"/>
    </row>
    <row r="10" spans="1:19" x14ac:dyDescent="0.3">
      <c r="A10">
        <v>2016</v>
      </c>
      <c r="B10" s="1">
        <v>387025</v>
      </c>
      <c r="C10" s="1">
        <v>1005022</v>
      </c>
      <c r="D10" s="1">
        <v>-1540</v>
      </c>
      <c r="E10" s="1">
        <v>4334</v>
      </c>
      <c r="F10" s="1"/>
      <c r="G10" s="1">
        <f t="shared" si="1"/>
        <v>0</v>
      </c>
      <c r="J10" s="113"/>
      <c r="K10" s="114"/>
      <c r="L10" s="114"/>
      <c r="M10" s="114"/>
      <c r="N10" s="114"/>
      <c r="O10" s="114"/>
      <c r="P10" s="114"/>
      <c r="Q10" s="114"/>
      <c r="R10" s="114"/>
      <c r="S10" s="114"/>
    </row>
    <row r="11" spans="1:19" x14ac:dyDescent="0.3">
      <c r="A11">
        <v>2015</v>
      </c>
      <c r="B11" s="1">
        <v>385190</v>
      </c>
      <c r="C11" s="1">
        <v>1002098</v>
      </c>
      <c r="D11" s="1">
        <v>-1837</v>
      </c>
      <c r="E11" s="1">
        <v>3672</v>
      </c>
      <c r="F11" s="1"/>
      <c r="G11" s="1">
        <f t="shared" si="1"/>
        <v>0</v>
      </c>
      <c r="J11" s="113"/>
      <c r="K11" s="114"/>
      <c r="L11" s="114"/>
      <c r="M11" s="114"/>
      <c r="N11" s="114"/>
      <c r="O11" s="114"/>
      <c r="P11" s="114"/>
      <c r="Q11" s="114"/>
      <c r="R11" s="114"/>
      <c r="S11" s="114"/>
    </row>
    <row r="32" spans="2:6" x14ac:dyDescent="0.3">
      <c r="B32" s="115"/>
      <c r="C32" s="113"/>
      <c r="D32" s="113"/>
      <c r="E32" s="113"/>
      <c r="F32" s="113"/>
    </row>
    <row r="33" spans="2:6" x14ac:dyDescent="0.3">
      <c r="B33" s="115"/>
      <c r="C33" s="113"/>
      <c r="D33" s="113"/>
      <c r="E33" s="113"/>
      <c r="F33" s="113"/>
    </row>
    <row r="34" spans="2:6" x14ac:dyDescent="0.3">
      <c r="B34" s="115"/>
      <c r="C34" s="113"/>
      <c r="D34" s="113"/>
      <c r="E34" s="113"/>
      <c r="F34" s="113"/>
    </row>
    <row r="35" spans="2:6" x14ac:dyDescent="0.3">
      <c r="B35" s="115"/>
      <c r="C35" s="113"/>
      <c r="D35" s="113"/>
      <c r="E35" s="113"/>
      <c r="F35" s="113"/>
    </row>
    <row r="36" spans="2:6" x14ac:dyDescent="0.3">
      <c r="B36" s="115"/>
      <c r="C36" s="113"/>
      <c r="D36" s="113"/>
      <c r="E36" s="113"/>
      <c r="F36" s="113"/>
    </row>
    <row r="37" spans="2:6" x14ac:dyDescent="0.3">
      <c r="B37" s="115"/>
      <c r="C37" s="113"/>
      <c r="D37" s="113"/>
      <c r="E37" s="113"/>
      <c r="F37" s="113"/>
    </row>
    <row r="38" spans="2:6" x14ac:dyDescent="0.3">
      <c r="B38" s="115"/>
      <c r="C38" s="113"/>
      <c r="D38" s="113"/>
      <c r="E38" s="113"/>
      <c r="F38" s="113"/>
    </row>
    <row r="39" spans="2:6" x14ac:dyDescent="0.3">
      <c r="B39" s="115"/>
      <c r="C39" s="113"/>
      <c r="D39" s="113"/>
      <c r="E39" s="113"/>
      <c r="F39" s="113"/>
    </row>
    <row r="40" spans="2:6" x14ac:dyDescent="0.3">
      <c r="B40" s="115"/>
      <c r="C40" s="113"/>
      <c r="D40" s="113"/>
      <c r="E40" s="113"/>
      <c r="F40" s="113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pane xSplit="1" topLeftCell="D1" activePane="topRight" state="frozen"/>
      <selection pane="topRight" activeCell="M11" sqref="M11"/>
    </sheetView>
  </sheetViews>
  <sheetFormatPr defaultRowHeight="14.4" x14ac:dyDescent="0.3"/>
  <cols>
    <col min="1" max="1" width="55.6640625" bestFit="1" customWidth="1"/>
    <col min="2" max="8" width="12.44140625" bestFit="1" customWidth="1"/>
    <col min="9" max="9" width="14.109375" bestFit="1" customWidth="1"/>
    <col min="10" max="10" width="8.33203125" bestFit="1" customWidth="1"/>
    <col min="11" max="11" width="6.5546875" bestFit="1" customWidth="1"/>
    <col min="12" max="12" width="12.5546875" bestFit="1" customWidth="1"/>
    <col min="13" max="13" width="7" bestFit="1" customWidth="1"/>
  </cols>
  <sheetData>
    <row r="1" spans="1:13" ht="28.8" x14ac:dyDescent="0.3">
      <c r="A1" s="44"/>
      <c r="B1" s="45">
        <v>2016</v>
      </c>
      <c r="C1" s="45">
        <v>2017</v>
      </c>
      <c r="D1" s="45">
        <v>2018</v>
      </c>
      <c r="E1" s="45">
        <v>2019</v>
      </c>
      <c r="F1" s="45">
        <v>2020</v>
      </c>
      <c r="G1" s="45">
        <v>2021</v>
      </c>
      <c r="H1" s="45">
        <v>2022</v>
      </c>
      <c r="I1" s="45">
        <v>2023</v>
      </c>
      <c r="J1" s="57" t="s">
        <v>297</v>
      </c>
      <c r="K1" s="45" t="s">
        <v>233</v>
      </c>
      <c r="L1" s="57" t="s">
        <v>387</v>
      </c>
      <c r="M1" s="45" t="s">
        <v>269</v>
      </c>
    </row>
    <row r="2" spans="1:13" x14ac:dyDescent="0.3">
      <c r="A2" s="58" t="s">
        <v>20</v>
      </c>
      <c r="B2" s="59">
        <f>Entrate_Uscite!B3</f>
        <v>364856302.51999998</v>
      </c>
      <c r="C2" s="59">
        <f>Entrate_Uscite!E3</f>
        <v>373185905.60000002</v>
      </c>
      <c r="D2" s="59">
        <f>Entrate_Uscite!H3</f>
        <v>396982448.98000002</v>
      </c>
      <c r="E2" s="59">
        <f>Entrate_Uscite!K3</f>
        <v>393326007.86000001</v>
      </c>
      <c r="F2" s="59">
        <f>Entrate_Uscite!N3</f>
        <v>364200509.19999999</v>
      </c>
      <c r="G2" s="59">
        <f>Entrate_Uscite!Q3</f>
        <v>373543845.22000003</v>
      </c>
      <c r="H2" s="59">
        <f>Entrate_Uscite!T3</f>
        <v>385816037.56999999</v>
      </c>
      <c r="I2" s="59">
        <f>Entrate_Uscite!W3</f>
        <v>399952375.32999998</v>
      </c>
      <c r="J2" s="59">
        <f t="shared" ref="J2:J18" si="0">I2/I$21*100</f>
        <v>42.045754004080813</v>
      </c>
      <c r="K2" s="60">
        <f>IF(H2&gt;0,I2/H2*100-100,"-")</f>
        <v>3.6640098864306907</v>
      </c>
      <c r="L2" s="59">
        <f>Entrate_Uscite!X3</f>
        <v>361789721.89999998</v>
      </c>
      <c r="M2" s="61">
        <f t="shared" ref="M2:M21" si="1">IF(I2&gt;0,L2/I2*100,"-")</f>
        <v>90.458200579878522</v>
      </c>
    </row>
    <row r="3" spans="1:13" x14ac:dyDescent="0.3">
      <c r="A3" s="58" t="s">
        <v>21</v>
      </c>
      <c r="B3" s="59">
        <f>Entrate_Uscite!B4</f>
        <v>48202796.109999999</v>
      </c>
      <c r="C3" s="59">
        <f>Entrate_Uscite!E4</f>
        <v>46192609.130000003</v>
      </c>
      <c r="D3" s="59">
        <f>Entrate_Uscite!H4</f>
        <v>58212614.119999997</v>
      </c>
      <c r="E3" s="59">
        <f>Entrate_Uscite!K4</f>
        <v>65012650.340000004</v>
      </c>
      <c r="F3" s="59">
        <f>Entrate_Uscite!N4</f>
        <v>144397985.97</v>
      </c>
      <c r="G3" s="59">
        <f>Entrate_Uscite!Q4</f>
        <v>122720899.43000001</v>
      </c>
      <c r="H3" s="59">
        <f>Entrate_Uscite!T4</f>
        <v>116950954.26000001</v>
      </c>
      <c r="I3" s="59">
        <f>Entrate_Uscite!W4</f>
        <v>169132324.56999999</v>
      </c>
      <c r="J3" s="59">
        <f t="shared" si="0"/>
        <v>17.780357241636722</v>
      </c>
      <c r="K3" s="60">
        <f t="shared" ref="K3:K21" si="2">IF(H3&gt;0,I3/H3*100-100,"-")</f>
        <v>44.618165486698587</v>
      </c>
      <c r="L3" s="59">
        <f>Entrate_Uscite!X4</f>
        <v>94958387.620000005</v>
      </c>
      <c r="M3" s="61">
        <f t="shared" si="1"/>
        <v>56.144434756289826</v>
      </c>
    </row>
    <row r="4" spans="1:13" x14ac:dyDescent="0.3">
      <c r="A4" s="58" t="s">
        <v>22</v>
      </c>
      <c r="B4" s="59">
        <f>Entrate_Uscite!B5</f>
        <v>132114435.53</v>
      </c>
      <c r="C4" s="59">
        <f>Entrate_Uscite!E5</f>
        <v>155407960.80000001</v>
      </c>
      <c r="D4" s="59">
        <f>Entrate_Uscite!H5</f>
        <v>160595134.21000001</v>
      </c>
      <c r="E4" s="59">
        <f>Entrate_Uscite!K5</f>
        <v>177519934.66</v>
      </c>
      <c r="F4" s="59">
        <f>Entrate_Uscite!N5</f>
        <v>126391180.98999999</v>
      </c>
      <c r="G4" s="59">
        <f>Entrate_Uscite!Q5</f>
        <v>139935456.03999999</v>
      </c>
      <c r="H4" s="59">
        <f>Entrate_Uscite!T5</f>
        <v>165977907.66</v>
      </c>
      <c r="I4" s="59">
        <f>Entrate_Uscite!W5</f>
        <v>172536459.46000001</v>
      </c>
      <c r="J4" s="59">
        <f t="shared" si="0"/>
        <v>18.138223395234519</v>
      </c>
      <c r="K4" s="60">
        <f t="shared" si="2"/>
        <v>3.9514607048999295</v>
      </c>
      <c r="L4" s="59">
        <f>Entrate_Uscite!X5</f>
        <v>127827905.92</v>
      </c>
      <c r="M4" s="61">
        <f t="shared" si="1"/>
        <v>74.087474798122301</v>
      </c>
    </row>
    <row r="5" spans="1:13" x14ac:dyDescent="0.3">
      <c r="A5" s="4" t="s">
        <v>31</v>
      </c>
      <c r="B5" s="46">
        <f>SUM(B2:B4)</f>
        <v>545173534.15999997</v>
      </c>
      <c r="C5" s="46">
        <f>SUM(C2:C4)</f>
        <v>574786475.52999997</v>
      </c>
      <c r="D5" s="46">
        <f>SUM(D2:D4)</f>
        <v>615790197.31000006</v>
      </c>
      <c r="E5" s="46">
        <f t="shared" ref="E5:I5" si="3">SUM(E2:E4)</f>
        <v>635858592.86000001</v>
      </c>
      <c r="F5" s="46">
        <f t="shared" si="3"/>
        <v>634989676.15999997</v>
      </c>
      <c r="G5" s="46">
        <f t="shared" ref="G5:H5" si="4">SUM(G2:G4)</f>
        <v>636200200.69000006</v>
      </c>
      <c r="H5" s="46">
        <f t="shared" si="4"/>
        <v>668744899.49000001</v>
      </c>
      <c r="I5" s="46">
        <f t="shared" si="3"/>
        <v>741621159.36000001</v>
      </c>
      <c r="J5" s="46">
        <f t="shared" si="0"/>
        <v>77.96433464095206</v>
      </c>
      <c r="K5" s="47">
        <f t="shared" si="2"/>
        <v>10.897467767690955</v>
      </c>
      <c r="L5" s="46">
        <f>SUM(L2:L4)</f>
        <v>584576015.43999994</v>
      </c>
      <c r="M5" s="48">
        <f t="shared" si="1"/>
        <v>78.824074537527224</v>
      </c>
    </row>
    <row r="6" spans="1:13" x14ac:dyDescent="0.3">
      <c r="A6" s="58" t="s">
        <v>23</v>
      </c>
      <c r="B6" s="59">
        <f>Entrate_Uscite!B6</f>
        <v>0</v>
      </c>
      <c r="C6" s="59">
        <f>Entrate_Uscite!E6</f>
        <v>0</v>
      </c>
      <c r="D6" s="59">
        <f>Entrate_Uscite!H6</f>
        <v>0</v>
      </c>
      <c r="E6" s="59">
        <f>Entrate_Uscite!K6</f>
        <v>0</v>
      </c>
      <c r="F6" s="59">
        <f>Entrate_Uscite!N6</f>
        <v>0</v>
      </c>
      <c r="G6" s="59">
        <f>Entrate_Uscite!Q6</f>
        <v>0</v>
      </c>
      <c r="H6" s="59">
        <f>Entrate_Uscite!T6</f>
        <v>0</v>
      </c>
      <c r="I6" s="59">
        <f>Entrate_Uscite!W6</f>
        <v>0</v>
      </c>
      <c r="J6" s="59">
        <f t="shared" si="0"/>
        <v>0</v>
      </c>
      <c r="K6" s="60" t="str">
        <f t="shared" si="2"/>
        <v>-</v>
      </c>
      <c r="L6" s="59">
        <f>Entrate_Uscite!X6</f>
        <v>0</v>
      </c>
      <c r="M6" s="61" t="str">
        <f t="shared" si="1"/>
        <v>-</v>
      </c>
    </row>
    <row r="7" spans="1:13" x14ac:dyDescent="0.3">
      <c r="A7" s="58" t="s">
        <v>24</v>
      </c>
      <c r="B7" s="59">
        <f>Entrate_Uscite!B7</f>
        <v>4200179.26</v>
      </c>
      <c r="C7" s="59">
        <f>Entrate_Uscite!E7</f>
        <v>18306944.52</v>
      </c>
      <c r="D7" s="59">
        <f>Entrate_Uscite!H7</f>
        <v>13209382.24</v>
      </c>
      <c r="E7" s="59">
        <f>Entrate_Uscite!K7</f>
        <v>23861657.77</v>
      </c>
      <c r="F7" s="59">
        <f>Entrate_Uscite!N7</f>
        <v>10006746.02</v>
      </c>
      <c r="G7" s="59">
        <f>Entrate_Uscite!Q7</f>
        <v>13042054.039999999</v>
      </c>
      <c r="H7" s="59">
        <f>Entrate_Uscite!T7</f>
        <v>70660603.200000003</v>
      </c>
      <c r="I7" s="59">
        <f>Entrate_Uscite!W7</f>
        <v>155763983.69</v>
      </c>
      <c r="J7" s="59">
        <f t="shared" si="0"/>
        <v>16.37498498545396</v>
      </c>
      <c r="K7" s="60">
        <f t="shared" si="2"/>
        <v>120.4396461902833</v>
      </c>
      <c r="L7" s="59">
        <f>Entrate_Uscite!X7</f>
        <v>43826377.909999996</v>
      </c>
      <c r="M7" s="61">
        <f t="shared" si="1"/>
        <v>28.136400258754833</v>
      </c>
    </row>
    <row r="8" spans="1:13" x14ac:dyDescent="0.3">
      <c r="A8" s="58" t="s">
        <v>25</v>
      </c>
      <c r="B8" s="59">
        <f>Entrate_Uscite!B8</f>
        <v>0</v>
      </c>
      <c r="C8" s="59">
        <f>Entrate_Uscite!E8</f>
        <v>67297.539999999994</v>
      </c>
      <c r="D8" s="59">
        <f>Entrate_Uscite!H8</f>
        <v>871788</v>
      </c>
      <c r="E8" s="59">
        <f>Entrate_Uscite!K8</f>
        <v>145117.44</v>
      </c>
      <c r="F8" s="59">
        <f>Entrate_Uscite!N8</f>
        <v>79593.63</v>
      </c>
      <c r="G8" s="59">
        <f>Entrate_Uscite!Q8</f>
        <v>83809.119999999995</v>
      </c>
      <c r="H8" s="59">
        <f>Entrate_Uscite!T8</f>
        <v>0</v>
      </c>
      <c r="I8" s="59">
        <f>Entrate_Uscite!W8</f>
        <v>0</v>
      </c>
      <c r="J8" s="59">
        <f t="shared" si="0"/>
        <v>0</v>
      </c>
      <c r="K8" s="60" t="str">
        <f t="shared" si="2"/>
        <v>-</v>
      </c>
      <c r="L8" s="59">
        <f>Entrate_Uscite!X8</f>
        <v>0</v>
      </c>
      <c r="M8" s="61" t="str">
        <f t="shared" si="1"/>
        <v>-</v>
      </c>
    </row>
    <row r="9" spans="1:13" x14ac:dyDescent="0.3">
      <c r="A9" s="58" t="s">
        <v>26</v>
      </c>
      <c r="B9" s="59">
        <f>Entrate_Uscite!B9</f>
        <v>7255831.9199999999</v>
      </c>
      <c r="C9" s="59">
        <f>Entrate_Uscite!E9</f>
        <v>10708375.07</v>
      </c>
      <c r="D9" s="59">
        <f>Entrate_Uscite!H9</f>
        <v>11636481.449999999</v>
      </c>
      <c r="E9" s="59">
        <f>Entrate_Uscite!K9</f>
        <v>9108647.0299999993</v>
      </c>
      <c r="F9" s="59">
        <f>Entrate_Uscite!N9</f>
        <v>7169293.9000000004</v>
      </c>
      <c r="G9" s="59">
        <f>Entrate_Uscite!Q9</f>
        <v>12865187.800000001</v>
      </c>
      <c r="H9" s="59">
        <f>Entrate_Uscite!T9</f>
        <v>5157192.7300000004</v>
      </c>
      <c r="I9" s="59">
        <f>Entrate_Uscite!W9</f>
        <v>8120827.2000000002</v>
      </c>
      <c r="J9" s="59">
        <f t="shared" si="0"/>
        <v>0.85371740192597101</v>
      </c>
      <c r="K9" s="60">
        <f t="shared" si="2"/>
        <v>57.466040637965449</v>
      </c>
      <c r="L9" s="59">
        <f>Entrate_Uscite!X9</f>
        <v>8120827.2000000002</v>
      </c>
      <c r="M9" s="61">
        <f t="shared" si="1"/>
        <v>100</v>
      </c>
    </row>
    <row r="10" spans="1:13" x14ac:dyDescent="0.3">
      <c r="A10" s="58" t="s">
        <v>27</v>
      </c>
      <c r="B10" s="59">
        <f>Entrate_Uscite!B10</f>
        <v>9628997.5700000003</v>
      </c>
      <c r="C10" s="59">
        <f>Entrate_Uscite!E10</f>
        <v>12537883.060000001</v>
      </c>
      <c r="D10" s="59">
        <f>Entrate_Uscite!H10</f>
        <v>11788542.609999999</v>
      </c>
      <c r="E10" s="59">
        <f>Entrate_Uscite!K10</f>
        <v>16487130</v>
      </c>
      <c r="F10" s="59">
        <f>Entrate_Uscite!N10</f>
        <v>14642503.050000001</v>
      </c>
      <c r="G10" s="59">
        <f>Entrate_Uscite!Q10</f>
        <v>20285083.859999999</v>
      </c>
      <c r="H10" s="59">
        <f>Entrate_Uscite!T10</f>
        <v>21321645.420000002</v>
      </c>
      <c r="I10" s="59">
        <f>Entrate_Uscite!W10</f>
        <v>9018035.6999999993</v>
      </c>
      <c r="J10" s="59">
        <f t="shared" si="0"/>
        <v>0.94803815161584215</v>
      </c>
      <c r="K10" s="60">
        <f t="shared" si="2"/>
        <v>-57.704785337341015</v>
      </c>
      <c r="L10" s="59">
        <f>Entrate_Uscite!X10</f>
        <v>8985917.3100000005</v>
      </c>
      <c r="M10" s="61">
        <f t="shared" si="1"/>
        <v>99.643842727302584</v>
      </c>
    </row>
    <row r="11" spans="1:13" x14ac:dyDescent="0.3">
      <c r="A11" s="4" t="s">
        <v>32</v>
      </c>
      <c r="B11" s="49">
        <f>SUM(B6:B10)</f>
        <v>21085008.75</v>
      </c>
      <c r="C11" s="49">
        <f>SUM(C6:C10)</f>
        <v>41620500.189999998</v>
      </c>
      <c r="D11" s="49">
        <f>SUM(D6:D10)</f>
        <v>37506194.299999997</v>
      </c>
      <c r="E11" s="49">
        <f t="shared" ref="E11:I11" si="5">SUM(E6:E10)</f>
        <v>49602552.240000002</v>
      </c>
      <c r="F11" s="49">
        <f t="shared" si="5"/>
        <v>31898136.600000001</v>
      </c>
      <c r="G11" s="49">
        <f t="shared" ref="G11:H11" si="6">SUM(G6:G10)</f>
        <v>46276134.82</v>
      </c>
      <c r="H11" s="49">
        <f t="shared" si="6"/>
        <v>97139441.350000009</v>
      </c>
      <c r="I11" s="49">
        <f t="shared" si="5"/>
        <v>172902846.58999997</v>
      </c>
      <c r="J11" s="49">
        <f t="shared" si="0"/>
        <v>18.176740538995769</v>
      </c>
      <c r="K11" s="47">
        <f t="shared" si="2"/>
        <v>77.994483174984794</v>
      </c>
      <c r="L11" s="49">
        <f>SUM(L6:L10)</f>
        <v>60933122.420000002</v>
      </c>
      <c r="M11" s="48">
        <f t="shared" si="1"/>
        <v>35.24124884102639</v>
      </c>
    </row>
    <row r="12" spans="1:13" x14ac:dyDescent="0.3">
      <c r="A12" s="58" t="s">
        <v>28</v>
      </c>
      <c r="B12" s="59">
        <f>Entrate_Uscite!B11</f>
        <v>2875</v>
      </c>
      <c r="C12" s="59">
        <f>Entrate_Uscite!E11</f>
        <v>714565.57</v>
      </c>
      <c r="D12" s="59">
        <f>Entrate_Uscite!H11</f>
        <v>7426498.2000000002</v>
      </c>
      <c r="E12" s="59">
        <f>Entrate_Uscite!K11</f>
        <v>33202853.09</v>
      </c>
      <c r="F12" s="59">
        <f>Entrate_Uscite!N11</f>
        <v>24699550.640000001</v>
      </c>
      <c r="G12" s="59">
        <f>Entrate_Uscite!Q11</f>
        <v>0</v>
      </c>
      <c r="H12" s="59">
        <f>Entrate_Uscite!T11</f>
        <v>0</v>
      </c>
      <c r="I12" s="59">
        <f>Entrate_Uscite!W11</f>
        <v>0</v>
      </c>
      <c r="J12" s="59">
        <f t="shared" si="0"/>
        <v>0</v>
      </c>
      <c r="K12" s="60" t="str">
        <f t="shared" si="2"/>
        <v>-</v>
      </c>
      <c r="L12" s="59">
        <f>Entrate_Uscite!X11</f>
        <v>0</v>
      </c>
      <c r="M12" s="61" t="str">
        <f t="shared" si="1"/>
        <v>-</v>
      </c>
    </row>
    <row r="13" spans="1:13" x14ac:dyDescent="0.3">
      <c r="A13" s="58" t="s">
        <v>29</v>
      </c>
      <c r="B13" s="59">
        <f>Entrate_Uscite!B12</f>
        <v>0</v>
      </c>
      <c r="C13" s="59">
        <f>Entrate_Uscite!E12</f>
        <v>0</v>
      </c>
      <c r="D13" s="59">
        <f>Entrate_Uscite!H12</f>
        <v>0</v>
      </c>
      <c r="E13" s="59">
        <f>Entrate_Uscite!K12</f>
        <v>0</v>
      </c>
      <c r="F13" s="59">
        <f>Entrate_Uscite!N12</f>
        <v>0</v>
      </c>
      <c r="G13" s="59">
        <f>Entrate_Uscite!Q12</f>
        <v>0</v>
      </c>
      <c r="H13" s="59">
        <f>Entrate_Uscite!T12</f>
        <v>0</v>
      </c>
      <c r="I13" s="59">
        <f>Entrate_Uscite!W12</f>
        <v>2000000</v>
      </c>
      <c r="J13" s="59">
        <f t="shared" si="0"/>
        <v>0.21025380319038708</v>
      </c>
      <c r="K13" s="60" t="str">
        <f t="shared" si="2"/>
        <v>-</v>
      </c>
      <c r="L13" s="59">
        <f>Entrate_Uscite!X12</f>
        <v>2000000</v>
      </c>
      <c r="M13" s="61">
        <f t="shared" si="1"/>
        <v>100</v>
      </c>
    </row>
    <row r="14" spans="1:13" x14ac:dyDescent="0.3">
      <c r="A14" s="58" t="s">
        <v>30</v>
      </c>
      <c r="B14" s="59">
        <f>Entrate_Uscite!B13</f>
        <v>24021380.579999998</v>
      </c>
      <c r="C14" s="59">
        <f>Entrate_Uscite!E13</f>
        <v>15016529.92</v>
      </c>
      <c r="D14" s="59">
        <f>Entrate_Uscite!H13</f>
        <v>3319293.5</v>
      </c>
      <c r="E14" s="59">
        <f>Entrate_Uscite!K13</f>
        <v>217850.45</v>
      </c>
      <c r="F14" s="59">
        <f>Entrate_Uscite!N13</f>
        <v>1546684.87</v>
      </c>
      <c r="G14" s="59">
        <f>Entrate_Uscite!Q13</f>
        <v>28161002.469999999</v>
      </c>
      <c r="H14" s="59">
        <f>Entrate_Uscite!T13</f>
        <v>4152835.6</v>
      </c>
      <c r="I14" s="59">
        <f>Entrate_Uscite!W13</f>
        <v>17357301</v>
      </c>
      <c r="J14" s="59">
        <f t="shared" si="0"/>
        <v>1.8247192741851543</v>
      </c>
      <c r="K14" s="60">
        <f t="shared" si="2"/>
        <v>317.96263256845509</v>
      </c>
      <c r="L14" s="59">
        <f>Entrate_Uscite!X13</f>
        <v>0</v>
      </c>
      <c r="M14" s="61">
        <f t="shared" si="1"/>
        <v>0</v>
      </c>
    </row>
    <row r="15" spans="1:13" x14ac:dyDescent="0.3">
      <c r="A15" s="4" t="s">
        <v>33</v>
      </c>
      <c r="B15" s="46">
        <f>SUM(B12:B14)</f>
        <v>24024255.579999998</v>
      </c>
      <c r="C15" s="46">
        <f>SUM(C12:C14)</f>
        <v>15731095.49</v>
      </c>
      <c r="D15" s="46">
        <f>SUM(D12:D14)</f>
        <v>10745791.699999999</v>
      </c>
      <c r="E15" s="46">
        <f t="shared" ref="E15:I15" si="7">SUM(E12:E14)</f>
        <v>33420703.539999999</v>
      </c>
      <c r="F15" s="46">
        <f t="shared" si="7"/>
        <v>26246235.510000002</v>
      </c>
      <c r="G15" s="46">
        <f t="shared" ref="G15:H15" si="8">SUM(G12:G14)</f>
        <v>28161002.469999999</v>
      </c>
      <c r="H15" s="46">
        <f t="shared" si="8"/>
        <v>4152835.6</v>
      </c>
      <c r="I15" s="46">
        <f t="shared" si="7"/>
        <v>19357301</v>
      </c>
      <c r="J15" s="46">
        <f t="shared" si="0"/>
        <v>2.0349730773755415</v>
      </c>
      <c r="K15" s="47">
        <f t="shared" si="2"/>
        <v>366.12249711979928</v>
      </c>
      <c r="L15" s="46">
        <f>SUM(L12:L14)</f>
        <v>2000000</v>
      </c>
      <c r="M15" s="48">
        <f t="shared" si="1"/>
        <v>10.332018911107493</v>
      </c>
    </row>
    <row r="16" spans="1:13" x14ac:dyDescent="0.3">
      <c r="A16" s="50" t="s">
        <v>348</v>
      </c>
      <c r="B16" s="51">
        <f>B5+B11+B15</f>
        <v>590282798.49000001</v>
      </c>
      <c r="C16" s="51">
        <f>C5+C11+C15</f>
        <v>632138071.21000004</v>
      </c>
      <c r="D16" s="51">
        <f>D5+D11+D15</f>
        <v>664042183.31000006</v>
      </c>
      <c r="E16" s="51">
        <f t="shared" ref="E16:I16" si="9">E5+E11+E15</f>
        <v>718881848.63999999</v>
      </c>
      <c r="F16" s="51">
        <f t="shared" ref="F16:H16" si="10">F5+F11+F15</f>
        <v>693134048.26999998</v>
      </c>
      <c r="G16" s="51">
        <f t="shared" si="10"/>
        <v>710637337.98000014</v>
      </c>
      <c r="H16" s="51">
        <f t="shared" si="10"/>
        <v>770037176.44000006</v>
      </c>
      <c r="I16" s="51">
        <f t="shared" si="9"/>
        <v>933881306.95000005</v>
      </c>
      <c r="J16" s="51">
        <f t="shared" si="0"/>
        <v>98.176048257323373</v>
      </c>
      <c r="K16" s="52">
        <f t="shared" si="2"/>
        <v>21.277431210201627</v>
      </c>
      <c r="L16" s="51">
        <f t="shared" ref="L16" si="11">L5+L11+L15</f>
        <v>647509137.8599999</v>
      </c>
      <c r="M16" s="53">
        <f t="shared" si="1"/>
        <v>69.335271307092086</v>
      </c>
    </row>
    <row r="17" spans="1:13" x14ac:dyDescent="0.3">
      <c r="A17" s="4" t="s">
        <v>34</v>
      </c>
      <c r="B17" s="46">
        <f>Entrate_Uscite!B17</f>
        <v>15108000</v>
      </c>
      <c r="C17" s="46">
        <f>Entrate_Uscite!E17</f>
        <v>9640000</v>
      </c>
      <c r="D17" s="46">
        <f>Entrate_Uscite!H17</f>
        <v>0</v>
      </c>
      <c r="E17" s="46">
        <f>Entrate_Uscite!K17</f>
        <v>0</v>
      </c>
      <c r="F17" s="46">
        <f>Entrate_Uscite!N17</f>
        <v>8870268.5700000003</v>
      </c>
      <c r="G17" s="46">
        <f>Entrate_Uscite!Q17</f>
        <v>15300000</v>
      </c>
      <c r="H17" s="46">
        <f>Entrate_Uscite!T17</f>
        <v>0</v>
      </c>
      <c r="I17" s="46">
        <f>Entrate_Uscite!W17</f>
        <v>17350000</v>
      </c>
      <c r="J17" s="46">
        <f t="shared" si="0"/>
        <v>1.8239517426766079</v>
      </c>
      <c r="K17" s="47" t="str">
        <f t="shared" si="2"/>
        <v>-</v>
      </c>
      <c r="L17" s="46">
        <f>Entrate_Uscite!X17</f>
        <v>17350000</v>
      </c>
      <c r="M17" s="48">
        <f t="shared" si="1"/>
        <v>100</v>
      </c>
    </row>
    <row r="18" spans="1:13" x14ac:dyDescent="0.3">
      <c r="A18" s="4" t="s">
        <v>35</v>
      </c>
      <c r="B18" s="46">
        <f>Entrate_Uscite!B18</f>
        <v>0</v>
      </c>
      <c r="C18" s="46">
        <f>Entrate_Uscite!E18</f>
        <v>0</v>
      </c>
      <c r="D18" s="46">
        <f>Entrate_Uscite!H18</f>
        <v>0</v>
      </c>
      <c r="E18" s="46">
        <f>Entrate_Uscite!K18</f>
        <v>0</v>
      </c>
      <c r="F18" s="46">
        <f>Entrate_Uscite!N18</f>
        <v>0</v>
      </c>
      <c r="G18" s="46">
        <f>Entrate_Uscite!Q18</f>
        <v>0</v>
      </c>
      <c r="H18" s="46">
        <f>Entrate_Uscite!T18</f>
        <v>0</v>
      </c>
      <c r="I18" s="46">
        <f>Entrate_Uscite!W18</f>
        <v>0</v>
      </c>
      <c r="J18" s="46">
        <f t="shared" si="0"/>
        <v>0</v>
      </c>
      <c r="K18" s="47" t="str">
        <f t="shared" si="2"/>
        <v>-</v>
      </c>
      <c r="L18" s="46">
        <f>Entrate_Uscite!X18</f>
        <v>0</v>
      </c>
      <c r="M18" s="48" t="str">
        <f t="shared" si="1"/>
        <v>-</v>
      </c>
    </row>
    <row r="19" spans="1:13" x14ac:dyDescent="0.3">
      <c r="A19" s="4" t="s">
        <v>36</v>
      </c>
      <c r="B19" s="46">
        <f>Entrate_Uscite!B19</f>
        <v>76963169.129999995</v>
      </c>
      <c r="C19" s="46">
        <f>Entrate_Uscite!E19</f>
        <v>91284598.870000005</v>
      </c>
      <c r="D19" s="46">
        <f>Entrate_Uscite!H19</f>
        <v>87300943.760000005</v>
      </c>
      <c r="E19" s="46">
        <f>Entrate_Uscite!K19</f>
        <v>84673977.819999993</v>
      </c>
      <c r="F19" s="46">
        <f>Entrate_Uscite!N19</f>
        <v>83767613.189999998</v>
      </c>
      <c r="G19" s="46">
        <f>Entrate_Uscite!Q19</f>
        <v>91994934.790000007</v>
      </c>
      <c r="H19" s="46">
        <f>Entrate_Uscite!T19</f>
        <v>86034717.329999998</v>
      </c>
      <c r="I19" s="46">
        <f>Entrate_Uscite!W19</f>
        <v>154536809.66</v>
      </c>
      <c r="J19" s="46"/>
      <c r="K19" s="47">
        <f t="shared" si="2"/>
        <v>79.621453357310628</v>
      </c>
      <c r="L19" s="46">
        <f>Entrate_Uscite!X19</f>
        <v>154361940.87</v>
      </c>
      <c r="M19" s="48">
        <f t="shared" si="1"/>
        <v>99.886843276767053</v>
      </c>
    </row>
    <row r="20" spans="1:13" x14ac:dyDescent="0.3">
      <c r="A20" s="50" t="s">
        <v>37</v>
      </c>
      <c r="B20" s="51">
        <f>B5+B11+B15+B17+B18+B19</f>
        <v>682353967.62</v>
      </c>
      <c r="C20" s="51">
        <f>C5+C11+C15+C17+C18+C19</f>
        <v>733062670.08000004</v>
      </c>
      <c r="D20" s="51">
        <f>D5+D11+D15+D17+D18+D19</f>
        <v>751343127.07000005</v>
      </c>
      <c r="E20" s="51">
        <f t="shared" ref="E20:I20" si="12">E5+E11+E15+E17+E18+E19</f>
        <v>803555826.46000004</v>
      </c>
      <c r="F20" s="51">
        <f t="shared" si="12"/>
        <v>785771930.02999997</v>
      </c>
      <c r="G20" s="51">
        <f t="shared" ref="G20:H20" si="13">G5+G11+G15+G17+G18+G19</f>
        <v>817932272.7700001</v>
      </c>
      <c r="H20" s="51">
        <f t="shared" si="13"/>
        <v>856071893.7700001</v>
      </c>
      <c r="I20" s="51">
        <f t="shared" si="12"/>
        <v>1105768116.6100001</v>
      </c>
      <c r="J20" s="51"/>
      <c r="K20" s="52">
        <f t="shared" si="2"/>
        <v>29.167669754975719</v>
      </c>
      <c r="L20" s="51">
        <f>L5+L11+L15+L17+L18+L19</f>
        <v>819221078.7299999</v>
      </c>
      <c r="M20" s="53">
        <f t="shared" si="1"/>
        <v>74.086154811690577</v>
      </c>
    </row>
    <row r="21" spans="1:13" x14ac:dyDescent="0.3">
      <c r="A21" s="41" t="s">
        <v>38</v>
      </c>
      <c r="B21" s="54">
        <f>B20-B19</f>
        <v>605390798.49000001</v>
      </c>
      <c r="C21" s="54">
        <f>C20-C19</f>
        <v>641778071.21000004</v>
      </c>
      <c r="D21" s="54">
        <f>D20-D19</f>
        <v>664042183.31000006</v>
      </c>
      <c r="E21" s="54">
        <f t="shared" ref="E21:I21" si="14">E20-E19</f>
        <v>718881848.6400001</v>
      </c>
      <c r="F21" s="54">
        <f t="shared" si="14"/>
        <v>702004316.83999991</v>
      </c>
      <c r="G21" s="54">
        <f t="shared" ref="G21:H21" si="15">G20-G19</f>
        <v>725937337.98000014</v>
      </c>
      <c r="H21" s="54">
        <f t="shared" si="15"/>
        <v>770037176.44000006</v>
      </c>
      <c r="I21" s="54">
        <f t="shared" si="14"/>
        <v>951231306.95000017</v>
      </c>
      <c r="J21" s="54">
        <f>I21/I$21*100</f>
        <v>100</v>
      </c>
      <c r="K21" s="55">
        <f t="shared" si="2"/>
        <v>23.530569179489277</v>
      </c>
      <c r="L21" s="54">
        <f>L20-L19</f>
        <v>664859137.8599999</v>
      </c>
      <c r="M21" s="56">
        <f t="shared" si="1"/>
        <v>69.894581160473422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pane xSplit="1" topLeftCell="E1" activePane="topRight" state="frozen"/>
      <selection pane="topRight" activeCell="K31" sqref="K31"/>
    </sheetView>
  </sheetViews>
  <sheetFormatPr defaultRowHeight="14.4" x14ac:dyDescent="0.3"/>
  <cols>
    <col min="1" max="1" width="50.6640625" bestFit="1" customWidth="1"/>
    <col min="2" max="8" width="12.5546875" bestFit="1" customWidth="1"/>
    <col min="9" max="9" width="14.109375" bestFit="1" customWidth="1"/>
    <col min="10" max="10" width="8.33203125" bestFit="1" customWidth="1"/>
    <col min="11" max="11" width="7.5546875" bestFit="1" customWidth="1"/>
    <col min="12" max="12" width="12.5546875" bestFit="1" customWidth="1"/>
    <col min="13" max="13" width="7" bestFit="1" customWidth="1"/>
  </cols>
  <sheetData>
    <row r="1" spans="1:13" ht="28.8" x14ac:dyDescent="0.3">
      <c r="A1" s="44"/>
      <c r="B1" s="45">
        <v>2016</v>
      </c>
      <c r="C1" s="45">
        <v>2017</v>
      </c>
      <c r="D1" s="45">
        <v>2018</v>
      </c>
      <c r="E1" s="45">
        <v>2019</v>
      </c>
      <c r="F1" s="45">
        <v>2020</v>
      </c>
      <c r="G1" s="45">
        <v>2021</v>
      </c>
      <c r="H1" s="45">
        <v>2022</v>
      </c>
      <c r="I1" s="45">
        <v>2023</v>
      </c>
      <c r="J1" s="57" t="s">
        <v>297</v>
      </c>
      <c r="K1" s="45" t="s">
        <v>233</v>
      </c>
      <c r="L1" s="57" t="s">
        <v>388</v>
      </c>
      <c r="M1" s="45" t="s">
        <v>339</v>
      </c>
    </row>
    <row r="2" spans="1:13" x14ac:dyDescent="0.3">
      <c r="A2" s="62" t="s">
        <v>270</v>
      </c>
      <c r="B2" s="59">
        <f>Entrate_Uscite!B23</f>
        <v>163276033.46000001</v>
      </c>
      <c r="C2" s="59">
        <f>Entrate_Uscite!E23</f>
        <v>157911739.77000001</v>
      </c>
      <c r="D2" s="59">
        <f>Entrate_Uscite!H23</f>
        <v>164841371.61000001</v>
      </c>
      <c r="E2" s="59">
        <f>Entrate_Uscite!K23</f>
        <v>163363017.15000001</v>
      </c>
      <c r="F2" s="59">
        <f>Entrate_Uscite!N23</f>
        <v>157683987.25</v>
      </c>
      <c r="G2" s="59">
        <f>Entrate_Uscite!Q23</f>
        <v>164762751.41</v>
      </c>
      <c r="H2" s="59">
        <f>Entrate_Uscite!T23</f>
        <v>174336803.12</v>
      </c>
      <c r="I2" s="59">
        <f>Entrate_Uscite!W23</f>
        <v>175314707.91999999</v>
      </c>
      <c r="J2" s="59">
        <f t="shared" ref="J2:J28" si="0">I2/I$31*100</f>
        <v>18.78268724626027</v>
      </c>
      <c r="K2" s="60">
        <f>IF(H2&gt;0,I2/H2*100-100,"-")</f>
        <v>0.56092849157435865</v>
      </c>
      <c r="L2" s="59">
        <f>Entrate_Uscite!X23</f>
        <v>165881433.28999999</v>
      </c>
      <c r="M2" s="61">
        <f t="shared" ref="M2:M31" si="1">IF(I2&gt;0,L2/I2*100,"-")</f>
        <v>94.619233752877932</v>
      </c>
    </row>
    <row r="3" spans="1:13" x14ac:dyDescent="0.3">
      <c r="A3" s="62" t="s">
        <v>271</v>
      </c>
      <c r="B3" s="59">
        <f>Entrate_Uscite!B24</f>
        <v>9776773.5500000007</v>
      </c>
      <c r="C3" s="59">
        <f>Entrate_Uscite!E24</f>
        <v>9365230.1699999999</v>
      </c>
      <c r="D3" s="59">
        <f>Entrate_Uscite!H24</f>
        <v>9444328.6799999997</v>
      </c>
      <c r="E3" s="59">
        <f>Entrate_Uscite!K24</f>
        <v>7889207.7999999998</v>
      </c>
      <c r="F3" s="59">
        <f>Entrate_Uscite!N24</f>
        <v>8575078.6699999999</v>
      </c>
      <c r="G3" s="59">
        <f>Entrate_Uscite!Q24</f>
        <v>8047889.4000000004</v>
      </c>
      <c r="H3" s="59">
        <f>Entrate_Uscite!T24</f>
        <v>8358150.7000000002</v>
      </c>
      <c r="I3" s="59">
        <f>Entrate_Uscite!W24</f>
        <v>8853133.2699999996</v>
      </c>
      <c r="J3" s="59">
        <f t="shared" si="0"/>
        <v>0.94849790603850137</v>
      </c>
      <c r="K3" s="60">
        <f t="shared" ref="K3:K31" si="2">IF(H3&gt;0,I3/H3*100-100,"-")</f>
        <v>5.9221541674284452</v>
      </c>
      <c r="L3" s="59">
        <f>Entrate_Uscite!X24</f>
        <v>6816284.3399999999</v>
      </c>
      <c r="M3" s="61">
        <f t="shared" si="1"/>
        <v>76.992903327208126</v>
      </c>
    </row>
    <row r="4" spans="1:13" x14ac:dyDescent="0.3">
      <c r="A4" s="62" t="s">
        <v>272</v>
      </c>
      <c r="B4" s="59">
        <f>Entrate_Uscite!B25</f>
        <v>243941321.30000001</v>
      </c>
      <c r="C4" s="59">
        <f>Entrate_Uscite!E25</f>
        <v>255061807.59999999</v>
      </c>
      <c r="D4" s="59">
        <f>Entrate_Uscite!H25</f>
        <v>269647769.80000001</v>
      </c>
      <c r="E4" s="59">
        <f>Entrate_Uscite!K25</f>
        <v>275671088.61000001</v>
      </c>
      <c r="F4" s="59">
        <f>Entrate_Uscite!N25</f>
        <v>280813681.05000001</v>
      </c>
      <c r="G4" s="59">
        <f>Entrate_Uscite!Q25</f>
        <v>312830224.12</v>
      </c>
      <c r="H4" s="59">
        <f>Entrate_Uscite!T25</f>
        <v>353978675.79000002</v>
      </c>
      <c r="I4" s="59">
        <f>Entrate_Uscite!W25</f>
        <v>363269696.27999997</v>
      </c>
      <c r="J4" s="59">
        <f t="shared" si="0"/>
        <v>38.919615885192968</v>
      </c>
      <c r="K4" s="60">
        <f t="shared" si="2"/>
        <v>2.6247401681088576</v>
      </c>
      <c r="L4" s="59">
        <f>Entrate_Uscite!X25</f>
        <v>275144648.06</v>
      </c>
      <c r="M4" s="61">
        <f t="shared" si="1"/>
        <v>75.741150687098553</v>
      </c>
    </row>
    <row r="5" spans="1:13" x14ac:dyDescent="0.3">
      <c r="A5" s="62" t="s">
        <v>273</v>
      </c>
      <c r="B5" s="59">
        <f>Entrate_Uscite!B26</f>
        <v>38582380.909999996</v>
      </c>
      <c r="C5" s="59">
        <f>Entrate_Uscite!E26</f>
        <v>47431521.359999999</v>
      </c>
      <c r="D5" s="59">
        <f>Entrate_Uscite!H26</f>
        <v>49983714.200000003</v>
      </c>
      <c r="E5" s="59">
        <f>Entrate_Uscite!K26</f>
        <v>54996011.240000002</v>
      </c>
      <c r="F5" s="59">
        <f>Entrate_Uscite!N26</f>
        <v>68167529.790000007</v>
      </c>
      <c r="G5" s="59">
        <f>Entrate_Uscite!Q26</f>
        <v>68010412.790000007</v>
      </c>
      <c r="H5" s="59">
        <f>Entrate_Uscite!T26</f>
        <v>59586873.020000003</v>
      </c>
      <c r="I5" s="59">
        <f>Entrate_Uscite!W26</f>
        <v>56563391.210000001</v>
      </c>
      <c r="J5" s="59">
        <f t="shared" si="0"/>
        <v>6.0600305547102167</v>
      </c>
      <c r="K5" s="60">
        <f t="shared" si="2"/>
        <v>-5.0740736285745101</v>
      </c>
      <c r="L5" s="59">
        <f>Entrate_Uscite!X26</f>
        <v>41487271.229999997</v>
      </c>
      <c r="M5" s="61">
        <f t="shared" si="1"/>
        <v>73.346506180954279</v>
      </c>
    </row>
    <row r="6" spans="1:13" x14ac:dyDescent="0.3">
      <c r="A6" s="62" t="s">
        <v>274</v>
      </c>
      <c r="B6" s="59">
        <f>Entrate_Uscite!B27</f>
        <v>4908294.96</v>
      </c>
      <c r="C6" s="59">
        <f>Entrate_Uscite!E27</f>
        <v>4217537.58</v>
      </c>
      <c r="D6" s="59">
        <f>Entrate_Uscite!H27</f>
        <v>4024102.51</v>
      </c>
      <c r="E6" s="59">
        <f>Entrate_Uscite!K27</f>
        <v>3094275.83</v>
      </c>
      <c r="F6" s="59">
        <f>Entrate_Uscite!N27</f>
        <v>1716133.23</v>
      </c>
      <c r="G6" s="59">
        <f>Entrate_Uscite!Q27</f>
        <v>1751062.01</v>
      </c>
      <c r="H6" s="59">
        <f>Entrate_Uscite!T27</f>
        <v>1665886.72</v>
      </c>
      <c r="I6" s="59">
        <f>Entrate_Uscite!W27</f>
        <v>1353823.39</v>
      </c>
      <c r="J6" s="59">
        <f t="shared" si="0"/>
        <v>0.14504454088726773</v>
      </c>
      <c r="K6" s="60">
        <f t="shared" si="2"/>
        <v>-18.73256604146529</v>
      </c>
      <c r="L6" s="59">
        <f>Entrate_Uscite!X27</f>
        <v>1334528.07</v>
      </c>
      <c r="M6" s="61">
        <f t="shared" si="1"/>
        <v>98.574753535614434</v>
      </c>
    </row>
    <row r="7" spans="1:13" x14ac:dyDescent="0.3">
      <c r="A7" s="62" t="s">
        <v>275</v>
      </c>
      <c r="B7" s="59">
        <f>Entrate_Uscite!B28</f>
        <v>0</v>
      </c>
      <c r="C7" s="59">
        <f>Entrate_Uscite!E28</f>
        <v>0</v>
      </c>
      <c r="D7" s="59">
        <f>Entrate_Uscite!H28</f>
        <v>0</v>
      </c>
      <c r="E7" s="59">
        <f>Entrate_Uscite!K28</f>
        <v>0</v>
      </c>
      <c r="F7" s="59">
        <f>Entrate_Uscite!N28</f>
        <v>0</v>
      </c>
      <c r="G7" s="59">
        <f>Entrate_Uscite!Q28</f>
        <v>0</v>
      </c>
      <c r="H7" s="59">
        <f>Entrate_Uscite!T28</f>
        <v>0</v>
      </c>
      <c r="I7" s="59">
        <f>Entrate_Uscite!W28</f>
        <v>0</v>
      </c>
      <c r="J7" s="59">
        <f t="shared" si="0"/>
        <v>0</v>
      </c>
      <c r="K7" s="60" t="str">
        <f t="shared" si="2"/>
        <v>-</v>
      </c>
      <c r="L7" s="59">
        <f>Entrate_Uscite!X28</f>
        <v>0</v>
      </c>
      <c r="M7" s="61" t="str">
        <f t="shared" si="1"/>
        <v>-</v>
      </c>
    </row>
    <row r="8" spans="1:13" x14ac:dyDescent="0.3">
      <c r="A8" s="62" t="s">
        <v>276</v>
      </c>
      <c r="B8" s="59">
        <f>Entrate_Uscite!B29</f>
        <v>4518452.25</v>
      </c>
      <c r="C8" s="59">
        <f>Entrate_Uscite!E29</f>
        <v>3274972.26</v>
      </c>
      <c r="D8" s="59">
        <f>Entrate_Uscite!H29</f>
        <v>2728846.55</v>
      </c>
      <c r="E8" s="59">
        <f>Entrate_Uscite!K29</f>
        <v>2545964.44</v>
      </c>
      <c r="F8" s="59">
        <f>Entrate_Uscite!N29</f>
        <v>4955976.13</v>
      </c>
      <c r="G8" s="59">
        <f>Entrate_Uscite!Q29</f>
        <v>4392797.8600000003</v>
      </c>
      <c r="H8" s="59">
        <f>Entrate_Uscite!T29</f>
        <v>5158702.53</v>
      </c>
      <c r="I8" s="59">
        <f>Entrate_Uscite!W29</f>
        <v>3665912.94</v>
      </c>
      <c r="J8" s="59">
        <f t="shared" si="0"/>
        <v>0.39275481812660501</v>
      </c>
      <c r="K8" s="60">
        <f t="shared" si="2"/>
        <v>-28.937307032510745</v>
      </c>
      <c r="L8" s="59">
        <f>Entrate_Uscite!X29</f>
        <v>2615340.31</v>
      </c>
      <c r="M8" s="61">
        <f t="shared" si="1"/>
        <v>71.342128217589377</v>
      </c>
    </row>
    <row r="9" spans="1:13" x14ac:dyDescent="0.3">
      <c r="A9" s="62" t="s">
        <v>277</v>
      </c>
      <c r="B9" s="59">
        <f>Entrate_Uscite!B30</f>
        <v>7615470.1799999997</v>
      </c>
      <c r="C9" s="59">
        <f>Entrate_Uscite!E30</f>
        <v>6838422.1399999997</v>
      </c>
      <c r="D9" s="59">
        <f>Entrate_Uscite!H30</f>
        <v>7920366.2400000002</v>
      </c>
      <c r="E9" s="59">
        <f>Entrate_Uscite!K30</f>
        <v>7192965.9699999997</v>
      </c>
      <c r="F9" s="59">
        <f>Entrate_Uscite!N30</f>
        <v>5832453.3099999996</v>
      </c>
      <c r="G9" s="59">
        <f>Entrate_Uscite!Q30</f>
        <v>7386106.2699999996</v>
      </c>
      <c r="H9" s="59">
        <f>Entrate_Uscite!T30</f>
        <v>10352120.77</v>
      </c>
      <c r="I9" s="59">
        <f>Entrate_Uscite!W30</f>
        <v>9697565.4800000004</v>
      </c>
      <c r="J9" s="59">
        <f t="shared" si="0"/>
        <v>1.0389678174867525</v>
      </c>
      <c r="K9" s="60">
        <f t="shared" si="2"/>
        <v>-6.3229101026030463</v>
      </c>
      <c r="L9" s="59">
        <f>Entrate_Uscite!X30</f>
        <v>9169606.5800000001</v>
      </c>
      <c r="M9" s="61">
        <f t="shared" si="1"/>
        <v>94.555758338638199</v>
      </c>
    </row>
    <row r="10" spans="1:13" x14ac:dyDescent="0.3">
      <c r="A10" s="4" t="s">
        <v>282</v>
      </c>
      <c r="B10" s="46">
        <f>SUM(B2:B9)</f>
        <v>472618726.61000001</v>
      </c>
      <c r="C10" s="46">
        <f>SUM(C2:C9)</f>
        <v>484101230.87999994</v>
      </c>
      <c r="D10" s="46">
        <f>SUM(D2:D9)</f>
        <v>508590499.59000003</v>
      </c>
      <c r="E10" s="46">
        <f t="shared" ref="E10:I10" si="3">SUM(E2:E9)</f>
        <v>514752531.04000008</v>
      </c>
      <c r="F10" s="46">
        <f t="shared" si="3"/>
        <v>527744839.43000007</v>
      </c>
      <c r="G10" s="46">
        <f t="shared" ref="G10:H10" si="4">SUM(G2:G9)</f>
        <v>567181243.86000001</v>
      </c>
      <c r="H10" s="46">
        <f t="shared" si="4"/>
        <v>613437212.64999998</v>
      </c>
      <c r="I10" s="46">
        <f t="shared" si="3"/>
        <v>618718230.49000013</v>
      </c>
      <c r="J10" s="46">
        <f t="shared" si="0"/>
        <v>66.287598768702594</v>
      </c>
      <c r="K10" s="47">
        <f t="shared" si="2"/>
        <v>0.86088970983462332</v>
      </c>
      <c r="L10" s="46">
        <f>SUM(L2:L9)</f>
        <v>502449111.88</v>
      </c>
      <c r="M10" s="48">
        <f t="shared" si="1"/>
        <v>81.208066470270381</v>
      </c>
    </row>
    <row r="11" spans="1:13" x14ac:dyDescent="0.3">
      <c r="A11" s="62" t="s">
        <v>278</v>
      </c>
      <c r="B11" s="59">
        <f>Entrate_Uscite!B32</f>
        <v>54459943.979999997</v>
      </c>
      <c r="C11" s="59">
        <f>Entrate_Uscite!E32</f>
        <v>51918993.090000004</v>
      </c>
      <c r="D11" s="59">
        <f>Entrate_Uscite!H32</f>
        <v>48009493.210000001</v>
      </c>
      <c r="E11" s="59">
        <f>Entrate_Uscite!K32</f>
        <v>52255336.280000001</v>
      </c>
      <c r="F11" s="59">
        <f>Entrate_Uscite!N32</f>
        <v>73811960.480000004</v>
      </c>
      <c r="G11" s="59">
        <f>Entrate_Uscite!Q32</f>
        <v>76704679.599999994</v>
      </c>
      <c r="H11" s="59">
        <f>Entrate_Uscite!T32</f>
        <v>98546311.159999996</v>
      </c>
      <c r="I11" s="59">
        <f>Entrate_Uscite!W32</f>
        <v>258495997.46000001</v>
      </c>
      <c r="J11" s="59">
        <f t="shared" si="0"/>
        <v>27.694478873482925</v>
      </c>
      <c r="K11" s="60">
        <f t="shared" si="2"/>
        <v>162.30915639277998</v>
      </c>
      <c r="L11" s="59">
        <f>Entrate_Uscite!X32</f>
        <v>227197091.31</v>
      </c>
      <c r="M11" s="61">
        <f t="shared" si="1"/>
        <v>87.891918460036024</v>
      </c>
    </row>
    <row r="12" spans="1:13" x14ac:dyDescent="0.3">
      <c r="A12" s="62" t="s">
        <v>279</v>
      </c>
      <c r="B12" s="59">
        <f>Entrate_Uscite!B33</f>
        <v>4213029.34</v>
      </c>
      <c r="C12" s="59">
        <f>Entrate_Uscite!E33</f>
        <v>13622053.279999999</v>
      </c>
      <c r="D12" s="59">
        <f>Entrate_Uscite!H33</f>
        <v>1105019.29</v>
      </c>
      <c r="E12" s="59">
        <f>Entrate_Uscite!K33</f>
        <v>3377688.13</v>
      </c>
      <c r="F12" s="59">
        <f>Entrate_Uscite!N33</f>
        <v>1216819.29</v>
      </c>
      <c r="G12" s="59">
        <f>Entrate_Uscite!Q33</f>
        <v>478610.49</v>
      </c>
      <c r="H12" s="59">
        <f>Entrate_Uscite!T33</f>
        <v>18223472.489999998</v>
      </c>
      <c r="I12" s="59">
        <f>Entrate_Uscite!W33</f>
        <v>17199165.129999999</v>
      </c>
      <c r="J12" s="59">
        <f t="shared" si="0"/>
        <v>1.8426665016661843</v>
      </c>
      <c r="K12" s="60">
        <f t="shared" si="2"/>
        <v>-5.6208132701496965</v>
      </c>
      <c r="L12" s="59">
        <f>Entrate_Uscite!X33</f>
        <v>17106680.859999999</v>
      </c>
      <c r="M12" s="61">
        <f t="shared" si="1"/>
        <v>99.462274655188452</v>
      </c>
    </row>
    <row r="13" spans="1:13" x14ac:dyDescent="0.3">
      <c r="A13" s="62" t="s">
        <v>280</v>
      </c>
      <c r="B13" s="59">
        <f>Entrate_Uscite!B34</f>
        <v>0</v>
      </c>
      <c r="C13" s="59">
        <f>Entrate_Uscite!E34</f>
        <v>0</v>
      </c>
      <c r="D13" s="59">
        <f>Entrate_Uscite!H34</f>
        <v>0</v>
      </c>
      <c r="E13" s="59">
        <f>Entrate_Uscite!K34</f>
        <v>0</v>
      </c>
      <c r="F13" s="59">
        <f>Entrate_Uscite!N34</f>
        <v>0</v>
      </c>
      <c r="G13" s="59">
        <f>Entrate_Uscite!Q34</f>
        <v>0</v>
      </c>
      <c r="H13" s="59">
        <f>Entrate_Uscite!T34</f>
        <v>0</v>
      </c>
      <c r="I13" s="59">
        <f>Entrate_Uscite!W34</f>
        <v>0</v>
      </c>
      <c r="J13" s="59">
        <f t="shared" si="0"/>
        <v>0</v>
      </c>
      <c r="K13" s="60" t="str">
        <f t="shared" si="2"/>
        <v>-</v>
      </c>
      <c r="L13" s="59">
        <f>Entrate_Uscite!X34</f>
        <v>0</v>
      </c>
      <c r="M13" s="61" t="str">
        <f t="shared" si="1"/>
        <v>-</v>
      </c>
    </row>
    <row r="14" spans="1:13" x14ac:dyDescent="0.3">
      <c r="A14" s="62" t="s">
        <v>281</v>
      </c>
      <c r="B14" s="59">
        <f>Entrate_Uscite!B35</f>
        <v>2571950.23</v>
      </c>
      <c r="C14" s="59">
        <f>Entrate_Uscite!E35</f>
        <v>1180211.55</v>
      </c>
      <c r="D14" s="59">
        <f>Entrate_Uscite!H35</f>
        <v>751179.04</v>
      </c>
      <c r="E14" s="59">
        <f>Entrate_Uscite!K35</f>
        <v>1981865.37</v>
      </c>
      <c r="F14" s="59">
        <f>Entrate_Uscite!N35</f>
        <v>953215.29</v>
      </c>
      <c r="G14" s="59">
        <f>Entrate_Uscite!Q35</f>
        <v>2482919.33</v>
      </c>
      <c r="H14" s="59">
        <f>Entrate_Uscite!T35</f>
        <v>431115.72</v>
      </c>
      <c r="I14" s="59">
        <f>Entrate_Uscite!W35</f>
        <v>996437.87</v>
      </c>
      <c r="J14" s="59">
        <f t="shared" si="0"/>
        <v>0.10675533784125046</v>
      </c>
      <c r="K14" s="60">
        <f t="shared" si="2"/>
        <v>131.13002467179814</v>
      </c>
      <c r="L14" s="59">
        <f>Entrate_Uscite!X35</f>
        <v>996437.87</v>
      </c>
      <c r="M14" s="61">
        <f t="shared" si="1"/>
        <v>100</v>
      </c>
    </row>
    <row r="15" spans="1:13" x14ac:dyDescent="0.3">
      <c r="A15" s="4" t="s">
        <v>283</v>
      </c>
      <c r="B15" s="49">
        <f>SUM(B11:B14)</f>
        <v>61244923.54999999</v>
      </c>
      <c r="C15" s="49">
        <f>SUM(C11:C14)</f>
        <v>66721257.920000002</v>
      </c>
      <c r="D15" s="49">
        <f>SUM(D11:D14)</f>
        <v>49865691.539999999</v>
      </c>
      <c r="E15" s="49">
        <f t="shared" ref="E15:I15" si="5">SUM(E11:E14)</f>
        <v>57614889.780000001</v>
      </c>
      <c r="F15" s="49">
        <f t="shared" si="5"/>
        <v>75981995.060000017</v>
      </c>
      <c r="G15" s="49">
        <f t="shared" ref="G15:H15" si="6">SUM(G11:G14)</f>
        <v>79666209.419999987</v>
      </c>
      <c r="H15" s="49">
        <f t="shared" si="6"/>
        <v>117200899.36999999</v>
      </c>
      <c r="I15" s="49">
        <f t="shared" si="5"/>
        <v>276691600.46000004</v>
      </c>
      <c r="J15" s="49">
        <f t="shared" si="0"/>
        <v>29.643900712990362</v>
      </c>
      <c r="K15" s="47">
        <f t="shared" si="2"/>
        <v>136.08317167131315</v>
      </c>
      <c r="L15" s="49">
        <f>SUM(L11:L14)</f>
        <v>245300210.04000002</v>
      </c>
      <c r="M15" s="48">
        <f t="shared" si="1"/>
        <v>88.654736765477594</v>
      </c>
    </row>
    <row r="16" spans="1:13" x14ac:dyDescent="0.3">
      <c r="A16" s="62" t="s">
        <v>284</v>
      </c>
      <c r="B16" s="59">
        <f>Entrate_Uscite!B36</f>
        <v>0</v>
      </c>
      <c r="C16" s="59">
        <f>Entrate_Uscite!E36</f>
        <v>5000000</v>
      </c>
      <c r="D16" s="59">
        <f>Entrate_Uscite!H36</f>
        <v>0</v>
      </c>
      <c r="E16" s="59">
        <f>Entrate_Uscite!K36</f>
        <v>0</v>
      </c>
      <c r="F16" s="59">
        <f>Entrate_Uscite!N36</f>
        <v>0</v>
      </c>
      <c r="G16" s="59">
        <f>Entrate_Uscite!Q36</f>
        <v>0</v>
      </c>
      <c r="H16" s="59">
        <f>Entrate_Uscite!T36</f>
        <v>6000000</v>
      </c>
      <c r="I16" s="59">
        <f>Entrate_Uscite!W36</f>
        <v>4982000</v>
      </c>
      <c r="J16" s="59">
        <f t="shared" si="0"/>
        <v>0.53375640282028802</v>
      </c>
      <c r="K16" s="60">
        <f t="shared" si="2"/>
        <v>-16.966666666666669</v>
      </c>
      <c r="L16" s="59">
        <f>Entrate_Uscite!X36</f>
        <v>4882000</v>
      </c>
      <c r="M16" s="61">
        <f t="shared" si="1"/>
        <v>97.992773986350869</v>
      </c>
    </row>
    <row r="17" spans="1:13" x14ac:dyDescent="0.3">
      <c r="A17" s="62" t="s">
        <v>285</v>
      </c>
      <c r="B17" s="59">
        <f>Entrate_Uscite!B37</f>
        <v>0</v>
      </c>
      <c r="C17" s="59">
        <f>Entrate_Uscite!E37</f>
        <v>0</v>
      </c>
      <c r="D17" s="59">
        <f>Entrate_Uscite!H37</f>
        <v>0</v>
      </c>
      <c r="E17" s="59">
        <f>Entrate_Uscite!K37</f>
        <v>0</v>
      </c>
      <c r="F17" s="59">
        <f>Entrate_Uscite!N37</f>
        <v>0</v>
      </c>
      <c r="G17" s="59">
        <f>Entrate_Uscite!Q37</f>
        <v>0</v>
      </c>
      <c r="H17" s="59">
        <f>Entrate_Uscite!T37</f>
        <v>0</v>
      </c>
      <c r="I17" s="59">
        <f>Entrate_Uscite!W37</f>
        <v>2000000</v>
      </c>
      <c r="J17" s="59">
        <f t="shared" si="0"/>
        <v>0.21427394733853394</v>
      </c>
      <c r="K17" s="60" t="str">
        <f t="shared" si="2"/>
        <v>-</v>
      </c>
      <c r="L17" s="59">
        <f>Entrate_Uscite!X37</f>
        <v>2000000</v>
      </c>
      <c r="M17" s="61">
        <f t="shared" si="1"/>
        <v>100</v>
      </c>
    </row>
    <row r="18" spans="1:13" x14ac:dyDescent="0.3">
      <c r="A18" s="62" t="s">
        <v>286</v>
      </c>
      <c r="B18" s="59">
        <f>Entrate_Uscite!B38</f>
        <v>0</v>
      </c>
      <c r="C18" s="59">
        <f>Entrate_Uscite!E38</f>
        <v>0</v>
      </c>
      <c r="D18" s="59">
        <f>Entrate_Uscite!H38</f>
        <v>0</v>
      </c>
      <c r="E18" s="59">
        <f>Entrate_Uscite!K38</f>
        <v>0</v>
      </c>
      <c r="F18" s="59">
        <f>Entrate_Uscite!N38</f>
        <v>0</v>
      </c>
      <c r="G18" s="59">
        <f>Entrate_Uscite!Q38</f>
        <v>0</v>
      </c>
      <c r="H18" s="59">
        <f>Entrate_Uscite!T38</f>
        <v>500000</v>
      </c>
      <c r="I18" s="59">
        <f>Entrate_Uscite!W38</f>
        <v>1200000</v>
      </c>
      <c r="J18" s="59">
        <f t="shared" si="0"/>
        <v>0.12856436840312035</v>
      </c>
      <c r="K18" s="60">
        <f t="shared" si="2"/>
        <v>140</v>
      </c>
      <c r="L18" s="59">
        <f>Entrate_Uscite!X38</f>
        <v>1200000</v>
      </c>
      <c r="M18" s="61">
        <f t="shared" si="1"/>
        <v>100</v>
      </c>
    </row>
    <row r="19" spans="1:13" x14ac:dyDescent="0.3">
      <c r="A19" s="62" t="s">
        <v>287</v>
      </c>
      <c r="B19" s="59">
        <f>Entrate_Uscite!B39</f>
        <v>22811381.030000001</v>
      </c>
      <c r="C19" s="59">
        <f>Entrate_Uscite!E39</f>
        <v>12126599.98</v>
      </c>
      <c r="D19" s="59">
        <f>Entrate_Uscite!H39</f>
        <v>3118356.21</v>
      </c>
      <c r="E19" s="59">
        <f>Entrate_Uscite!K39</f>
        <v>217850.45</v>
      </c>
      <c r="F19" s="59">
        <f>Entrate_Uscite!N39</f>
        <v>1546684.87</v>
      </c>
      <c r="G19" s="59">
        <f>Entrate_Uscite!Q39</f>
        <v>28161002.469999999</v>
      </c>
      <c r="H19" s="59">
        <f>Entrate_Uscite!T39</f>
        <v>4152835.6</v>
      </c>
      <c r="I19" s="59">
        <f>Entrate_Uscite!W39</f>
        <v>17357301</v>
      </c>
      <c r="J19" s="59">
        <f t="shared" si="0"/>
        <v>1.8596087002065411</v>
      </c>
      <c r="K19" s="60">
        <f t="shared" si="2"/>
        <v>317.96263256845509</v>
      </c>
      <c r="L19" s="59">
        <f>Entrate_Uscite!X39</f>
        <v>17357301</v>
      </c>
      <c r="M19" s="61">
        <f t="shared" si="1"/>
        <v>100</v>
      </c>
    </row>
    <row r="20" spans="1:13" x14ac:dyDescent="0.3">
      <c r="A20" s="4" t="s">
        <v>288</v>
      </c>
      <c r="B20" s="46">
        <f>SUM(B16:B19)</f>
        <v>22811381.030000001</v>
      </c>
      <c r="C20" s="46">
        <f>SUM(C16:C19)</f>
        <v>17126599.98</v>
      </c>
      <c r="D20" s="46">
        <f>SUM(D16:D19)</f>
        <v>3118356.21</v>
      </c>
      <c r="E20" s="46">
        <f t="shared" ref="E20:I20" si="7">SUM(E16:E19)</f>
        <v>217850.45</v>
      </c>
      <c r="F20" s="46">
        <f t="shared" si="7"/>
        <v>1546684.87</v>
      </c>
      <c r="G20" s="46">
        <f t="shared" ref="G20:H20" si="8">SUM(G16:G19)</f>
        <v>28161002.469999999</v>
      </c>
      <c r="H20" s="46">
        <f t="shared" si="8"/>
        <v>10652835.6</v>
      </c>
      <c r="I20" s="46">
        <f t="shared" si="7"/>
        <v>25539301</v>
      </c>
      <c r="J20" s="46">
        <f t="shared" si="0"/>
        <v>2.7362034187684836</v>
      </c>
      <c r="K20" s="47">
        <f t="shared" si="2"/>
        <v>139.74181109112394</v>
      </c>
      <c r="L20" s="46">
        <f>SUM(L16:L19)</f>
        <v>25439301</v>
      </c>
      <c r="M20" s="43">
        <f t="shared" si="1"/>
        <v>99.608446605488538</v>
      </c>
    </row>
    <row r="21" spans="1:13" x14ac:dyDescent="0.3">
      <c r="A21" s="50" t="s">
        <v>349</v>
      </c>
      <c r="B21" s="51">
        <f>B10+B15+B20</f>
        <v>556675031.19000006</v>
      </c>
      <c r="C21" s="51">
        <f>C10+C15+C20</f>
        <v>567949088.77999997</v>
      </c>
      <c r="D21" s="51">
        <f>D10+D15+D20</f>
        <v>561574547.34000003</v>
      </c>
      <c r="E21" s="51">
        <f t="shared" ref="E21:I21" si="9">E10+E15+E20</f>
        <v>572585271.2700001</v>
      </c>
      <c r="F21" s="51">
        <f t="shared" si="9"/>
        <v>605273519.36000013</v>
      </c>
      <c r="G21" s="51">
        <f t="shared" ref="G21:H21" si="10">G10+G15+G20</f>
        <v>675008455.75</v>
      </c>
      <c r="H21" s="51">
        <f t="shared" si="10"/>
        <v>741290947.62</v>
      </c>
      <c r="I21" s="51">
        <f t="shared" si="9"/>
        <v>920949131.95000017</v>
      </c>
      <c r="J21" s="51">
        <f t="shared" si="0"/>
        <v>98.667702900461435</v>
      </c>
      <c r="K21" s="52">
        <f t="shared" si="2"/>
        <v>24.235852994942604</v>
      </c>
      <c r="L21" s="51">
        <f>L10+L15+L20</f>
        <v>773188622.92000008</v>
      </c>
      <c r="M21" s="53">
        <f t="shared" si="1"/>
        <v>83.95562752557953</v>
      </c>
    </row>
    <row r="22" spans="1:13" x14ac:dyDescent="0.3">
      <c r="A22" s="62" t="s">
        <v>289</v>
      </c>
      <c r="B22" s="63">
        <f>Entrate_Uscite!B40</f>
        <v>1155048.8799999999</v>
      </c>
      <c r="C22" s="63">
        <f>Entrate_Uscite!E40</f>
        <v>1211090.83</v>
      </c>
      <c r="D22" s="63">
        <f>Entrate_Uscite!H40</f>
        <v>1036703.59</v>
      </c>
      <c r="E22" s="63">
        <f>Entrate_Uscite!K40</f>
        <v>0</v>
      </c>
      <c r="F22" s="63">
        <f>Entrate_Uscite!N40</f>
        <v>0</v>
      </c>
      <c r="G22" s="63">
        <f>Entrate_Uscite!Q40</f>
        <v>0</v>
      </c>
      <c r="H22" s="63">
        <f>Entrate_Uscite!T40</f>
        <v>0</v>
      </c>
      <c r="I22" s="63">
        <f>Entrate_Uscite!W40</f>
        <v>0</v>
      </c>
      <c r="J22" s="63">
        <f t="shared" si="0"/>
        <v>0</v>
      </c>
      <c r="K22" s="64" t="str">
        <f t="shared" si="2"/>
        <v>-</v>
      </c>
      <c r="L22" s="63">
        <f>Entrate_Uscite!X40</f>
        <v>0</v>
      </c>
      <c r="M22" s="61" t="str">
        <f t="shared" si="1"/>
        <v>-</v>
      </c>
    </row>
    <row r="23" spans="1:13" x14ac:dyDescent="0.3">
      <c r="A23" s="62" t="s">
        <v>290</v>
      </c>
      <c r="B23" s="63">
        <f>Entrate_Uscite!B41</f>
        <v>0</v>
      </c>
      <c r="C23" s="63">
        <f>Entrate_Uscite!E41</f>
        <v>0</v>
      </c>
      <c r="D23" s="63">
        <f>Entrate_Uscite!H41</f>
        <v>0</v>
      </c>
      <c r="E23" s="63">
        <f>Entrate_Uscite!K41</f>
        <v>0</v>
      </c>
      <c r="F23" s="63">
        <f>Entrate_Uscite!N41</f>
        <v>0</v>
      </c>
      <c r="G23" s="63">
        <f>Entrate_Uscite!Q41</f>
        <v>0</v>
      </c>
      <c r="H23" s="63">
        <f>Entrate_Uscite!T41</f>
        <v>0</v>
      </c>
      <c r="I23" s="63">
        <f>Entrate_Uscite!W41</f>
        <v>0</v>
      </c>
      <c r="J23" s="63">
        <f t="shared" si="0"/>
        <v>0</v>
      </c>
      <c r="K23" s="64" t="str">
        <f t="shared" si="2"/>
        <v>-</v>
      </c>
      <c r="L23" s="63">
        <f>Entrate_Uscite!X41</f>
        <v>0</v>
      </c>
      <c r="M23" s="61" t="str">
        <f t="shared" si="1"/>
        <v>-</v>
      </c>
    </row>
    <row r="24" spans="1:13" x14ac:dyDescent="0.3">
      <c r="A24" s="62" t="s">
        <v>291</v>
      </c>
      <c r="B24" s="63">
        <f>Entrate_Uscite!B42</f>
        <v>25381182.780000001</v>
      </c>
      <c r="C24" s="63">
        <f>Entrate_Uscite!E42</f>
        <v>24742265.350000001</v>
      </c>
      <c r="D24" s="63">
        <f>Entrate_Uscite!H42</f>
        <v>29367707.030000001</v>
      </c>
      <c r="E24" s="63">
        <f>Entrate_Uscite!K42</f>
        <v>22735996.34</v>
      </c>
      <c r="F24" s="63">
        <f>Entrate_Uscite!N42</f>
        <v>2050211.87</v>
      </c>
      <c r="G24" s="63">
        <f>Entrate_Uscite!Q42</f>
        <v>1742358.51</v>
      </c>
      <c r="H24" s="63">
        <f>Entrate_Uscite!T42</f>
        <v>13134580.189999999</v>
      </c>
      <c r="I24" s="63">
        <f>Entrate_Uscite!W42</f>
        <v>12435455.789999999</v>
      </c>
      <c r="J24" s="63">
        <f t="shared" si="0"/>
        <v>1.3322970995385632</v>
      </c>
      <c r="K24" s="64">
        <f t="shared" si="2"/>
        <v>-5.3227768979801766</v>
      </c>
      <c r="L24" s="63">
        <f>Entrate_Uscite!X42</f>
        <v>12318351.369999999</v>
      </c>
      <c r="M24" s="61">
        <f t="shared" si="1"/>
        <v>99.058302148489247</v>
      </c>
    </row>
    <row r="25" spans="1:13" x14ac:dyDescent="0.3">
      <c r="A25" s="62" t="s">
        <v>292</v>
      </c>
      <c r="B25" s="63">
        <f>Entrate_Uscite!B43</f>
        <v>0</v>
      </c>
      <c r="C25" s="63">
        <f>Entrate_Uscite!E43</f>
        <v>0</v>
      </c>
      <c r="D25" s="63">
        <f>Entrate_Uscite!H43</f>
        <v>0</v>
      </c>
      <c r="E25" s="63">
        <f>Entrate_Uscite!K43</f>
        <v>0</v>
      </c>
      <c r="F25" s="63">
        <f>Entrate_Uscite!N43</f>
        <v>0</v>
      </c>
      <c r="G25" s="63">
        <f>Entrate_Uscite!Q43</f>
        <v>0</v>
      </c>
      <c r="H25" s="63">
        <f>Entrate_Uscite!T43</f>
        <v>0</v>
      </c>
      <c r="I25" s="63">
        <f>Entrate_Uscite!W43</f>
        <v>0</v>
      </c>
      <c r="J25" s="63">
        <f t="shared" si="0"/>
        <v>0</v>
      </c>
      <c r="K25" s="64" t="str">
        <f t="shared" si="2"/>
        <v>-</v>
      </c>
      <c r="L25" s="63">
        <f>Entrate_Uscite!X43</f>
        <v>0</v>
      </c>
      <c r="M25" s="61" t="str">
        <f t="shared" si="1"/>
        <v>-</v>
      </c>
    </row>
    <row r="26" spans="1:13" x14ac:dyDescent="0.3">
      <c r="A26" s="62" t="s">
        <v>293</v>
      </c>
      <c r="B26" s="63">
        <f>Entrate_Uscite!B44</f>
        <v>0</v>
      </c>
      <c r="C26" s="63">
        <f>Entrate_Uscite!E44</f>
        <v>0</v>
      </c>
      <c r="D26" s="63">
        <f>Entrate_Uscite!H44</f>
        <v>0</v>
      </c>
      <c r="E26" s="63">
        <f>Entrate_Uscite!K44</f>
        <v>0</v>
      </c>
      <c r="F26" s="63">
        <f>Entrate_Uscite!N44</f>
        <v>0</v>
      </c>
      <c r="G26" s="63">
        <f>Entrate_Uscite!Q44</f>
        <v>0</v>
      </c>
      <c r="H26" s="63">
        <f>Entrate_Uscite!T44</f>
        <v>0</v>
      </c>
      <c r="I26" s="63">
        <f>Entrate_Uscite!W44</f>
        <v>0</v>
      </c>
      <c r="J26" s="63">
        <f t="shared" si="0"/>
        <v>0</v>
      </c>
      <c r="K26" s="64" t="str">
        <f t="shared" si="2"/>
        <v>-</v>
      </c>
      <c r="L26" s="63">
        <f>Entrate_Uscite!X44</f>
        <v>0</v>
      </c>
      <c r="M26" s="61" t="str">
        <f t="shared" si="1"/>
        <v>-</v>
      </c>
    </row>
    <row r="27" spans="1:13" x14ac:dyDescent="0.3">
      <c r="A27" s="4" t="s">
        <v>294</v>
      </c>
      <c r="B27" s="46">
        <f>SUM(B22:B26)</f>
        <v>26536231.66</v>
      </c>
      <c r="C27" s="46">
        <f>SUM(C22:C26)</f>
        <v>25953356.18</v>
      </c>
      <c r="D27" s="46">
        <f>SUM(D22:D26)</f>
        <v>30404410.620000001</v>
      </c>
      <c r="E27" s="46">
        <f t="shared" ref="E27:I27" si="11">SUM(E22:E26)</f>
        <v>22735996.34</v>
      </c>
      <c r="F27" s="46">
        <f t="shared" si="11"/>
        <v>2050211.87</v>
      </c>
      <c r="G27" s="46">
        <f t="shared" ref="G27" si="12">SUM(G22:G26)</f>
        <v>1742358.51</v>
      </c>
      <c r="H27" s="46">
        <f t="shared" ref="H27" si="13">SUM(H22:H26)</f>
        <v>13134580.189999999</v>
      </c>
      <c r="I27" s="46">
        <f t="shared" si="11"/>
        <v>12435455.789999999</v>
      </c>
      <c r="J27" s="46">
        <f t="shared" si="0"/>
        <v>1.3322970995385632</v>
      </c>
      <c r="K27" s="47">
        <f t="shared" si="2"/>
        <v>-5.3227768979801766</v>
      </c>
      <c r="L27" s="46">
        <f>SUM(L22:L26)</f>
        <v>12318351.369999999</v>
      </c>
      <c r="M27" s="48">
        <f t="shared" si="1"/>
        <v>99.058302148489247</v>
      </c>
    </row>
    <row r="28" spans="1:13" x14ac:dyDescent="0.3">
      <c r="A28" s="4" t="s">
        <v>295</v>
      </c>
      <c r="B28" s="46">
        <f>Entrate_Uscite!B52</f>
        <v>0</v>
      </c>
      <c r="C28" s="46">
        <f>Entrate_Uscite!E52</f>
        <v>0</v>
      </c>
      <c r="D28" s="46">
        <f>Entrate_Uscite!H52</f>
        <v>0</v>
      </c>
      <c r="E28" s="46">
        <f>Entrate_Uscite!K52</f>
        <v>0</v>
      </c>
      <c r="F28" s="46">
        <f>Entrate_Uscite!N52</f>
        <v>0</v>
      </c>
      <c r="G28" s="46">
        <f>Entrate_Uscite!Q52</f>
        <v>0</v>
      </c>
      <c r="H28" s="46">
        <f>Entrate_Uscite!T52</f>
        <v>0</v>
      </c>
      <c r="I28" s="46">
        <f>Entrate_Uscite!W52</f>
        <v>0</v>
      </c>
      <c r="J28" s="46">
        <f t="shared" si="0"/>
        <v>0</v>
      </c>
      <c r="K28" s="47" t="str">
        <f t="shared" si="2"/>
        <v>-</v>
      </c>
      <c r="L28" s="46">
        <f>Entrate_Uscite!X52</f>
        <v>0</v>
      </c>
      <c r="M28" s="48" t="str">
        <f t="shared" si="1"/>
        <v>-</v>
      </c>
    </row>
    <row r="29" spans="1:13" x14ac:dyDescent="0.3">
      <c r="A29" s="4" t="s">
        <v>296</v>
      </c>
      <c r="B29" s="46">
        <f>Entrate_Uscite!B53</f>
        <v>76963169.129999995</v>
      </c>
      <c r="C29" s="46">
        <f>Entrate_Uscite!E53</f>
        <v>91284598.870000005</v>
      </c>
      <c r="D29" s="46">
        <f>Entrate_Uscite!H53</f>
        <v>87300943.760000005</v>
      </c>
      <c r="E29" s="46">
        <f>Entrate_Uscite!K53</f>
        <v>84673977.820000008</v>
      </c>
      <c r="F29" s="46">
        <f>Entrate_Uscite!N53</f>
        <v>83767613.189999998</v>
      </c>
      <c r="G29" s="46">
        <f>Entrate_Uscite!Q53</f>
        <v>91994934.790000007</v>
      </c>
      <c r="H29" s="46">
        <f>Entrate_Uscite!T53</f>
        <v>86034717.329999998</v>
      </c>
      <c r="I29" s="46">
        <f>Entrate_Uscite!W53</f>
        <v>154536809.66</v>
      </c>
      <c r="J29" s="46"/>
      <c r="K29" s="47">
        <f t="shared" si="2"/>
        <v>79.621453357310628</v>
      </c>
      <c r="L29" s="46">
        <f>Entrate_Uscite!X53</f>
        <v>146363635.52000001</v>
      </c>
      <c r="M29" s="48">
        <f t="shared" si="1"/>
        <v>94.711179713116906</v>
      </c>
    </row>
    <row r="30" spans="1:13" x14ac:dyDescent="0.3">
      <c r="A30" s="50" t="s">
        <v>69</v>
      </c>
      <c r="B30" s="51">
        <f>B10+B15+B20+B27+B28+B29</f>
        <v>660174431.98000002</v>
      </c>
      <c r="C30" s="51">
        <f>C10+C15+C20+C27+C28+C29</f>
        <v>685187043.82999992</v>
      </c>
      <c r="D30" s="51">
        <f>D10+D15+D20+D27+D28+D29</f>
        <v>679279901.72000003</v>
      </c>
      <c r="E30" s="51">
        <f t="shared" ref="E30:I30" si="14">E10+E15+E20+E27+E28+E29</f>
        <v>679995245.43000019</v>
      </c>
      <c r="F30" s="51">
        <f t="shared" si="14"/>
        <v>691091344.42000008</v>
      </c>
      <c r="G30" s="51">
        <f t="shared" ref="G30:H30" si="15">G10+G15+G20+G27+G28+G29</f>
        <v>768745749.04999995</v>
      </c>
      <c r="H30" s="51">
        <f t="shared" si="15"/>
        <v>840460245.1400001</v>
      </c>
      <c r="I30" s="51">
        <f t="shared" si="14"/>
        <v>1087921397.4000001</v>
      </c>
      <c r="J30" s="51"/>
      <c r="K30" s="52">
        <f t="shared" si="2"/>
        <v>29.443528553665146</v>
      </c>
      <c r="L30" s="51">
        <f>L10+L15+L20+L27+L28+L29</f>
        <v>931870609.81000006</v>
      </c>
      <c r="M30" s="53">
        <f t="shared" si="1"/>
        <v>85.656060450420185</v>
      </c>
    </row>
    <row r="31" spans="1:13" x14ac:dyDescent="0.3">
      <c r="A31" s="41" t="s">
        <v>70</v>
      </c>
      <c r="B31" s="54">
        <f>B30-B29</f>
        <v>583211262.85000002</v>
      </c>
      <c r="C31" s="54">
        <f>C30-C29</f>
        <v>593902444.95999992</v>
      </c>
      <c r="D31" s="54">
        <f>D30-D29</f>
        <v>591978957.96000004</v>
      </c>
      <c r="E31" s="54">
        <f t="shared" ref="E31:I31" si="16">E30-E29</f>
        <v>595321267.61000013</v>
      </c>
      <c r="F31" s="54">
        <f t="shared" si="16"/>
        <v>607323731.23000002</v>
      </c>
      <c r="G31" s="54">
        <f t="shared" ref="G31:H31" si="17">G30-G29</f>
        <v>676750814.25999999</v>
      </c>
      <c r="H31" s="54">
        <f t="shared" si="17"/>
        <v>754425527.81000006</v>
      </c>
      <c r="I31" s="54">
        <f t="shared" si="16"/>
        <v>933384587.74000013</v>
      </c>
      <c r="J31" s="54">
        <f>I31/I$31*100</f>
        <v>100</v>
      </c>
      <c r="K31" s="55">
        <f t="shared" si="2"/>
        <v>23.72123600449936</v>
      </c>
      <c r="L31" s="54">
        <f>L30-L29</f>
        <v>785506974.29000008</v>
      </c>
      <c r="M31" s="56">
        <f t="shared" si="1"/>
        <v>84.156840021533313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pane xSplit="1" topLeftCell="B1" activePane="topRight" state="frozen"/>
      <selection pane="topRight" activeCell="G5" sqref="G5"/>
    </sheetView>
  </sheetViews>
  <sheetFormatPr defaultRowHeight="14.4" x14ac:dyDescent="0.3"/>
  <cols>
    <col min="1" max="1" width="39.33203125" customWidth="1"/>
    <col min="2" max="3" width="11.33203125" bestFit="1" customWidth="1"/>
    <col min="4" max="6" width="11.5546875" bestFit="1" customWidth="1"/>
    <col min="7" max="8" width="11.33203125" bestFit="1" customWidth="1"/>
    <col min="9" max="9" width="12.21875" bestFit="1" customWidth="1"/>
    <col min="10" max="10" width="11.33203125" bestFit="1" customWidth="1"/>
    <col min="11" max="11" width="12.21875" bestFit="1" customWidth="1"/>
  </cols>
  <sheetData>
    <row r="1" spans="1:11" x14ac:dyDescent="0.3">
      <c r="A1" s="44"/>
      <c r="B1" s="45">
        <v>2016</v>
      </c>
      <c r="C1" s="45">
        <v>2017</v>
      </c>
      <c r="D1" s="45">
        <v>2018</v>
      </c>
      <c r="E1" s="45">
        <v>2019</v>
      </c>
      <c r="F1" s="45">
        <v>2020</v>
      </c>
      <c r="G1" s="45">
        <v>2021</v>
      </c>
      <c r="H1" s="45">
        <v>2022</v>
      </c>
      <c r="I1" s="45">
        <v>2023</v>
      </c>
      <c r="J1" s="45" t="s">
        <v>266</v>
      </c>
      <c r="K1" s="45" t="s">
        <v>340</v>
      </c>
    </row>
    <row r="2" spans="1:11" x14ac:dyDescent="0.3">
      <c r="A2" s="65" t="s">
        <v>298</v>
      </c>
      <c r="B2" s="67">
        <f>Entrate_Uscite!B56</f>
        <v>72554807.549999952</v>
      </c>
      <c r="C2" s="67">
        <f>Entrate_Uscite!E56</f>
        <v>90685244.650000036</v>
      </c>
      <c r="D2" s="67">
        <f>Entrate_Uscite!H56</f>
        <v>107199697.72000003</v>
      </c>
      <c r="E2" s="67">
        <f>Entrate_Uscite!K56</f>
        <v>121106061.81999993</v>
      </c>
      <c r="F2" s="67">
        <f>Entrate_Uscite!N56</f>
        <v>107244836.7299999</v>
      </c>
      <c r="G2" s="67">
        <f>Entrate_Uscite!Q56</f>
        <v>69018956.830000043</v>
      </c>
      <c r="H2" s="67">
        <f>Entrate_Uscite!T56</f>
        <v>55307686.840000033</v>
      </c>
      <c r="I2" s="67">
        <f>Entrate_Uscite!W56</f>
        <v>122902928.86999989</v>
      </c>
      <c r="J2" s="67">
        <f t="shared" ref="J2:J6" si="0">I2-H2</f>
        <v>67595242.029999852</v>
      </c>
      <c r="K2" s="67">
        <f>Entrate_Uscite!X56</f>
        <v>82126903.559999943</v>
      </c>
    </row>
    <row r="3" spans="1:11" x14ac:dyDescent="0.3">
      <c r="A3" s="65" t="s">
        <v>72</v>
      </c>
      <c r="B3" s="68">
        <f>Entrate_Uscite!B57</f>
        <v>-40159914.79999999</v>
      </c>
      <c r="C3" s="68">
        <f>Entrate_Uscite!E57</f>
        <v>-25100757.730000004</v>
      </c>
      <c r="D3" s="68">
        <f>Entrate_Uscite!H57</f>
        <v>-12359497.240000002</v>
      </c>
      <c r="E3" s="68">
        <f>Entrate_Uscite!K57</f>
        <v>-8012337.5399999991</v>
      </c>
      <c r="F3" s="68">
        <f>Entrate_Uscite!N57</f>
        <v>-44083858.460000016</v>
      </c>
      <c r="G3" s="68">
        <f>Entrate_Uscite!Q57</f>
        <v>-33390074.599999987</v>
      </c>
      <c r="H3" s="68">
        <f>Entrate_Uscite!T57</f>
        <v>-20061458.019999981</v>
      </c>
      <c r="I3" s="68">
        <f>Entrate_Uscite!W57</f>
        <v>-103788753.87000006</v>
      </c>
      <c r="J3" s="67">
        <f t="shared" si="0"/>
        <v>-83727295.850000083</v>
      </c>
      <c r="K3" s="67">
        <f>Entrate_Uscite!X57</f>
        <v>-184367087.62</v>
      </c>
    </row>
    <row r="4" spans="1:11" x14ac:dyDescent="0.3">
      <c r="A4" s="65" t="s">
        <v>301</v>
      </c>
      <c r="B4" s="68">
        <f>Entrate_Uscite!B16-Entrate_Uscite!B50</f>
        <v>1212874.549999997</v>
      </c>
      <c r="C4" s="68">
        <f>Entrate_Uscite!E16-Entrate_Uscite!E50</f>
        <v>-1395504.4900000002</v>
      </c>
      <c r="D4" s="68">
        <f>Entrate_Uscite!H16-Entrate_Uscite!H50</f>
        <v>7627435.4899999993</v>
      </c>
      <c r="E4" s="68">
        <f>Entrate_Uscite!K16-Entrate_Uscite!K50</f>
        <v>33202853.09</v>
      </c>
      <c r="F4" s="68">
        <f>Entrate_Uscite!N16-Entrate_Uscite!N50</f>
        <v>24699550.640000001</v>
      </c>
      <c r="G4" s="68">
        <f>Entrate_Uscite!Q16-Entrate_Uscite!Q50</f>
        <v>0</v>
      </c>
      <c r="H4" s="68">
        <f>Entrate_Uscite!T16-Entrate_Uscite!T50</f>
        <v>-6500000</v>
      </c>
      <c r="I4" s="68">
        <f>Entrate_Uscite!W16-Entrate_Uscite!W50</f>
        <v>-6182000</v>
      </c>
      <c r="J4" s="67">
        <f t="shared" si="0"/>
        <v>318000</v>
      </c>
      <c r="K4" s="68">
        <f>Entrate_Uscite!X16-Entrate_Uscite!X50</f>
        <v>-23439301</v>
      </c>
    </row>
    <row r="5" spans="1:11" x14ac:dyDescent="0.3">
      <c r="A5" s="50" t="s">
        <v>299</v>
      </c>
      <c r="B5" s="69">
        <f>Entrate_Uscite!B58</f>
        <v>33607767.299999952</v>
      </c>
      <c r="C5" s="69">
        <f>Entrate_Uscite!E58</f>
        <v>64188982.430000067</v>
      </c>
      <c r="D5" s="69">
        <f>Entrate_Uscite!H58</f>
        <v>102467635.97000003</v>
      </c>
      <c r="E5" s="69">
        <f>Entrate_Uscite!K58</f>
        <v>146296577.36999989</v>
      </c>
      <c r="F5" s="69">
        <f>Entrate_Uscite!N58</f>
        <v>87860528.909999847</v>
      </c>
      <c r="G5" s="69">
        <f>Entrate_Uscite!Q58</f>
        <v>35628882.230000138</v>
      </c>
      <c r="H5" s="69">
        <f>Entrate_Uscite!T58</f>
        <v>28746228.820000052</v>
      </c>
      <c r="I5" s="69">
        <f>Entrate_Uscite!W58</f>
        <v>12932174.999999881</v>
      </c>
      <c r="J5" s="69">
        <f t="shared" si="0"/>
        <v>-15814053.820000172</v>
      </c>
      <c r="K5" s="69">
        <f>Entrate_Uscite!X58</f>
        <v>-125679485.06000018</v>
      </c>
    </row>
    <row r="6" spans="1:11" x14ac:dyDescent="0.3">
      <c r="A6" s="41" t="s">
        <v>300</v>
      </c>
      <c r="B6" s="70">
        <f>Entrate_Uscite!B59</f>
        <v>22179535.639999986</v>
      </c>
      <c r="C6" s="70">
        <f>Entrate_Uscite!E59</f>
        <v>47875626.250000119</v>
      </c>
      <c r="D6" s="70">
        <f>Entrate_Uscite!H59</f>
        <v>72063225.350000024</v>
      </c>
      <c r="E6" s="70">
        <f>Entrate_Uscite!K59</f>
        <v>123560581.02999997</v>
      </c>
      <c r="F6" s="70">
        <f>Entrate_Uscite!N59</f>
        <v>94680585.609999895</v>
      </c>
      <c r="G6" s="70">
        <f>Entrate_Uscite!Q59</f>
        <v>49186523.720000148</v>
      </c>
      <c r="H6" s="70">
        <f>Entrate_Uscite!T59</f>
        <v>15611648.629999995</v>
      </c>
      <c r="I6" s="70">
        <f>Entrate_Uscite!W59</f>
        <v>17846719.210000038</v>
      </c>
      <c r="J6" s="70">
        <f t="shared" si="0"/>
        <v>2235070.5800000429</v>
      </c>
      <c r="K6" s="70">
        <f>Entrate_Uscite!X59</f>
        <v>-120647836.43000019</v>
      </c>
    </row>
    <row r="7" spans="1:11" x14ac:dyDescent="0.3">
      <c r="K7" s="6"/>
    </row>
    <row r="8" spans="1:11" x14ac:dyDescent="0.3">
      <c r="K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workbookViewId="0">
      <selection activeCell="H111" sqref="H111"/>
    </sheetView>
  </sheetViews>
  <sheetFormatPr defaultRowHeight="14.4" x14ac:dyDescent="0.3"/>
  <cols>
    <col min="1" max="1" width="33.44140625" bestFit="1" customWidth="1"/>
    <col min="2" max="2" width="13.6640625" bestFit="1" customWidth="1"/>
    <col min="3" max="4" width="12.5546875" bestFit="1" customWidth="1"/>
    <col min="5" max="5" width="11.88671875" customWidth="1"/>
    <col min="6" max="6" width="10.88671875" customWidth="1"/>
    <col min="7" max="8" width="11.109375" bestFit="1" customWidth="1"/>
    <col min="9" max="9" width="12" bestFit="1" customWidth="1"/>
  </cols>
  <sheetData>
    <row r="1" spans="1:6" x14ac:dyDescent="0.3">
      <c r="A1" s="12">
        <v>2023</v>
      </c>
      <c r="B1" s="12" t="s">
        <v>367</v>
      </c>
      <c r="C1" s="12" t="s">
        <v>368</v>
      </c>
      <c r="D1" s="12" t="s">
        <v>369</v>
      </c>
      <c r="E1" s="136" t="s">
        <v>370</v>
      </c>
      <c r="F1" s="136" t="s">
        <v>371</v>
      </c>
    </row>
    <row r="2" spans="1:6" x14ac:dyDescent="0.3">
      <c r="A2" t="s">
        <v>372</v>
      </c>
      <c r="B2" s="1">
        <v>68833265.859999999</v>
      </c>
      <c r="C2" s="1">
        <v>59113897.920000002</v>
      </c>
      <c r="D2" s="1">
        <f>B2-C2</f>
        <v>9719367.9399999976</v>
      </c>
      <c r="E2" s="6">
        <f>IF(B2&gt;0,C2/B2*100,"-")</f>
        <v>85.879839030494026</v>
      </c>
      <c r="F2" s="6">
        <f>B2/B$11*100</f>
        <v>42.830242260218498</v>
      </c>
    </row>
    <row r="3" spans="1:6" x14ac:dyDescent="0.3">
      <c r="A3" t="s">
        <v>373</v>
      </c>
      <c r="B3" s="1">
        <v>9479995.3100000005</v>
      </c>
      <c r="C3" s="1">
        <v>7502733.1500000004</v>
      </c>
      <c r="D3" s="1">
        <f t="shared" ref="D3:D11" si="0">B3-C3</f>
        <v>1977262.1600000001</v>
      </c>
      <c r="E3" s="6">
        <f t="shared" ref="E3:E11" si="1">IF(B3&gt;0,C3/B3*100,"-")</f>
        <v>79.142793900812592</v>
      </c>
      <c r="F3" s="6">
        <f t="shared" ref="F3:F11" si="2">B3/B$11*100</f>
        <v>5.8987539045272204</v>
      </c>
    </row>
    <row r="4" spans="1:6" x14ac:dyDescent="0.3">
      <c r="A4" t="s">
        <v>374</v>
      </c>
      <c r="B4" s="1">
        <v>12159306.34</v>
      </c>
      <c r="C4" s="1">
        <v>8716667.5399999991</v>
      </c>
      <c r="D4" s="1">
        <f t="shared" si="0"/>
        <v>3442638.8000000007</v>
      </c>
      <c r="E4" s="6">
        <f t="shared" si="1"/>
        <v>71.687210571585936</v>
      </c>
      <c r="F4" s="6">
        <f t="shared" si="2"/>
        <v>7.5659062482613795</v>
      </c>
    </row>
    <row r="5" spans="1:6" x14ac:dyDescent="0.3">
      <c r="A5" t="s">
        <v>375</v>
      </c>
      <c r="B5" s="1">
        <v>50469825.289999999</v>
      </c>
      <c r="C5" s="1">
        <v>36583130.630000003</v>
      </c>
      <c r="D5" s="1">
        <f t="shared" si="0"/>
        <v>13886694.659999996</v>
      </c>
      <c r="E5" s="6">
        <f t="shared" si="1"/>
        <v>72.485154089187063</v>
      </c>
      <c r="F5" s="6">
        <f t="shared" si="2"/>
        <v>31.403926822216338</v>
      </c>
    </row>
    <row r="6" spans="1:6" x14ac:dyDescent="0.3">
      <c r="A6" t="s">
        <v>376</v>
      </c>
      <c r="B6" s="1">
        <v>1232520.28</v>
      </c>
      <c r="C6" s="1">
        <v>895505.18</v>
      </c>
      <c r="D6" s="1">
        <f t="shared" si="0"/>
        <v>337015.1</v>
      </c>
      <c r="E6" s="6">
        <f t="shared" si="1"/>
        <v>72.65642558027524</v>
      </c>
      <c r="F6" s="6">
        <f t="shared" si="2"/>
        <v>0.76691322899599434</v>
      </c>
    </row>
    <row r="7" spans="1:6" x14ac:dyDescent="0.3">
      <c r="A7" t="s">
        <v>377</v>
      </c>
      <c r="B7" s="1">
        <v>3390014.25</v>
      </c>
      <c r="C7" s="1">
        <v>1686398.68</v>
      </c>
      <c r="D7" s="1">
        <f t="shared" si="0"/>
        <v>1703615.57</v>
      </c>
      <c r="E7" s="6">
        <f t="shared" si="1"/>
        <v>49.74606463674894</v>
      </c>
      <c r="F7" s="6">
        <f t="shared" si="2"/>
        <v>2.1093744395101832</v>
      </c>
    </row>
    <row r="8" spans="1:6" x14ac:dyDescent="0.3">
      <c r="A8" t="s">
        <v>378</v>
      </c>
      <c r="B8" s="1">
        <v>13783697.550000001</v>
      </c>
      <c r="C8" s="1">
        <v>12075969.279999999</v>
      </c>
      <c r="D8" s="1">
        <f t="shared" si="0"/>
        <v>1707728.2700000014</v>
      </c>
      <c r="E8" s="125">
        <f t="shared" si="1"/>
        <v>87.610521314725148</v>
      </c>
      <c r="F8" s="6">
        <f t="shared" si="2"/>
        <v>8.5766540048936779</v>
      </c>
    </row>
    <row r="9" spans="1:6" x14ac:dyDescent="0.3">
      <c r="A9" t="s">
        <v>379</v>
      </c>
      <c r="B9" s="1">
        <v>225790.46</v>
      </c>
      <c r="C9" s="1">
        <v>89925.72</v>
      </c>
      <c r="D9" s="1">
        <f t="shared" si="0"/>
        <v>135864.74</v>
      </c>
      <c r="E9" s="125">
        <f t="shared" si="1"/>
        <v>39.827067981525879</v>
      </c>
      <c r="F9" s="6">
        <f t="shared" si="2"/>
        <v>0.14049398907666727</v>
      </c>
    </row>
    <row r="10" spans="1:6" x14ac:dyDescent="0.3">
      <c r="A10" t="s">
        <v>380</v>
      </c>
      <c r="B10" s="1">
        <v>1137414.03</v>
      </c>
      <c r="C10" s="1">
        <v>675753.04</v>
      </c>
      <c r="D10" s="1">
        <f t="shared" si="0"/>
        <v>461660.99</v>
      </c>
      <c r="E10" s="6">
        <f t="shared" si="1"/>
        <v>59.411350851721082</v>
      </c>
      <c r="F10" s="6">
        <f t="shared" si="2"/>
        <v>0.70773510230001802</v>
      </c>
    </row>
    <row r="11" spans="1:6" x14ac:dyDescent="0.3">
      <c r="A11" s="4" t="s">
        <v>207</v>
      </c>
      <c r="B11" s="3">
        <f>SUM(B2:B10)</f>
        <v>160711829.37000003</v>
      </c>
      <c r="C11" s="3">
        <f>SUM(C2:C10)</f>
        <v>127339981.14000003</v>
      </c>
      <c r="D11" s="3">
        <f t="shared" si="0"/>
        <v>33371848.230000004</v>
      </c>
      <c r="E11" s="126">
        <f t="shared" si="1"/>
        <v>79.234977063717309</v>
      </c>
      <c r="F11" s="126">
        <f t="shared" si="2"/>
        <v>100</v>
      </c>
    </row>
    <row r="12" spans="1:6" x14ac:dyDescent="0.3">
      <c r="A12" s="127" t="s">
        <v>381</v>
      </c>
      <c r="B12" s="128">
        <v>920949131.95000017</v>
      </c>
      <c r="C12" s="129"/>
      <c r="D12" s="129"/>
      <c r="E12" s="129"/>
      <c r="F12" s="130">
        <f>B11/B12*100</f>
        <v>17.450673853148857</v>
      </c>
    </row>
    <row r="14" spans="1:6" x14ac:dyDescent="0.3">
      <c r="A14" s="12">
        <v>2022</v>
      </c>
      <c r="B14" s="12" t="s">
        <v>367</v>
      </c>
      <c r="C14" s="12" t="s">
        <v>368</v>
      </c>
      <c r="D14" s="12" t="s">
        <v>369</v>
      </c>
      <c r="E14" s="136" t="s">
        <v>370</v>
      </c>
      <c r="F14" s="136" t="s">
        <v>371</v>
      </c>
    </row>
    <row r="15" spans="1:6" x14ac:dyDescent="0.3">
      <c r="A15" t="s">
        <v>372</v>
      </c>
      <c r="B15" s="98">
        <v>62020649.899999999</v>
      </c>
      <c r="C15" s="98">
        <v>50675945.859999999</v>
      </c>
      <c r="D15" s="1">
        <f>B15-C15</f>
        <v>11344704.039999999</v>
      </c>
      <c r="E15" s="6">
        <f>IF(B15&gt;0,C15/B15*100,"-")</f>
        <v>81.708182583878411</v>
      </c>
      <c r="F15" s="6">
        <f>B15/B$11*100</f>
        <v>38.591216429509046</v>
      </c>
    </row>
    <row r="16" spans="1:6" x14ac:dyDescent="0.3">
      <c r="A16" t="s">
        <v>373</v>
      </c>
      <c r="B16" s="98">
        <v>8451827.4199999999</v>
      </c>
      <c r="C16" s="98">
        <v>6159406.9400000004</v>
      </c>
      <c r="D16" s="1">
        <f t="shared" ref="D16:D24" si="3">B16-C16</f>
        <v>2292420.4799999995</v>
      </c>
      <c r="E16" s="6">
        <f t="shared" ref="E16:E24" si="4">IF(B16&gt;0,C16/B16*100,"-")</f>
        <v>72.876629324265124</v>
      </c>
      <c r="F16" s="6">
        <f t="shared" ref="F16:F24" si="5">B16/B$11*100</f>
        <v>5.2589952171732897</v>
      </c>
    </row>
    <row r="17" spans="1:6" x14ac:dyDescent="0.3">
      <c r="A17" t="s">
        <v>374</v>
      </c>
      <c r="B17" s="98">
        <v>12244413.42</v>
      </c>
      <c r="C17" s="98">
        <v>8943832.1699999999</v>
      </c>
      <c r="D17" s="1">
        <f t="shared" si="3"/>
        <v>3300581.25</v>
      </c>
      <c r="E17" s="6">
        <f t="shared" si="4"/>
        <v>73.04418646458933</v>
      </c>
      <c r="F17" s="6">
        <f t="shared" si="5"/>
        <v>7.6188625740860711</v>
      </c>
    </row>
    <row r="18" spans="1:6" x14ac:dyDescent="0.3">
      <c r="A18" t="s">
        <v>375</v>
      </c>
      <c r="B18" s="98">
        <v>49270895.450000003</v>
      </c>
      <c r="C18" s="98">
        <v>31908027.120000001</v>
      </c>
      <c r="D18" s="1">
        <f t="shared" si="3"/>
        <v>17362868.330000002</v>
      </c>
      <c r="E18" s="6">
        <f t="shared" si="4"/>
        <v>64.760396231037035</v>
      </c>
      <c r="F18" s="6">
        <f t="shared" si="5"/>
        <v>30.657914630892357</v>
      </c>
    </row>
    <row r="19" spans="1:6" x14ac:dyDescent="0.3">
      <c r="A19" t="s">
        <v>376</v>
      </c>
      <c r="B19" s="98">
        <v>1199837.6299999999</v>
      </c>
      <c r="C19" s="98">
        <v>777108.32</v>
      </c>
      <c r="D19" s="1">
        <f t="shared" si="3"/>
        <v>422729.30999999994</v>
      </c>
      <c r="E19" s="6">
        <f t="shared" si="4"/>
        <v>64.76779028842428</v>
      </c>
      <c r="F19" s="6">
        <f t="shared" si="5"/>
        <v>0.74657704706830541</v>
      </c>
    </row>
    <row r="20" spans="1:6" x14ac:dyDescent="0.3">
      <c r="A20" t="s">
        <v>377</v>
      </c>
      <c r="B20" s="98">
        <v>8432398.3800000008</v>
      </c>
      <c r="C20" s="98">
        <v>440466.53</v>
      </c>
      <c r="D20" s="1">
        <f t="shared" si="3"/>
        <v>7991931.8500000006</v>
      </c>
      <c r="E20" s="6">
        <f t="shared" si="4"/>
        <v>5.2235023791653452</v>
      </c>
      <c r="F20" s="6">
        <f t="shared" si="5"/>
        <v>5.2469058519559546</v>
      </c>
    </row>
    <row r="21" spans="1:6" x14ac:dyDescent="0.3">
      <c r="A21" t="s">
        <v>378</v>
      </c>
      <c r="B21" s="98">
        <v>15243501.08</v>
      </c>
      <c r="C21" s="98">
        <v>11601366.27</v>
      </c>
      <c r="D21" s="1">
        <f t="shared" si="3"/>
        <v>3642134.8100000005</v>
      </c>
      <c r="E21" s="125">
        <f t="shared" si="4"/>
        <v>76.106966563090893</v>
      </c>
      <c r="F21" s="6">
        <f t="shared" si="5"/>
        <v>9.4849900842740915</v>
      </c>
    </row>
    <row r="22" spans="1:6" x14ac:dyDescent="0.3">
      <c r="A22" t="s">
        <v>379</v>
      </c>
      <c r="B22" s="98">
        <v>444881.57</v>
      </c>
      <c r="C22" s="98">
        <v>296828.33</v>
      </c>
      <c r="D22" s="1">
        <f t="shared" si="3"/>
        <v>148053.24</v>
      </c>
      <c r="E22" s="125">
        <f t="shared" si="4"/>
        <v>66.720752221765451</v>
      </c>
      <c r="F22" s="6">
        <f t="shared" si="5"/>
        <v>0.2768194299971336</v>
      </c>
    </row>
    <row r="23" spans="1:6" x14ac:dyDescent="0.3">
      <c r="A23" t="s">
        <v>380</v>
      </c>
      <c r="B23" s="98">
        <v>1517496.45</v>
      </c>
      <c r="C23" s="98">
        <v>683315.19</v>
      </c>
      <c r="D23" s="1">
        <f t="shared" si="3"/>
        <v>834181.26</v>
      </c>
      <c r="E23" s="6">
        <f t="shared" si="4"/>
        <v>45.029112918188375</v>
      </c>
      <c r="F23" s="6">
        <f t="shared" si="5"/>
        <v>0.94423444493705078</v>
      </c>
    </row>
    <row r="24" spans="1:6" x14ac:dyDescent="0.3">
      <c r="A24" s="4" t="s">
        <v>207</v>
      </c>
      <c r="B24" s="3">
        <f>SUM(B15:B23)</f>
        <v>158825901.29999998</v>
      </c>
      <c r="C24" s="3">
        <f>SUM(C15:C23)</f>
        <v>111486296.72999999</v>
      </c>
      <c r="D24" s="3">
        <f t="shared" si="3"/>
        <v>47339604.569999993</v>
      </c>
      <c r="E24" s="126">
        <f t="shared" si="4"/>
        <v>70.194027433483868</v>
      </c>
      <c r="F24" s="126">
        <f t="shared" si="5"/>
        <v>98.826515709893286</v>
      </c>
    </row>
    <row r="25" spans="1:6" x14ac:dyDescent="0.3">
      <c r="A25" s="127" t="s">
        <v>381</v>
      </c>
      <c r="B25" s="128">
        <v>741290948</v>
      </c>
      <c r="C25" s="129"/>
      <c r="D25" s="129"/>
      <c r="E25" s="129"/>
      <c r="F25" s="130">
        <f>B24/B25*100</f>
        <v>21.425582185849109</v>
      </c>
    </row>
    <row r="27" spans="1:6" x14ac:dyDescent="0.3">
      <c r="A27" s="12">
        <v>2021</v>
      </c>
      <c r="B27" s="12" t="s">
        <v>367</v>
      </c>
      <c r="C27" s="12" t="s">
        <v>368</v>
      </c>
      <c r="D27" s="12" t="s">
        <v>369</v>
      </c>
      <c r="E27" s="12" t="s">
        <v>370</v>
      </c>
      <c r="F27" s="12" t="s">
        <v>371</v>
      </c>
    </row>
    <row r="28" spans="1:6" x14ac:dyDescent="0.3">
      <c r="A28" t="s">
        <v>372</v>
      </c>
      <c r="B28" s="98">
        <v>60287897.310000002</v>
      </c>
      <c r="C28" s="98">
        <v>46111805.149999999</v>
      </c>
      <c r="D28" s="1">
        <f>B28-C28</f>
        <v>14176092.160000004</v>
      </c>
      <c r="E28" s="6">
        <f>IF(B28&gt;0,C28/B28*100,"-")</f>
        <v>76.48600665717926</v>
      </c>
      <c r="F28" s="6">
        <f>B28/B$11*100</f>
        <v>37.513042783678188</v>
      </c>
    </row>
    <row r="29" spans="1:6" x14ac:dyDescent="0.3">
      <c r="A29" t="s">
        <v>373</v>
      </c>
      <c r="B29" s="98">
        <v>8718545.4299999997</v>
      </c>
      <c r="C29" s="98">
        <v>5898033.0499999998</v>
      </c>
      <c r="D29" s="1">
        <f t="shared" ref="D29:D37" si="6">B29-C29</f>
        <v>2820512.38</v>
      </c>
      <c r="E29" s="6">
        <f t="shared" ref="E29:E37" si="7">IF(B29&gt;0,C29/B29*100,"-")</f>
        <v>67.649278166346605</v>
      </c>
      <c r="F29" s="6">
        <f t="shared" ref="F29:F37" si="8">B29/B$11*100</f>
        <v>5.4249556265877992</v>
      </c>
    </row>
    <row r="30" spans="1:6" x14ac:dyDescent="0.3">
      <c r="A30" t="s">
        <v>374</v>
      </c>
      <c r="B30" s="98">
        <v>11628717.15</v>
      </c>
      <c r="C30" s="98">
        <v>9244600.8399999999</v>
      </c>
      <c r="D30" s="1">
        <f t="shared" si="6"/>
        <v>2384116.3100000005</v>
      </c>
      <c r="E30" s="6">
        <f t="shared" si="7"/>
        <v>79.498028206834491</v>
      </c>
      <c r="F30" s="6">
        <f t="shared" si="8"/>
        <v>7.2357568173950018</v>
      </c>
    </row>
    <row r="31" spans="1:6" x14ac:dyDescent="0.3">
      <c r="A31" t="s">
        <v>375</v>
      </c>
      <c r="B31" s="98">
        <v>40279667.549999997</v>
      </c>
      <c r="C31" s="98">
        <v>22495037.140000001</v>
      </c>
      <c r="D31" s="1">
        <f t="shared" si="6"/>
        <v>17784630.409999996</v>
      </c>
      <c r="E31" s="6">
        <f t="shared" si="7"/>
        <v>55.847127119598092</v>
      </c>
      <c r="F31" s="6">
        <f t="shared" si="8"/>
        <v>25.063287318611643</v>
      </c>
    </row>
    <row r="32" spans="1:6" x14ac:dyDescent="0.3">
      <c r="A32" t="s">
        <v>376</v>
      </c>
      <c r="B32" s="98">
        <v>1074689.81</v>
      </c>
      <c r="C32" s="98">
        <v>671702.74</v>
      </c>
      <c r="D32" s="1">
        <f t="shared" si="6"/>
        <v>402987.07000000007</v>
      </c>
      <c r="E32" s="6">
        <f t="shared" si="7"/>
        <v>62.502010696463195</v>
      </c>
      <c r="F32" s="6">
        <f t="shared" si="8"/>
        <v>0.6687061022283477</v>
      </c>
    </row>
    <row r="33" spans="1:6" x14ac:dyDescent="0.3">
      <c r="A33" t="s">
        <v>377</v>
      </c>
      <c r="B33" s="98">
        <v>11426018.949999999</v>
      </c>
      <c r="C33" s="98">
        <v>11198853.300000001</v>
      </c>
      <c r="D33" s="1">
        <f t="shared" si="6"/>
        <v>227165.64999999851</v>
      </c>
      <c r="E33" s="6">
        <f t="shared" si="7"/>
        <v>98.011856526808941</v>
      </c>
      <c r="F33" s="6">
        <f t="shared" si="8"/>
        <v>7.1096315652622932</v>
      </c>
    </row>
    <row r="34" spans="1:6" x14ac:dyDescent="0.3">
      <c r="A34" t="s">
        <v>378</v>
      </c>
      <c r="B34" s="98">
        <v>12590556.119999999</v>
      </c>
      <c r="C34" s="98">
        <v>11058720.84</v>
      </c>
      <c r="D34" s="1">
        <f t="shared" si="6"/>
        <v>1531835.2799999993</v>
      </c>
      <c r="E34" s="125">
        <f t="shared" si="7"/>
        <v>87.833458145929782</v>
      </c>
      <c r="F34" s="6">
        <f t="shared" si="8"/>
        <v>7.8342435459516153</v>
      </c>
    </row>
    <row r="35" spans="1:6" x14ac:dyDescent="0.3">
      <c r="A35" t="s">
        <v>379</v>
      </c>
      <c r="B35" s="98">
        <v>529176.29</v>
      </c>
      <c r="C35" s="98">
        <v>361543.23</v>
      </c>
      <c r="D35" s="1">
        <f t="shared" si="6"/>
        <v>167633.06000000006</v>
      </c>
      <c r="E35" s="125">
        <f t="shared" si="7"/>
        <v>68.321887588727748</v>
      </c>
      <c r="F35" s="6">
        <f t="shared" si="8"/>
        <v>0.32927027965172367</v>
      </c>
    </row>
    <row r="36" spans="1:6" x14ac:dyDescent="0.3">
      <c r="A36" t="s">
        <v>380</v>
      </c>
      <c r="B36" s="98">
        <v>1570130.81</v>
      </c>
      <c r="C36" s="98">
        <v>834062.15</v>
      </c>
      <c r="D36" s="1">
        <f t="shared" si="6"/>
        <v>736068.66</v>
      </c>
      <c r="E36" s="6">
        <f t="shared" si="7"/>
        <v>53.120551783835133</v>
      </c>
      <c r="F36" s="6">
        <f t="shared" si="8"/>
        <v>0.97698521394162863</v>
      </c>
    </row>
    <row r="37" spans="1:6" x14ac:dyDescent="0.3">
      <c r="A37" s="4" t="s">
        <v>207</v>
      </c>
      <c r="B37" s="3">
        <f>SUM(B28:B36)</f>
        <v>148105399.42000002</v>
      </c>
      <c r="C37" s="3">
        <f>SUM(C28:C36)</f>
        <v>107874358.44</v>
      </c>
      <c r="D37" s="3">
        <f t="shared" si="6"/>
        <v>40231040.980000019</v>
      </c>
      <c r="E37" s="126">
        <f t="shared" si="7"/>
        <v>72.836209120295408</v>
      </c>
      <c r="F37" s="126">
        <f t="shared" si="8"/>
        <v>92.155879253308242</v>
      </c>
    </row>
    <row r="38" spans="1:6" x14ac:dyDescent="0.3">
      <c r="A38" s="127" t="s">
        <v>381</v>
      </c>
      <c r="B38" s="128">
        <v>675008455.75</v>
      </c>
      <c r="C38" s="129"/>
      <c r="D38" s="129"/>
      <c r="E38" s="129"/>
      <c r="F38" s="130">
        <f>B37/B38*100</f>
        <v>21.941265795765556</v>
      </c>
    </row>
    <row r="40" spans="1:6" x14ac:dyDescent="0.3">
      <c r="A40" s="12">
        <v>2020</v>
      </c>
      <c r="B40" s="12" t="s">
        <v>367</v>
      </c>
      <c r="C40" s="12" t="s">
        <v>368</v>
      </c>
      <c r="D40" s="12" t="s">
        <v>369</v>
      </c>
      <c r="E40" s="12" t="s">
        <v>370</v>
      </c>
      <c r="F40" s="12" t="s">
        <v>371</v>
      </c>
    </row>
    <row r="41" spans="1:6" x14ac:dyDescent="0.3">
      <c r="A41" t="s">
        <v>372</v>
      </c>
      <c r="B41" s="1">
        <v>54780825.549999997</v>
      </c>
      <c r="C41" s="1">
        <v>40010438.840000004</v>
      </c>
      <c r="D41" s="1">
        <f>B41-C41</f>
        <v>14770386.709999993</v>
      </c>
      <c r="E41" s="6">
        <f>IF(B41&gt;0,C41/B41*100,"-")</f>
        <v>73.037305367881601</v>
      </c>
      <c r="F41" s="6">
        <f>B41/B$11*100</f>
        <v>34.086367982210206</v>
      </c>
    </row>
    <row r="42" spans="1:6" x14ac:dyDescent="0.3">
      <c r="A42" t="s">
        <v>373</v>
      </c>
      <c r="B42" s="1">
        <v>8349320.0199999996</v>
      </c>
      <c r="C42" s="1">
        <v>4816584.78</v>
      </c>
      <c r="D42" s="1">
        <f t="shared" ref="D42:D50" si="9">B42-C42</f>
        <v>3532735.2399999993</v>
      </c>
      <c r="E42" s="6">
        <f t="shared" ref="E42:E50" si="10">IF(B42&gt;0,C42/B42*100,"-")</f>
        <v>57.688347894946304</v>
      </c>
      <c r="F42" s="6">
        <f t="shared" ref="F42:F50" si="11">B42/B$11*100</f>
        <v>5.19521186009134</v>
      </c>
    </row>
    <row r="43" spans="1:6" x14ac:dyDescent="0.3">
      <c r="A43" t="s">
        <v>374</v>
      </c>
      <c r="B43" s="1">
        <v>11784859.800000001</v>
      </c>
      <c r="C43" s="1">
        <v>7249283.6799999997</v>
      </c>
      <c r="D43" s="1">
        <f t="shared" si="9"/>
        <v>4535576.120000001</v>
      </c>
      <c r="E43" s="6">
        <f t="shared" si="10"/>
        <v>61.513533491505768</v>
      </c>
      <c r="F43" s="6">
        <f t="shared" si="11"/>
        <v>7.3329137290001327</v>
      </c>
    </row>
    <row r="44" spans="1:6" x14ac:dyDescent="0.3">
      <c r="A44" t="s">
        <v>375</v>
      </c>
      <c r="B44" s="1">
        <v>43994897.380000003</v>
      </c>
      <c r="C44" s="1">
        <v>26758253.760000002</v>
      </c>
      <c r="D44" s="1">
        <f t="shared" si="9"/>
        <v>17236643.620000001</v>
      </c>
      <c r="E44" s="6">
        <f t="shared" si="10"/>
        <v>60.821266450241239</v>
      </c>
      <c r="F44" s="6">
        <f t="shared" si="11"/>
        <v>27.375021211856421</v>
      </c>
    </row>
    <row r="45" spans="1:6" x14ac:dyDescent="0.3">
      <c r="A45" t="s">
        <v>376</v>
      </c>
      <c r="B45" s="1">
        <v>926316.95</v>
      </c>
      <c r="C45" s="1">
        <v>599696.47</v>
      </c>
      <c r="D45" s="1">
        <f t="shared" si="9"/>
        <v>326620.48</v>
      </c>
      <c r="E45" s="13">
        <f t="shared" si="10"/>
        <v>64.739878720776943</v>
      </c>
      <c r="F45" s="6">
        <f t="shared" si="11"/>
        <v>0.57638380051500737</v>
      </c>
    </row>
    <row r="46" spans="1:6" x14ac:dyDescent="0.3">
      <c r="A46" t="s">
        <v>377</v>
      </c>
      <c r="B46" s="1">
        <v>4262285.41</v>
      </c>
      <c r="C46" s="1">
        <v>2537560.66</v>
      </c>
      <c r="D46" s="1">
        <f t="shared" si="9"/>
        <v>1724724.75</v>
      </c>
      <c r="E46" s="6">
        <f t="shared" si="10"/>
        <v>59.535212119922299</v>
      </c>
      <c r="F46" s="6">
        <f t="shared" si="11"/>
        <v>2.6521292344866048</v>
      </c>
    </row>
    <row r="47" spans="1:6" x14ac:dyDescent="0.3">
      <c r="A47" t="s">
        <v>378</v>
      </c>
      <c r="B47" s="1">
        <v>11943419.289999999</v>
      </c>
      <c r="C47" s="1">
        <v>10946029.16</v>
      </c>
      <c r="D47" s="1">
        <f t="shared" si="9"/>
        <v>997390.12999999896</v>
      </c>
      <c r="E47" s="125">
        <f t="shared" si="10"/>
        <v>91.649040314316892</v>
      </c>
      <c r="F47" s="6">
        <f t="shared" si="11"/>
        <v>7.4315744751453057</v>
      </c>
    </row>
    <row r="48" spans="1:6" x14ac:dyDescent="0.3">
      <c r="A48" t="s">
        <v>379</v>
      </c>
      <c r="B48" s="1">
        <v>383024.54</v>
      </c>
      <c r="C48" s="1">
        <v>157336.13</v>
      </c>
      <c r="D48" s="1">
        <f t="shared" si="9"/>
        <v>225688.40999999997</v>
      </c>
      <c r="E48" s="125">
        <f t="shared" si="10"/>
        <v>41.077297553832977</v>
      </c>
      <c r="F48" s="6">
        <f t="shared" si="11"/>
        <v>0.23833002306145046</v>
      </c>
    </row>
    <row r="49" spans="1:8" x14ac:dyDescent="0.3">
      <c r="A49" t="s">
        <v>380</v>
      </c>
      <c r="B49" s="1">
        <v>1274225.1299999999</v>
      </c>
      <c r="C49" s="1">
        <v>769137.71</v>
      </c>
      <c r="D49" s="1">
        <f t="shared" si="9"/>
        <v>505087.41999999993</v>
      </c>
      <c r="E49" s="6">
        <f t="shared" si="10"/>
        <v>60.361210267450936</v>
      </c>
      <c r="F49" s="6">
        <f t="shared" si="11"/>
        <v>0.79286331005940169</v>
      </c>
      <c r="H49" s="21"/>
    </row>
    <row r="50" spans="1:8" x14ac:dyDescent="0.3">
      <c r="A50" s="4" t="s">
        <v>207</v>
      </c>
      <c r="B50" s="3">
        <f>SUM(B41:B49)</f>
        <v>137699174.06999999</v>
      </c>
      <c r="C50" s="3">
        <f>SUM(C41:C49)</f>
        <v>93844321.189999983</v>
      </c>
      <c r="D50" s="3">
        <f t="shared" si="9"/>
        <v>43854852.88000001</v>
      </c>
      <c r="E50" s="126">
        <f t="shared" si="10"/>
        <v>68.151695043787115</v>
      </c>
      <c r="F50" s="126">
        <f t="shared" si="11"/>
        <v>85.680795626425862</v>
      </c>
      <c r="H50" s="21"/>
    </row>
    <row r="51" spans="1:8" x14ac:dyDescent="0.3">
      <c r="A51" s="129" t="s">
        <v>381</v>
      </c>
      <c r="B51" s="131">
        <v>605273519.36000013</v>
      </c>
      <c r="C51" s="129"/>
      <c r="D51" s="129"/>
      <c r="E51" s="129"/>
      <c r="F51" s="130">
        <f>B50/B51*100</f>
        <v>22.749908870224385</v>
      </c>
      <c r="H51" s="21"/>
    </row>
    <row r="52" spans="1:8" x14ac:dyDescent="0.3">
      <c r="H52" s="7"/>
    </row>
    <row r="53" spans="1:8" x14ac:dyDescent="0.3">
      <c r="A53" s="12">
        <v>2019</v>
      </c>
      <c r="B53" s="12" t="s">
        <v>367</v>
      </c>
      <c r="C53" s="12" t="s">
        <v>368</v>
      </c>
      <c r="D53" s="12" t="s">
        <v>369</v>
      </c>
      <c r="H53" s="31"/>
    </row>
    <row r="54" spans="1:8" x14ac:dyDescent="0.3">
      <c r="A54" t="s">
        <v>372</v>
      </c>
      <c r="B54" s="1">
        <v>52063125.43</v>
      </c>
      <c r="C54" s="1">
        <v>39128450.25</v>
      </c>
      <c r="D54" s="1">
        <f>B54-C54</f>
        <v>12934675.18</v>
      </c>
      <c r="E54" s="6">
        <f>IF(B54&gt;0,C54/B54*100,"-")</f>
        <v>75.155784303823722</v>
      </c>
      <c r="F54" s="6">
        <f>B54/B$63*100</f>
        <v>43.416645728246166</v>
      </c>
    </row>
    <row r="55" spans="1:8" x14ac:dyDescent="0.3">
      <c r="A55" t="s">
        <v>373</v>
      </c>
      <c r="B55" s="1">
        <v>8742181.5199999996</v>
      </c>
      <c r="C55" s="1">
        <v>4951488.49</v>
      </c>
      <c r="D55" s="1">
        <f t="shared" ref="D55:D63" si="12">B55-C55</f>
        <v>3790693.0299999993</v>
      </c>
      <c r="E55" s="6">
        <f t="shared" ref="E55:E63" si="13">IF(B55&gt;0,C55/B55*100,"-")</f>
        <v>56.639049174078473</v>
      </c>
      <c r="F55" s="6">
        <f t="shared" ref="F55:F63" si="14">B55/B$63*100</f>
        <v>7.2903075797126711</v>
      </c>
    </row>
    <row r="56" spans="1:8" x14ac:dyDescent="0.3">
      <c r="A56" t="s">
        <v>374</v>
      </c>
      <c r="B56" s="1">
        <v>11707487.460000001</v>
      </c>
      <c r="C56" s="1">
        <v>7905011.0499999998</v>
      </c>
      <c r="D56" s="1">
        <f t="shared" si="12"/>
        <v>3802476.4100000011</v>
      </c>
      <c r="E56" s="6">
        <f t="shared" si="13"/>
        <v>67.520986693416447</v>
      </c>
      <c r="F56" s="6">
        <f t="shared" si="14"/>
        <v>9.7631448596401444</v>
      </c>
    </row>
    <row r="57" spans="1:8" x14ac:dyDescent="0.3">
      <c r="A57" t="s">
        <v>375</v>
      </c>
      <c r="B57" s="1">
        <v>31778445.800000001</v>
      </c>
      <c r="C57" s="1">
        <v>17605287.050000001</v>
      </c>
      <c r="D57" s="1">
        <f t="shared" si="12"/>
        <v>14173158.75</v>
      </c>
      <c r="E57" s="6">
        <f t="shared" si="13"/>
        <v>55.40008835170913</v>
      </c>
      <c r="F57" s="6">
        <f t="shared" si="14"/>
        <v>26.500781727903121</v>
      </c>
    </row>
    <row r="58" spans="1:8" x14ac:dyDescent="0.3">
      <c r="A58" t="s">
        <v>376</v>
      </c>
      <c r="B58" s="1">
        <v>779347.96</v>
      </c>
      <c r="C58" s="1">
        <v>554596.72</v>
      </c>
      <c r="D58" s="1">
        <f t="shared" si="12"/>
        <v>224751.24</v>
      </c>
      <c r="E58" s="13">
        <f t="shared" si="13"/>
        <v>71.161631063998669</v>
      </c>
      <c r="F58" s="6">
        <f t="shared" si="14"/>
        <v>0.6499163083062599</v>
      </c>
    </row>
    <row r="59" spans="1:8" x14ac:dyDescent="0.3">
      <c r="A59" t="s">
        <v>377</v>
      </c>
      <c r="B59" s="1">
        <v>2127617.96</v>
      </c>
      <c r="C59" s="1">
        <v>608617.06999999995</v>
      </c>
      <c r="D59" s="1">
        <f t="shared" si="12"/>
        <v>1519000.8900000001</v>
      </c>
      <c r="E59" s="6">
        <f t="shared" si="13"/>
        <v>28.605561780461752</v>
      </c>
      <c r="F59" s="6">
        <f t="shared" si="14"/>
        <v>1.774269878180339</v>
      </c>
    </row>
    <row r="60" spans="1:8" x14ac:dyDescent="0.3">
      <c r="A60" t="s">
        <v>378</v>
      </c>
      <c r="B60" s="1">
        <v>11196998.25</v>
      </c>
      <c r="C60" s="1">
        <v>10091569.73</v>
      </c>
      <c r="D60" s="1">
        <f t="shared" si="12"/>
        <v>1105428.5199999996</v>
      </c>
      <c r="E60" s="125">
        <f t="shared" si="13"/>
        <v>90.127456526127432</v>
      </c>
      <c r="F60" s="6">
        <f t="shared" si="14"/>
        <v>9.3374360879210521</v>
      </c>
    </row>
    <row r="61" spans="1:8" x14ac:dyDescent="0.3">
      <c r="A61" t="s">
        <v>379</v>
      </c>
      <c r="B61" s="1">
        <v>363827.67</v>
      </c>
      <c r="C61" s="1">
        <v>61928.95</v>
      </c>
      <c r="D61" s="1">
        <f t="shared" si="12"/>
        <v>301898.71999999997</v>
      </c>
      <c r="E61" s="125">
        <f t="shared" si="13"/>
        <v>17.021506363163638</v>
      </c>
      <c r="F61" s="6">
        <f t="shared" si="14"/>
        <v>0.30340431781725352</v>
      </c>
    </row>
    <row r="62" spans="1:8" x14ac:dyDescent="0.3">
      <c r="A62" t="s">
        <v>380</v>
      </c>
      <c r="B62" s="1">
        <v>1156093.95</v>
      </c>
      <c r="C62" s="1">
        <v>729031.05</v>
      </c>
      <c r="D62" s="1">
        <f t="shared" si="12"/>
        <v>427062.89999999991</v>
      </c>
      <c r="E62" s="6">
        <f t="shared" si="13"/>
        <v>63.059844747046732</v>
      </c>
      <c r="F62" s="6">
        <f t="shared" si="14"/>
        <v>0.96409351227300555</v>
      </c>
    </row>
    <row r="63" spans="1:8" x14ac:dyDescent="0.3">
      <c r="A63" s="4" t="s">
        <v>207</v>
      </c>
      <c r="B63" s="3">
        <f>SUM(B54:B62)</f>
        <v>119915125.99999999</v>
      </c>
      <c r="C63" s="3">
        <f>SUM(C54:C62)</f>
        <v>81635980.359999999</v>
      </c>
      <c r="D63" s="3">
        <f t="shared" si="12"/>
        <v>38279145.639999986</v>
      </c>
      <c r="E63" s="126">
        <f t="shared" si="13"/>
        <v>68.078134162991262</v>
      </c>
      <c r="F63" s="126">
        <f t="shared" si="14"/>
        <v>100</v>
      </c>
    </row>
    <row r="64" spans="1:8" x14ac:dyDescent="0.3">
      <c r="A64" s="129" t="s">
        <v>381</v>
      </c>
      <c r="B64" s="131">
        <v>572585271.2700001</v>
      </c>
      <c r="C64" s="129"/>
      <c r="D64" s="129"/>
      <c r="E64" s="129"/>
      <c r="F64" s="130">
        <f>B63/B64*100</f>
        <v>20.942754209172545</v>
      </c>
    </row>
    <row r="66" spans="1:6" x14ac:dyDescent="0.3">
      <c r="A66" s="12">
        <v>2018</v>
      </c>
      <c r="B66" s="12" t="s">
        <v>367</v>
      </c>
      <c r="C66" s="12" t="s">
        <v>368</v>
      </c>
      <c r="D66" s="12" t="s">
        <v>369</v>
      </c>
    </row>
    <row r="67" spans="1:6" x14ac:dyDescent="0.3">
      <c r="A67" t="s">
        <v>372</v>
      </c>
      <c r="B67" s="1">
        <v>52453844.420000002</v>
      </c>
      <c r="C67" s="1">
        <v>42783763.75</v>
      </c>
      <c r="D67" s="1">
        <f>B67-C67</f>
        <v>9670080.6700000018</v>
      </c>
      <c r="E67" s="6">
        <f>IF(B67&gt;0,C67/B67*100,"-")</f>
        <v>81.564591162143842</v>
      </c>
      <c r="F67" s="6">
        <f>B67/B$76*100</f>
        <v>45.454051134739089</v>
      </c>
    </row>
    <row r="68" spans="1:6" x14ac:dyDescent="0.3">
      <c r="A68" t="s">
        <v>373</v>
      </c>
      <c r="B68" s="1">
        <v>9623471.0299999993</v>
      </c>
      <c r="C68" s="1">
        <v>6640516.7199999997</v>
      </c>
      <c r="D68" s="1">
        <f>B68-C68</f>
        <v>2982954.3099999996</v>
      </c>
      <c r="E68" s="6">
        <f t="shared" ref="E68:E76" si="15">IF(B68&gt;0,C68/B68*100,"-")</f>
        <v>69.00334296532921</v>
      </c>
      <c r="F68" s="6">
        <f t="shared" ref="F68:F76" si="16">B68/B$76*100</f>
        <v>8.3392504234544749</v>
      </c>
    </row>
    <row r="69" spans="1:6" x14ac:dyDescent="0.3">
      <c r="A69" t="s">
        <v>374</v>
      </c>
      <c r="B69" s="1">
        <v>10267170.08</v>
      </c>
      <c r="C69" s="1">
        <v>7075436.8600000003</v>
      </c>
      <c r="D69" s="1">
        <f t="shared" ref="D69:D76" si="17">B69-C69</f>
        <v>3191733.2199999997</v>
      </c>
      <c r="E69" s="6">
        <f t="shared" si="15"/>
        <v>68.913213717795941</v>
      </c>
      <c r="F69" s="6">
        <f t="shared" si="16"/>
        <v>8.897049949068025</v>
      </c>
    </row>
    <row r="70" spans="1:6" x14ac:dyDescent="0.3">
      <c r="A70" t="s">
        <v>375</v>
      </c>
      <c r="B70" s="1">
        <v>27000863.670000002</v>
      </c>
      <c r="C70" s="1">
        <v>16445160</v>
      </c>
      <c r="D70" s="1">
        <f t="shared" si="17"/>
        <v>10555703.670000002</v>
      </c>
      <c r="E70" s="6">
        <f t="shared" si="15"/>
        <v>60.906051750751267</v>
      </c>
      <c r="F70" s="6">
        <f t="shared" si="16"/>
        <v>23.397687081070178</v>
      </c>
    </row>
    <row r="71" spans="1:6" x14ac:dyDescent="0.3">
      <c r="A71" t="s">
        <v>376</v>
      </c>
      <c r="B71" s="1">
        <v>728056.48</v>
      </c>
      <c r="C71" s="1">
        <v>559795</v>
      </c>
      <c r="D71" s="1">
        <f t="shared" si="17"/>
        <v>168261.47999999998</v>
      </c>
      <c r="E71" s="13">
        <f t="shared" si="15"/>
        <v>76.888952351608765</v>
      </c>
      <c r="F71" s="6">
        <f t="shared" si="16"/>
        <v>0.63089973360046314</v>
      </c>
    </row>
    <row r="72" spans="1:6" x14ac:dyDescent="0.3">
      <c r="A72" t="s">
        <v>377</v>
      </c>
      <c r="B72" s="1">
        <v>2478001.54</v>
      </c>
      <c r="C72" s="1">
        <v>2331184.5299999998</v>
      </c>
      <c r="D72" s="1">
        <f t="shared" si="17"/>
        <v>146817.01000000024</v>
      </c>
      <c r="E72" s="6">
        <f t="shared" si="15"/>
        <v>94.07518487660019</v>
      </c>
      <c r="F72" s="6">
        <f t="shared" si="16"/>
        <v>2.1473203719683087</v>
      </c>
    </row>
    <row r="73" spans="1:6" x14ac:dyDescent="0.3">
      <c r="A73" t="s">
        <v>378</v>
      </c>
      <c r="B73" s="1">
        <v>11505830.07</v>
      </c>
      <c r="C73" s="1">
        <v>10142246.6</v>
      </c>
      <c r="D73" s="1">
        <f t="shared" si="17"/>
        <v>1363583.4700000007</v>
      </c>
      <c r="E73" s="125">
        <f t="shared" si="15"/>
        <v>88.148760570040295</v>
      </c>
      <c r="F73" s="6">
        <f t="shared" si="16"/>
        <v>9.9704148310240956</v>
      </c>
    </row>
    <row r="74" spans="1:6" x14ac:dyDescent="0.3">
      <c r="A74" t="s">
        <v>379</v>
      </c>
      <c r="B74" s="1">
        <v>204917.53</v>
      </c>
      <c r="C74" s="1">
        <v>39317.410000000003</v>
      </c>
      <c r="D74" s="1">
        <f t="shared" si="17"/>
        <v>165600.12</v>
      </c>
      <c r="E74" s="125">
        <f t="shared" si="15"/>
        <v>19.186943157083732</v>
      </c>
      <c r="F74" s="6">
        <f t="shared" si="16"/>
        <v>0.17757195854786559</v>
      </c>
    </row>
    <row r="75" spans="1:6" x14ac:dyDescent="0.3">
      <c r="A75" t="s">
        <v>380</v>
      </c>
      <c r="B75" s="1">
        <v>1137557.8799999999</v>
      </c>
      <c r="C75" s="1">
        <v>720715.36</v>
      </c>
      <c r="D75" s="1">
        <f t="shared" si="17"/>
        <v>416842.5199999999</v>
      </c>
      <c r="E75" s="6">
        <f t="shared" si="15"/>
        <v>63.356368293101717</v>
      </c>
      <c r="F75" s="6">
        <f t="shared" si="16"/>
        <v>0.98575451652749191</v>
      </c>
    </row>
    <row r="76" spans="1:6" x14ac:dyDescent="0.3">
      <c r="A76" s="4" t="s">
        <v>207</v>
      </c>
      <c r="B76" s="3">
        <f>SUM(B67:B75)</f>
        <v>115399712.70000002</v>
      </c>
      <c r="C76" s="3">
        <f>SUM(C67:C75)</f>
        <v>86738136.229999989</v>
      </c>
      <c r="D76" s="3">
        <f t="shared" si="17"/>
        <v>28661576.470000029</v>
      </c>
      <c r="E76" s="126">
        <f t="shared" si="15"/>
        <v>75.16321678849377</v>
      </c>
      <c r="F76" s="126">
        <f t="shared" si="16"/>
        <v>100</v>
      </c>
    </row>
    <row r="77" spans="1:6" x14ac:dyDescent="0.3">
      <c r="A77" s="129" t="s">
        <v>381</v>
      </c>
      <c r="B77" s="131">
        <v>561574547.34000003</v>
      </c>
      <c r="C77" s="129"/>
      <c r="D77" s="129"/>
      <c r="E77" s="129"/>
      <c r="F77" s="130">
        <f>B76/B77*100</f>
        <v>20.549313220588743</v>
      </c>
    </row>
    <row r="79" spans="1:6" x14ac:dyDescent="0.3">
      <c r="A79" s="12">
        <v>2017</v>
      </c>
      <c r="B79" s="12" t="s">
        <v>367</v>
      </c>
      <c r="C79" s="12" t="s">
        <v>368</v>
      </c>
      <c r="D79" s="12" t="s">
        <v>369</v>
      </c>
    </row>
    <row r="80" spans="1:6" x14ac:dyDescent="0.3">
      <c r="A80" t="s">
        <v>372</v>
      </c>
      <c r="B80" s="1">
        <v>54330652.829999998</v>
      </c>
      <c r="C80" s="1">
        <v>45412349.969999999</v>
      </c>
      <c r="D80" s="1">
        <f>B80-C80</f>
        <v>8918302.8599999994</v>
      </c>
      <c r="E80" s="6">
        <f>IF(B80&gt;0,C80/B80*100,"-")</f>
        <v>83.585135838685261</v>
      </c>
      <c r="F80" s="6">
        <f>B80/B$89*100</f>
        <v>53.232496706903945</v>
      </c>
    </row>
    <row r="81" spans="1:6" x14ac:dyDescent="0.3">
      <c r="A81" t="s">
        <v>373</v>
      </c>
      <c r="B81" s="1">
        <v>8108074.7999999998</v>
      </c>
      <c r="C81" s="1">
        <v>5517791.1299999999</v>
      </c>
      <c r="D81" s="1">
        <f>B81-C81</f>
        <v>2590283.67</v>
      </c>
      <c r="E81" s="6">
        <f t="shared" ref="E81:E89" si="18">IF(B81&gt;0,C81/B81*100,"-")</f>
        <v>68.053036831875303</v>
      </c>
      <c r="F81" s="6">
        <f t="shared" ref="F81:F89" si="19">B81/B$89*100</f>
        <v>7.944190666010277</v>
      </c>
    </row>
    <row r="82" spans="1:6" x14ac:dyDescent="0.3">
      <c r="A82" t="s">
        <v>374</v>
      </c>
      <c r="B82" s="1">
        <v>10067110.68</v>
      </c>
      <c r="C82" s="1">
        <v>7050842.8899999997</v>
      </c>
      <c r="D82" s="1">
        <f t="shared" ref="D82:D89" si="20">B82-C82</f>
        <v>3016267.79</v>
      </c>
      <c r="E82" s="6">
        <f t="shared" si="18"/>
        <v>70.038396458754335</v>
      </c>
      <c r="F82" s="6">
        <f t="shared" si="19"/>
        <v>9.8636296125127494</v>
      </c>
    </row>
    <row r="83" spans="1:6" x14ac:dyDescent="0.3">
      <c r="A83" t="s">
        <v>375</v>
      </c>
      <c r="B83" s="1">
        <v>15620042.92</v>
      </c>
      <c r="C83" s="1">
        <v>10363034.439999999</v>
      </c>
      <c r="D83" s="1">
        <f t="shared" si="20"/>
        <v>5257008.4800000004</v>
      </c>
      <c r="E83" s="6">
        <f t="shared" si="18"/>
        <v>66.344468405596416</v>
      </c>
      <c r="F83" s="6">
        <f t="shared" si="19"/>
        <v>15.304323434182418</v>
      </c>
    </row>
    <row r="84" spans="1:6" x14ac:dyDescent="0.3">
      <c r="A84" t="s">
        <v>376</v>
      </c>
      <c r="B84" s="1">
        <v>738622.86</v>
      </c>
      <c r="C84" s="1">
        <v>559937.31000000006</v>
      </c>
      <c r="D84" s="1">
        <f t="shared" si="20"/>
        <v>178685.54999999993</v>
      </c>
      <c r="E84" s="13">
        <f t="shared" si="18"/>
        <v>75.80828326921808</v>
      </c>
      <c r="F84" s="6">
        <f t="shared" si="19"/>
        <v>0.72369347531350059</v>
      </c>
    </row>
    <row r="85" spans="1:6" x14ac:dyDescent="0.3">
      <c r="A85" t="s">
        <v>377</v>
      </c>
      <c r="B85" s="1">
        <v>637947.23</v>
      </c>
      <c r="C85" s="1">
        <v>479427.05</v>
      </c>
      <c r="D85" s="1">
        <f t="shared" si="20"/>
        <v>158520.18</v>
      </c>
      <c r="E85" s="6">
        <f t="shared" si="18"/>
        <v>75.151521545128432</v>
      </c>
      <c r="F85" s="6">
        <f t="shared" si="19"/>
        <v>0.62505274741337014</v>
      </c>
    </row>
    <row r="86" spans="1:6" x14ac:dyDescent="0.3">
      <c r="A86" t="s">
        <v>378</v>
      </c>
      <c r="B86" s="1">
        <v>11165711.18</v>
      </c>
      <c r="C86" s="1">
        <v>10441424.619999999</v>
      </c>
      <c r="D86" s="1">
        <f t="shared" si="20"/>
        <v>724286.56000000052</v>
      </c>
      <c r="E86" s="125">
        <f t="shared" si="18"/>
        <v>93.51329666042821</v>
      </c>
      <c r="F86" s="6">
        <f t="shared" si="19"/>
        <v>10.9400246943359</v>
      </c>
    </row>
    <row r="87" spans="1:6" x14ac:dyDescent="0.3">
      <c r="A87" t="s">
        <v>379</v>
      </c>
      <c r="B87" s="1">
        <v>178297.78</v>
      </c>
      <c r="C87" s="1">
        <v>48470.66</v>
      </c>
      <c r="D87" s="1">
        <f t="shared" si="20"/>
        <v>129827.12</v>
      </c>
      <c r="E87" s="125">
        <f t="shared" si="18"/>
        <v>27.185229115023198</v>
      </c>
      <c r="F87" s="6">
        <f t="shared" si="19"/>
        <v>0.17469394333243621</v>
      </c>
    </row>
    <row r="88" spans="1:6" x14ac:dyDescent="0.3">
      <c r="A88" t="s">
        <v>380</v>
      </c>
      <c r="B88" s="1">
        <v>1216482.83</v>
      </c>
      <c r="C88" s="1">
        <v>736129.36</v>
      </c>
      <c r="D88" s="1">
        <f t="shared" si="20"/>
        <v>480353.47000000009</v>
      </c>
      <c r="E88" s="6">
        <f t="shared" si="18"/>
        <v>60.512926433988376</v>
      </c>
      <c r="F88" s="6">
        <f t="shared" si="19"/>
        <v>1.1918947199954011</v>
      </c>
    </row>
    <row r="89" spans="1:6" x14ac:dyDescent="0.3">
      <c r="A89" s="4" t="s">
        <v>207</v>
      </c>
      <c r="B89" s="3">
        <f>SUM(B80:B88)</f>
        <v>102062943.11</v>
      </c>
      <c r="C89" s="3">
        <f>SUM(C80:C88)</f>
        <v>80609407.430000007</v>
      </c>
      <c r="D89" s="3">
        <f t="shared" si="20"/>
        <v>21453535.679999992</v>
      </c>
      <c r="E89" s="126">
        <f t="shared" si="18"/>
        <v>78.980093042312035</v>
      </c>
      <c r="F89" s="126">
        <f t="shared" si="19"/>
        <v>100</v>
      </c>
    </row>
    <row r="90" spans="1:6" x14ac:dyDescent="0.3">
      <c r="A90" s="129" t="s">
        <v>381</v>
      </c>
      <c r="B90" s="131">
        <v>567949088.77999997</v>
      </c>
      <c r="C90" s="129"/>
      <c r="D90" s="129"/>
      <c r="E90" s="129"/>
      <c r="F90" s="130">
        <f>B89/B90*100</f>
        <v>17.970438746409361</v>
      </c>
    </row>
    <row r="92" spans="1:6" x14ac:dyDescent="0.3">
      <c r="A92" s="12">
        <v>2016</v>
      </c>
      <c r="B92" s="12" t="s">
        <v>367</v>
      </c>
      <c r="C92" s="12" t="s">
        <v>368</v>
      </c>
      <c r="D92" s="12" t="s">
        <v>369</v>
      </c>
    </row>
    <row r="93" spans="1:6" x14ac:dyDescent="0.3">
      <c r="A93" t="s">
        <v>372</v>
      </c>
      <c r="B93" s="1">
        <v>47917227.07</v>
      </c>
      <c r="C93" s="1">
        <v>39097554.75</v>
      </c>
      <c r="D93" s="1">
        <f>B93-C93</f>
        <v>8819672.3200000003</v>
      </c>
      <c r="E93" s="6">
        <f>IF(B93&gt;0,C93/B93*100,"-")</f>
        <v>81.593942597897495</v>
      </c>
      <c r="F93" s="6">
        <f>B93/B$102*100</f>
        <v>50.6880690020445</v>
      </c>
    </row>
    <row r="94" spans="1:6" x14ac:dyDescent="0.3">
      <c r="A94" t="s">
        <v>373</v>
      </c>
      <c r="B94" s="1">
        <v>8896353.0099999998</v>
      </c>
      <c r="C94" s="1">
        <v>6017497.0599999996</v>
      </c>
      <c r="D94" s="1">
        <f>B94-C94</f>
        <v>2878855.95</v>
      </c>
      <c r="E94" s="6">
        <f t="shared" ref="E94:E102" si="21">IF(B94&gt;0,C94/B94*100,"-")</f>
        <v>67.640043658744148</v>
      </c>
      <c r="F94" s="6">
        <f t="shared" ref="F94:F102" si="22">B94/B$102*100</f>
        <v>9.4107898726833881</v>
      </c>
    </row>
    <row r="95" spans="1:6" x14ac:dyDescent="0.3">
      <c r="A95" t="s">
        <v>374</v>
      </c>
      <c r="B95" s="1">
        <v>10159789.83</v>
      </c>
      <c r="C95" s="1">
        <v>6815753.7999999998</v>
      </c>
      <c r="D95" s="1">
        <f t="shared" ref="D95:D102" si="23">B95-C95</f>
        <v>3344036.0300000003</v>
      </c>
      <c r="E95" s="125">
        <f t="shared" si="21"/>
        <v>67.08557867874714</v>
      </c>
      <c r="F95" s="6">
        <f t="shared" si="22"/>
        <v>10.747285672374154</v>
      </c>
    </row>
    <row r="96" spans="1:6" x14ac:dyDescent="0.3">
      <c r="A96" t="s">
        <v>375</v>
      </c>
      <c r="B96" s="1">
        <v>12019998.289999999</v>
      </c>
      <c r="C96" s="1">
        <v>7806366.96</v>
      </c>
      <c r="D96" s="1">
        <f t="shared" si="23"/>
        <v>4213631.3299999991</v>
      </c>
      <c r="E96" s="6">
        <f t="shared" si="21"/>
        <v>64.944825878174072</v>
      </c>
      <c r="F96" s="6">
        <f t="shared" si="22"/>
        <v>12.715061784312404</v>
      </c>
    </row>
    <row r="97" spans="1:9" x14ac:dyDescent="0.3">
      <c r="A97" t="s">
        <v>376</v>
      </c>
      <c r="B97" s="1">
        <v>718841.6</v>
      </c>
      <c r="C97" s="1">
        <v>483417.78</v>
      </c>
      <c r="D97" s="1">
        <f t="shared" si="23"/>
        <v>235423.81999999995</v>
      </c>
      <c r="E97" s="13">
        <f t="shared" si="21"/>
        <v>67.249555395792342</v>
      </c>
      <c r="F97" s="6">
        <f t="shared" si="22"/>
        <v>0.76040903971992035</v>
      </c>
    </row>
    <row r="98" spans="1:9" x14ac:dyDescent="0.3">
      <c r="A98" t="s">
        <v>377</v>
      </c>
      <c r="B98" s="1">
        <v>2411565.13</v>
      </c>
      <c r="C98" s="1">
        <v>2320356.36</v>
      </c>
      <c r="D98" s="1">
        <f t="shared" si="23"/>
        <v>91208.770000000019</v>
      </c>
      <c r="E98" s="6">
        <f t="shared" si="21"/>
        <v>96.217859975442593</v>
      </c>
      <c r="F98" s="6">
        <f t="shared" si="22"/>
        <v>2.5510153067453869</v>
      </c>
    </row>
    <row r="99" spans="1:9" x14ac:dyDescent="0.3">
      <c r="A99" t="s">
        <v>378</v>
      </c>
      <c r="B99" s="1">
        <v>11050361.560000001</v>
      </c>
      <c r="C99" s="1">
        <v>10422098.34</v>
      </c>
      <c r="D99" s="1">
        <f t="shared" si="23"/>
        <v>628263.22000000067</v>
      </c>
      <c r="E99" s="6">
        <f t="shared" si="21"/>
        <v>94.31454603011197</v>
      </c>
      <c r="F99" s="6">
        <f t="shared" si="22"/>
        <v>11.689355238202021</v>
      </c>
    </row>
    <row r="100" spans="1:9" x14ac:dyDescent="0.3">
      <c r="A100" t="s">
        <v>379</v>
      </c>
      <c r="B100" s="1">
        <v>216295.13</v>
      </c>
      <c r="C100" s="1">
        <v>120793.43</v>
      </c>
      <c r="D100" s="1">
        <f t="shared" si="23"/>
        <v>95501.700000000012</v>
      </c>
      <c r="E100" s="125">
        <f t="shared" si="21"/>
        <v>55.846578700130692</v>
      </c>
      <c r="F100" s="6">
        <f t="shared" si="22"/>
        <v>0.22880252353146413</v>
      </c>
    </row>
    <row r="101" spans="1:9" x14ac:dyDescent="0.3">
      <c r="A101" t="s">
        <v>380</v>
      </c>
      <c r="B101" s="1">
        <v>1143110.52</v>
      </c>
      <c r="C101" s="1">
        <v>712431.25</v>
      </c>
      <c r="D101" s="1">
        <f t="shared" si="23"/>
        <v>430679.27</v>
      </c>
      <c r="E101" s="6">
        <f t="shared" si="21"/>
        <v>62.323916851014552</v>
      </c>
      <c r="F101" s="6">
        <f t="shared" si="22"/>
        <v>1.2092115603867928</v>
      </c>
    </row>
    <row r="102" spans="1:9" x14ac:dyDescent="0.3">
      <c r="A102" s="4" t="s">
        <v>207</v>
      </c>
      <c r="B102" s="3">
        <f>SUM(B93:B101)</f>
        <v>94533542.139999971</v>
      </c>
      <c r="C102" s="3">
        <f>SUM(C93:C101)</f>
        <v>73796269.730000004</v>
      </c>
      <c r="D102" s="3">
        <f t="shared" si="23"/>
        <v>20737272.409999967</v>
      </c>
      <c r="E102" s="126">
        <f t="shared" si="21"/>
        <v>78.063582575495801</v>
      </c>
      <c r="F102" s="126">
        <f t="shared" si="22"/>
        <v>100</v>
      </c>
    </row>
    <row r="103" spans="1:9" x14ac:dyDescent="0.3">
      <c r="A103" s="129" t="s">
        <v>381</v>
      </c>
      <c r="B103" s="131">
        <v>556675031.19000006</v>
      </c>
      <c r="C103" s="129"/>
      <c r="D103" s="129"/>
      <c r="E103" s="129"/>
      <c r="F103" s="130">
        <f>B102/B103*100</f>
        <v>16.981818267996736</v>
      </c>
    </row>
    <row r="105" spans="1:9" x14ac:dyDescent="0.3">
      <c r="B105" s="132">
        <v>2016</v>
      </c>
      <c r="C105" s="132">
        <v>2017</v>
      </c>
      <c r="D105" s="132">
        <v>2018</v>
      </c>
      <c r="E105" s="132">
        <v>2019</v>
      </c>
      <c r="F105" s="132">
        <v>2020</v>
      </c>
      <c r="G105" s="132">
        <v>2021</v>
      </c>
      <c r="H105" s="132">
        <v>2022</v>
      </c>
      <c r="I105" s="132">
        <v>2023</v>
      </c>
    </row>
    <row r="106" spans="1:9" x14ac:dyDescent="0.3">
      <c r="A106" t="s">
        <v>372</v>
      </c>
      <c r="B106" s="1">
        <f>B93</f>
        <v>47917227.07</v>
      </c>
      <c r="C106" s="1">
        <f>B80</f>
        <v>54330652.829999998</v>
      </c>
      <c r="D106" s="1">
        <f>B67</f>
        <v>52453844.420000002</v>
      </c>
      <c r="E106" s="1">
        <f>B54</f>
        <v>52063125.43</v>
      </c>
      <c r="F106" s="1">
        <f>B41</f>
        <v>54780825.549999997</v>
      </c>
      <c r="G106" s="1">
        <f>B28</f>
        <v>60287897.310000002</v>
      </c>
      <c r="H106" s="1">
        <f>B15</f>
        <v>62020649.899999999</v>
      </c>
      <c r="I106" s="1">
        <f>B2</f>
        <v>68833265.859999999</v>
      </c>
    </row>
    <row r="107" spans="1:9" x14ac:dyDescent="0.3">
      <c r="A107" t="s">
        <v>375</v>
      </c>
      <c r="B107" s="1">
        <f>B96</f>
        <v>12019998.289999999</v>
      </c>
      <c r="C107" s="1">
        <f>B83</f>
        <v>15620042.92</v>
      </c>
      <c r="D107" s="1">
        <f>B70</f>
        <v>27000863.670000002</v>
      </c>
      <c r="E107" s="1">
        <f>B57</f>
        <v>31778445.800000001</v>
      </c>
      <c r="F107" s="1">
        <f>B44</f>
        <v>43994897.380000003</v>
      </c>
      <c r="G107" s="1">
        <f>B31</f>
        <v>40279667.549999997</v>
      </c>
      <c r="H107" s="1">
        <f>B18</f>
        <v>49270895.450000003</v>
      </c>
      <c r="I107" s="1">
        <f>B5</f>
        <v>50469825.289999999</v>
      </c>
    </row>
    <row r="108" spans="1:9" x14ac:dyDescent="0.3">
      <c r="A108" t="s">
        <v>378</v>
      </c>
      <c r="B108" s="1">
        <f>B99</f>
        <v>11050361.560000001</v>
      </c>
      <c r="C108" s="1">
        <f>B86</f>
        <v>11165711.18</v>
      </c>
      <c r="D108" s="1">
        <f>B73</f>
        <v>11505830.07</v>
      </c>
      <c r="E108" s="1">
        <f>B60</f>
        <v>11196998.25</v>
      </c>
      <c r="F108" s="1">
        <f>B47</f>
        <v>11943419.289999999</v>
      </c>
      <c r="G108" s="1">
        <f>B34</f>
        <v>12590556.119999999</v>
      </c>
      <c r="H108" s="1">
        <f>B21</f>
        <v>15243501.08</v>
      </c>
      <c r="I108" s="1">
        <f>B8</f>
        <v>13783697.550000001</v>
      </c>
    </row>
    <row r="109" spans="1:9" x14ac:dyDescent="0.3">
      <c r="A109" t="s">
        <v>374</v>
      </c>
      <c r="B109" s="1">
        <f>B95</f>
        <v>10159789.83</v>
      </c>
      <c r="C109" s="1">
        <f>B82</f>
        <v>10067110.68</v>
      </c>
      <c r="D109" s="1">
        <f>B69</f>
        <v>10267170.08</v>
      </c>
      <c r="E109" s="1">
        <f>B56</f>
        <v>11707487.460000001</v>
      </c>
      <c r="F109" s="1">
        <f>B43</f>
        <v>11784859.800000001</v>
      </c>
      <c r="G109" s="1">
        <f>B30</f>
        <v>11628717.15</v>
      </c>
      <c r="H109" s="1">
        <f>B17</f>
        <v>12244413.42</v>
      </c>
      <c r="I109" s="1">
        <f>B4</f>
        <v>12159306.34</v>
      </c>
    </row>
    <row r="110" spans="1:9" x14ac:dyDescent="0.3">
      <c r="A110" t="s">
        <v>373</v>
      </c>
      <c r="B110" s="1">
        <f>B94</f>
        <v>8896353.0099999998</v>
      </c>
      <c r="C110" s="1">
        <f>B81</f>
        <v>8108074.7999999998</v>
      </c>
      <c r="D110" s="1">
        <f>B68</f>
        <v>9623471.0299999993</v>
      </c>
      <c r="E110" s="1">
        <f>B55</f>
        <v>8742181.5199999996</v>
      </c>
      <c r="F110" s="1">
        <f>B42</f>
        <v>8349320.0199999996</v>
      </c>
      <c r="G110" s="1">
        <f>B29</f>
        <v>8718545.4299999997</v>
      </c>
      <c r="H110" s="1">
        <f>B16</f>
        <v>8451827.4199999999</v>
      </c>
      <c r="I110" s="1">
        <f>B3</f>
        <v>9479995.3100000005</v>
      </c>
    </row>
    <row r="111" spans="1:9" x14ac:dyDescent="0.3">
      <c r="A111" t="s">
        <v>377</v>
      </c>
      <c r="B111" s="1">
        <f>B98</f>
        <v>2411565.13</v>
      </c>
      <c r="C111" s="1">
        <f>B85</f>
        <v>637947.23</v>
      </c>
      <c r="D111" s="1">
        <f>B72</f>
        <v>2478001.54</v>
      </c>
      <c r="E111" s="1">
        <f>B59</f>
        <v>2127617.96</v>
      </c>
      <c r="F111" s="1">
        <f>B46</f>
        <v>4262285.41</v>
      </c>
      <c r="G111" s="1">
        <f>B33</f>
        <v>11426018.949999999</v>
      </c>
      <c r="H111" s="1">
        <f>B20</f>
        <v>8432398.3800000008</v>
      </c>
      <c r="I111" s="1">
        <f>B7</f>
        <v>3390014.25</v>
      </c>
    </row>
    <row r="112" spans="1:9" x14ac:dyDescent="0.3">
      <c r="A112" t="s">
        <v>376</v>
      </c>
      <c r="B112" s="1">
        <f>B97</f>
        <v>718841.6</v>
      </c>
      <c r="C112" s="1">
        <f>B84</f>
        <v>738622.86</v>
      </c>
      <c r="D112" s="1">
        <f>B71</f>
        <v>728056.48</v>
      </c>
      <c r="E112" s="1">
        <f>B58</f>
        <v>779347.96</v>
      </c>
      <c r="F112" s="1">
        <f>B45</f>
        <v>926316.95</v>
      </c>
      <c r="G112" s="1">
        <f>B32</f>
        <v>1074689.81</v>
      </c>
      <c r="H112" s="1">
        <f>B19</f>
        <v>1199837.6299999999</v>
      </c>
      <c r="I112" s="1">
        <f>B6</f>
        <v>1232520.28</v>
      </c>
    </row>
    <row r="113" spans="1:9" x14ac:dyDescent="0.3">
      <c r="A113" t="s">
        <v>380</v>
      </c>
      <c r="B113" s="1">
        <f>B101</f>
        <v>1143110.52</v>
      </c>
      <c r="C113" s="1">
        <f>B88</f>
        <v>1216482.83</v>
      </c>
      <c r="D113" s="1">
        <f>B75</f>
        <v>1137557.8799999999</v>
      </c>
      <c r="E113" s="1">
        <f>B62</f>
        <v>1156093.95</v>
      </c>
      <c r="F113" s="1">
        <f>B49</f>
        <v>1274225.1299999999</v>
      </c>
      <c r="G113" s="1">
        <f>B36</f>
        <v>1570130.81</v>
      </c>
      <c r="H113" s="1">
        <f>B23</f>
        <v>1517496.45</v>
      </c>
      <c r="I113" s="1">
        <f>B10</f>
        <v>1137414.03</v>
      </c>
    </row>
    <row r="114" spans="1:9" x14ac:dyDescent="0.3">
      <c r="A114" t="s">
        <v>379</v>
      </c>
      <c r="B114" s="1">
        <f>B100</f>
        <v>216295.13</v>
      </c>
      <c r="C114" s="1">
        <f>B87</f>
        <v>178297.78</v>
      </c>
      <c r="D114" s="1">
        <f>B74</f>
        <v>204917.53</v>
      </c>
      <c r="E114" s="1">
        <f>B61</f>
        <v>363827.67</v>
      </c>
      <c r="F114" s="1">
        <f>B48</f>
        <v>383024.54</v>
      </c>
      <c r="G114" s="1">
        <f>B35</f>
        <v>529176.29</v>
      </c>
      <c r="H114" s="1">
        <f>B22</f>
        <v>444881.57</v>
      </c>
      <c r="I114" s="1">
        <f>B9</f>
        <v>225790.46</v>
      </c>
    </row>
    <row r="115" spans="1:9" x14ac:dyDescent="0.3">
      <c r="B115" s="3">
        <f>SUM(B106:B114)</f>
        <v>94533542.139999986</v>
      </c>
      <c r="C115" s="3">
        <f t="shared" ref="C115:I115" si="24">SUM(C106:C114)</f>
        <v>102062943.11000001</v>
      </c>
      <c r="D115" s="3">
        <f t="shared" si="24"/>
        <v>115399712.7</v>
      </c>
      <c r="E115" s="3">
        <f t="shared" si="24"/>
        <v>119915125.99999999</v>
      </c>
      <c r="F115" s="3">
        <f t="shared" si="24"/>
        <v>137699174.06999996</v>
      </c>
      <c r="G115" s="3">
        <f t="shared" si="24"/>
        <v>148105399.41999999</v>
      </c>
      <c r="H115" s="3">
        <f>SUM(H106:H114)</f>
        <v>158825901.29999995</v>
      </c>
      <c r="I115" s="3">
        <f t="shared" si="24"/>
        <v>160711829.37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I20" sqref="I20"/>
    </sheetView>
  </sheetViews>
  <sheetFormatPr defaultRowHeight="14.4" x14ac:dyDescent="0.3"/>
  <cols>
    <col min="1" max="1" width="40.6640625" bestFit="1" customWidth="1"/>
    <col min="2" max="9" width="12.5546875" bestFit="1" customWidth="1"/>
  </cols>
  <sheetData>
    <row r="1" spans="1:10" x14ac:dyDescent="0.3">
      <c r="B1" s="12">
        <v>2016</v>
      </c>
      <c r="C1" s="12">
        <v>2017</v>
      </c>
      <c r="D1" s="12">
        <v>2018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</row>
    <row r="2" spans="1:10" x14ac:dyDescent="0.3">
      <c r="A2" s="5" t="s">
        <v>39</v>
      </c>
      <c r="B2" s="1">
        <v>32755188.420000002</v>
      </c>
      <c r="C2" s="1">
        <v>32760728.420000002</v>
      </c>
      <c r="D2" s="1">
        <v>34501069.600000001</v>
      </c>
      <c r="E2" s="1">
        <v>34604634.039999999</v>
      </c>
      <c r="F2" s="1">
        <v>34368561.159999996</v>
      </c>
      <c r="G2" s="1">
        <v>37228290.390000001</v>
      </c>
      <c r="H2" s="1">
        <v>36881443.229999997</v>
      </c>
      <c r="I2" s="1">
        <v>38441792.560000002</v>
      </c>
      <c r="J2" s="6">
        <f t="shared" ref="J2:J17" si="0">I2/I$15*100</f>
        <v>23.919703179718713</v>
      </c>
    </row>
    <row r="3" spans="1:10" x14ac:dyDescent="0.3">
      <c r="A3" s="5" t="s">
        <v>40</v>
      </c>
      <c r="B3" s="1">
        <v>574105.29</v>
      </c>
      <c r="C3" s="1">
        <v>604784.06999999995</v>
      </c>
      <c r="D3" s="1">
        <v>642563.6</v>
      </c>
      <c r="E3" s="1">
        <v>575706.32999999996</v>
      </c>
      <c r="F3" s="1">
        <v>650446.72</v>
      </c>
      <c r="G3" s="1">
        <v>674970.45</v>
      </c>
      <c r="H3" s="1">
        <v>614846.38</v>
      </c>
      <c r="I3" s="1">
        <v>734033.4</v>
      </c>
      <c r="J3" s="6">
        <f t="shared" si="0"/>
        <v>0.45673887409374586</v>
      </c>
    </row>
    <row r="4" spans="1:10" x14ac:dyDescent="0.3">
      <c r="A4" s="5" t="s">
        <v>41</v>
      </c>
      <c r="B4" s="1">
        <v>49421897.509999998</v>
      </c>
      <c r="C4" s="1">
        <v>53408245.350000001</v>
      </c>
      <c r="D4" s="1">
        <v>59302247.640000001</v>
      </c>
      <c r="E4" s="1">
        <v>61219252</v>
      </c>
      <c r="F4" s="1">
        <v>68194388.049999997</v>
      </c>
      <c r="G4" s="1">
        <v>78009344.719999999</v>
      </c>
      <c r="H4" s="1">
        <v>93566431.25</v>
      </c>
      <c r="I4" s="1">
        <v>98604727.159999996</v>
      </c>
      <c r="J4" s="6">
        <f t="shared" si="0"/>
        <v>61.35499019987293</v>
      </c>
    </row>
    <row r="5" spans="1:10" x14ac:dyDescent="0.3">
      <c r="A5" s="5" t="s">
        <v>42</v>
      </c>
      <c r="B5" s="1">
        <v>10605602.85</v>
      </c>
      <c r="C5" s="1">
        <v>14491407.779999999</v>
      </c>
      <c r="D5" s="1">
        <v>19703040.969999999</v>
      </c>
      <c r="E5" s="1">
        <v>21165167.140000001</v>
      </c>
      <c r="F5" s="1">
        <v>30155362.93</v>
      </c>
      <c r="G5" s="1">
        <v>31099774.030000001</v>
      </c>
      <c r="H5" s="1">
        <v>27319329.440000001</v>
      </c>
      <c r="I5" s="1">
        <v>20384282.710000001</v>
      </c>
      <c r="J5" s="6">
        <f t="shared" si="0"/>
        <v>12.683747543604978</v>
      </c>
    </row>
    <row r="6" spans="1:10" x14ac:dyDescent="0.3">
      <c r="A6" s="5" t="s">
        <v>43</v>
      </c>
      <c r="B6" s="1">
        <v>198677.44</v>
      </c>
      <c r="C6" s="1">
        <v>148868.65</v>
      </c>
      <c r="D6" s="1">
        <v>104088.18</v>
      </c>
      <c r="E6" s="1">
        <v>36212.639999999999</v>
      </c>
      <c r="F6" s="1">
        <v>21629.81</v>
      </c>
      <c r="G6" s="1">
        <v>19758.12</v>
      </c>
      <c r="H6" s="1">
        <v>17129.48</v>
      </c>
      <c r="I6" s="1">
        <v>12883.49</v>
      </c>
      <c r="J6" s="6">
        <f t="shared" si="0"/>
        <v>8.0165163015716093E-3</v>
      </c>
    </row>
    <row r="7" spans="1:10" x14ac:dyDescent="0.3">
      <c r="A7" s="5" t="s">
        <v>44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6">
        <f t="shared" si="0"/>
        <v>0</v>
      </c>
    </row>
    <row r="8" spans="1:10" x14ac:dyDescent="0.3">
      <c r="A8" s="5" t="s">
        <v>45</v>
      </c>
      <c r="B8" s="1">
        <v>55298</v>
      </c>
      <c r="C8" s="1">
        <v>39011.61</v>
      </c>
      <c r="D8" s="1">
        <v>62456.74</v>
      </c>
      <c r="E8" s="1">
        <v>0</v>
      </c>
      <c r="F8" s="1">
        <v>0</v>
      </c>
      <c r="G8" s="1">
        <v>0</v>
      </c>
      <c r="H8" s="1">
        <v>0</v>
      </c>
      <c r="I8" s="1">
        <v>27646.28</v>
      </c>
      <c r="J8" s="6">
        <f t="shared" si="0"/>
        <v>1.7202392697771577E-2</v>
      </c>
    </row>
    <row r="9" spans="1:10" x14ac:dyDescent="0.3">
      <c r="A9" s="5" t="s">
        <v>46</v>
      </c>
      <c r="B9" s="1">
        <v>34484.89</v>
      </c>
      <c r="C9" s="1">
        <v>5651.29</v>
      </c>
      <c r="D9" s="1">
        <v>32509.22</v>
      </c>
      <c r="E9" s="1">
        <v>2394.4499999999998</v>
      </c>
      <c r="F9" s="1">
        <v>413633.52</v>
      </c>
      <c r="G9" s="1">
        <v>60585.599999999999</v>
      </c>
      <c r="H9" s="1">
        <v>0</v>
      </c>
      <c r="I9" s="1">
        <v>43205.35</v>
      </c>
      <c r="J9" s="6">
        <f t="shared" si="0"/>
        <v>2.6883739777816953E-2</v>
      </c>
    </row>
    <row r="10" spans="1:10" x14ac:dyDescent="0.3">
      <c r="A10" s="5" t="s">
        <v>47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98">
        <v>0</v>
      </c>
      <c r="H10" s="98">
        <v>0</v>
      </c>
      <c r="I10" s="98">
        <v>0</v>
      </c>
      <c r="J10" s="6">
        <f t="shared" si="0"/>
        <v>0</v>
      </c>
    </row>
    <row r="11" spans="1:10" x14ac:dyDescent="0.3">
      <c r="A11" s="5" t="s">
        <v>48</v>
      </c>
      <c r="B11" s="1">
        <v>888287.74</v>
      </c>
      <c r="C11" s="1">
        <v>104245.94</v>
      </c>
      <c r="D11" s="1">
        <v>1051736.75</v>
      </c>
      <c r="E11" s="1">
        <v>2311759.4</v>
      </c>
      <c r="F11" s="1">
        <v>3895151.88</v>
      </c>
      <c r="G11" s="98">
        <v>1012676.11</v>
      </c>
      <c r="H11" s="98">
        <v>426721.52</v>
      </c>
      <c r="I11" s="98">
        <v>1919258.42</v>
      </c>
      <c r="J11" s="6">
        <f t="shared" si="0"/>
        <v>1.1942234915274177</v>
      </c>
    </row>
    <row r="12" spans="1:10" x14ac:dyDescent="0.3">
      <c r="A12" s="5" t="s">
        <v>49</v>
      </c>
      <c r="B12" s="1">
        <v>0</v>
      </c>
      <c r="C12" s="1">
        <v>500000</v>
      </c>
      <c r="D12" s="1">
        <v>0</v>
      </c>
      <c r="E12" s="1">
        <v>0</v>
      </c>
      <c r="F12" s="1">
        <v>0</v>
      </c>
      <c r="G12" s="98">
        <v>0</v>
      </c>
      <c r="H12" s="98">
        <v>0</v>
      </c>
      <c r="I12" s="98">
        <v>544000</v>
      </c>
      <c r="J12" s="6">
        <f t="shared" si="0"/>
        <v>0.33849406240505914</v>
      </c>
    </row>
    <row r="13" spans="1:10" x14ac:dyDescent="0.3">
      <c r="A13" s="5" t="s">
        <v>50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98">
        <v>0</v>
      </c>
      <c r="H13" s="98">
        <v>0</v>
      </c>
      <c r="I13" s="98">
        <v>0</v>
      </c>
      <c r="J13" s="6">
        <f t="shared" si="0"/>
        <v>0</v>
      </c>
    </row>
    <row r="14" spans="1:10" x14ac:dyDescent="0.3">
      <c r="A14" s="5" t="s">
        <v>51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98">
        <v>0</v>
      </c>
      <c r="H14" s="98">
        <v>0</v>
      </c>
      <c r="I14" s="98">
        <v>0</v>
      </c>
      <c r="J14" s="6">
        <f t="shared" si="0"/>
        <v>0</v>
      </c>
    </row>
    <row r="15" spans="1:10" x14ac:dyDescent="0.3">
      <c r="A15" s="133" t="s">
        <v>382</v>
      </c>
      <c r="B15" s="3">
        <f t="shared" ref="B15:H15" si="1">SUM(B2:B14)</f>
        <v>94533542.139999986</v>
      </c>
      <c r="C15" s="3">
        <f t="shared" si="1"/>
        <v>102062943.11000001</v>
      </c>
      <c r="D15" s="3">
        <f t="shared" si="1"/>
        <v>115399712.7</v>
      </c>
      <c r="E15" s="3">
        <f t="shared" si="1"/>
        <v>119915126.00000001</v>
      </c>
      <c r="F15" s="3">
        <f t="shared" si="1"/>
        <v>137699174.06999999</v>
      </c>
      <c r="G15" s="3">
        <f t="shared" ref="G15" si="2">SUM(G2:G14)</f>
        <v>148105399.42000002</v>
      </c>
      <c r="H15" s="3">
        <f t="shared" si="1"/>
        <v>158825901.30000001</v>
      </c>
      <c r="I15" s="3">
        <f t="shared" ref="I15" si="3">SUM(I2:I14)</f>
        <v>160711829.37</v>
      </c>
      <c r="J15" s="6">
        <f t="shared" si="0"/>
        <v>100</v>
      </c>
    </row>
    <row r="16" spans="1:10" x14ac:dyDescent="0.3">
      <c r="A16" s="133" t="s">
        <v>383</v>
      </c>
      <c r="B16" s="3">
        <f t="shared" ref="B16:H16" si="4">SUM(B2:B9)</f>
        <v>93645254.399999991</v>
      </c>
      <c r="C16" s="3">
        <f t="shared" si="4"/>
        <v>101458697.17000002</v>
      </c>
      <c r="D16" s="3">
        <f t="shared" si="4"/>
        <v>114347975.95</v>
      </c>
      <c r="E16" s="3">
        <f t="shared" si="4"/>
        <v>117603366.60000001</v>
      </c>
      <c r="F16" s="3">
        <f t="shared" si="4"/>
        <v>133804022.18999998</v>
      </c>
      <c r="G16" s="3">
        <f t="shared" si="4"/>
        <v>147092723.31</v>
      </c>
      <c r="H16" s="3">
        <f t="shared" si="4"/>
        <v>158399179.78</v>
      </c>
      <c r="I16" s="3">
        <f t="shared" ref="I16" si="5">SUM(I2:I9)</f>
        <v>158248570.95000002</v>
      </c>
      <c r="J16" s="6">
        <f t="shared" si="0"/>
        <v>98.467282446067529</v>
      </c>
    </row>
    <row r="17" spans="1:10" x14ac:dyDescent="0.3">
      <c r="A17" s="133" t="s">
        <v>384</v>
      </c>
      <c r="B17" s="3">
        <f t="shared" ref="B17:H17" si="6">SUM(B10:B14)</f>
        <v>888287.74</v>
      </c>
      <c r="C17" s="3">
        <f t="shared" si="6"/>
        <v>604245.93999999994</v>
      </c>
      <c r="D17" s="3">
        <f t="shared" si="6"/>
        <v>1051736.75</v>
      </c>
      <c r="E17" s="3">
        <f t="shared" si="6"/>
        <v>2311759.4</v>
      </c>
      <c r="F17" s="3">
        <f t="shared" si="6"/>
        <v>3895151.88</v>
      </c>
      <c r="G17" s="3">
        <f t="shared" si="6"/>
        <v>1012676.11</v>
      </c>
      <c r="H17" s="3">
        <f t="shared" si="6"/>
        <v>426721.52</v>
      </c>
      <c r="I17" s="3">
        <f t="shared" ref="I17" si="7">SUM(I10:I14)</f>
        <v>2463258.42</v>
      </c>
      <c r="J17" s="6">
        <f t="shared" si="0"/>
        <v>1.5327175539324767</v>
      </c>
    </row>
    <row r="18" spans="1:10" x14ac:dyDescent="0.3">
      <c r="A18" s="134" t="s">
        <v>385</v>
      </c>
      <c r="B18" s="135">
        <f>B16/B15*100</f>
        <v>99.06034649724171</v>
      </c>
      <c r="C18" s="135">
        <f t="shared" ref="C18:H18" si="8">C16/C15*100</f>
        <v>99.407967356625448</v>
      </c>
      <c r="D18" s="135">
        <f t="shared" si="8"/>
        <v>99.088614065501048</v>
      </c>
      <c r="E18" s="135">
        <f t="shared" si="8"/>
        <v>98.07217031152517</v>
      </c>
      <c r="F18" s="135">
        <f t="shared" si="8"/>
        <v>97.171259808704519</v>
      </c>
      <c r="G18" s="135">
        <f t="shared" si="8"/>
        <v>99.316246325950459</v>
      </c>
      <c r="H18" s="135">
        <f t="shared" si="8"/>
        <v>99.731327499792371</v>
      </c>
      <c r="I18" s="135">
        <f t="shared" ref="I18" si="9">I16/I15*100</f>
        <v>98.467282446067529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pane xSplit="1" topLeftCell="B1" activePane="topRight" state="frozen"/>
      <selection pane="topRight" activeCell="K2" sqref="K2:K23"/>
    </sheetView>
  </sheetViews>
  <sheetFormatPr defaultRowHeight="14.4" x14ac:dyDescent="0.3"/>
  <cols>
    <col min="1" max="1" width="36.44140625" bestFit="1" customWidth="1"/>
    <col min="2" max="11" width="11.109375" bestFit="1" customWidth="1"/>
    <col min="14" max="14" width="10" bestFit="1" customWidth="1"/>
  </cols>
  <sheetData>
    <row r="1" spans="1:12" x14ac:dyDescent="0.3">
      <c r="A1" s="44"/>
      <c r="B1" s="72">
        <v>2014</v>
      </c>
      <c r="C1" s="72">
        <v>2015</v>
      </c>
      <c r="D1" s="72">
        <v>2016</v>
      </c>
      <c r="E1" s="72">
        <v>2017</v>
      </c>
      <c r="F1" s="72">
        <v>2018</v>
      </c>
      <c r="G1" s="72">
        <v>2019</v>
      </c>
      <c r="H1" s="72">
        <v>2020</v>
      </c>
      <c r="I1" s="72">
        <v>2021</v>
      </c>
      <c r="J1" s="72">
        <v>2022</v>
      </c>
      <c r="K1" s="72">
        <v>2023</v>
      </c>
    </row>
    <row r="2" spans="1:12" x14ac:dyDescent="0.3">
      <c r="A2" t="s">
        <v>5</v>
      </c>
      <c r="B2" s="1">
        <v>120931185.90000001</v>
      </c>
      <c r="C2" s="1">
        <v>137141419.34</v>
      </c>
      <c r="D2" s="1">
        <v>134786181.21000001</v>
      </c>
      <c r="E2" s="1">
        <v>178780372.47999999</v>
      </c>
      <c r="F2" s="1">
        <v>231004644.71000001</v>
      </c>
      <c r="G2" s="1">
        <v>340386621.74000001</v>
      </c>
      <c r="H2" s="1">
        <v>415668645.69</v>
      </c>
      <c r="I2" s="1">
        <v>451859543.80000001</v>
      </c>
      <c r="J2" s="1">
        <v>471092596.60000002</v>
      </c>
      <c r="K2" s="1">
        <v>293229380.95999998</v>
      </c>
    </row>
    <row r="3" spans="1:12" x14ac:dyDescent="0.3">
      <c r="A3" t="s">
        <v>6</v>
      </c>
      <c r="B3" s="1">
        <v>290542307.44</v>
      </c>
      <c r="C3" s="1">
        <v>312991715.32999998</v>
      </c>
      <c r="D3" s="1">
        <v>320521881.56999999</v>
      </c>
      <c r="E3" s="1">
        <v>298259040.72000003</v>
      </c>
      <c r="F3" s="1">
        <v>329165051.08999997</v>
      </c>
      <c r="G3" s="1">
        <v>316881814.81</v>
      </c>
      <c r="H3" s="1">
        <v>324442938.51999998</v>
      </c>
      <c r="I3" s="1">
        <v>314633778.41000003</v>
      </c>
      <c r="J3" s="1">
        <v>316660992.81</v>
      </c>
      <c r="K3" s="1">
        <v>472804328.48000002</v>
      </c>
    </row>
    <row r="4" spans="1:12" x14ac:dyDescent="0.3">
      <c r="A4" t="s">
        <v>7</v>
      </c>
      <c r="B4" s="1">
        <v>99948833.010000005</v>
      </c>
      <c r="C4" s="1">
        <v>128153614</v>
      </c>
      <c r="D4" s="1">
        <v>134763289.5</v>
      </c>
      <c r="E4" s="1">
        <v>132218683.77</v>
      </c>
      <c r="F4" s="1">
        <v>166949417.06</v>
      </c>
      <c r="G4" s="1">
        <v>162803254.93000001</v>
      </c>
      <c r="H4" s="1">
        <v>170449068.52000001</v>
      </c>
      <c r="I4" s="1">
        <v>168160520.99000001</v>
      </c>
      <c r="J4" s="1">
        <v>198076903.31</v>
      </c>
      <c r="K4" s="1">
        <v>178678991.36000001</v>
      </c>
    </row>
    <row r="5" spans="1:12" x14ac:dyDescent="0.3">
      <c r="A5" t="s">
        <v>8</v>
      </c>
      <c r="B5" s="1">
        <v>17264879.25</v>
      </c>
      <c r="C5" s="1">
        <v>16463930.720000001</v>
      </c>
      <c r="D5" s="1">
        <v>14257994.59</v>
      </c>
      <c r="E5" s="1">
        <v>16622782.5</v>
      </c>
      <c r="F5" s="1">
        <v>14576177.630000001</v>
      </c>
      <c r="G5" s="1">
        <v>19000589.280000001</v>
      </c>
      <c r="H5" s="1">
        <v>26745798.100000001</v>
      </c>
      <c r="I5" s="1">
        <v>25387467.120000001</v>
      </c>
      <c r="J5" s="1">
        <v>28550495.27</v>
      </c>
      <c r="K5" s="1">
        <v>30816144.73</v>
      </c>
    </row>
    <row r="6" spans="1:12" x14ac:dyDescent="0.3">
      <c r="A6" t="s">
        <v>9</v>
      </c>
      <c r="B6" s="1">
        <v>145260345.47</v>
      </c>
      <c r="C6" s="1">
        <v>119419307.97</v>
      </c>
      <c r="D6" s="1">
        <v>110404750.90000001</v>
      </c>
      <c r="E6" s="1">
        <v>103982942.56999999</v>
      </c>
      <c r="F6" s="1">
        <v>103253289.34999999</v>
      </c>
      <c r="G6" s="1">
        <v>148803935.78999999</v>
      </c>
      <c r="H6" s="1">
        <v>218340315.63999999</v>
      </c>
      <c r="I6" s="1">
        <v>239720869.13</v>
      </c>
      <c r="J6" s="1">
        <v>240296020.12</v>
      </c>
      <c r="K6" s="1">
        <f>238903604.87+5800000</f>
        <v>244703604.87</v>
      </c>
    </row>
    <row r="7" spans="1:12" x14ac:dyDescent="0.3">
      <c r="A7" s="4" t="s">
        <v>0</v>
      </c>
      <c r="B7" s="3">
        <f t="shared" ref="B7:E7" si="0">B2+B3-B4-B5-B6</f>
        <v>148999435.61000004</v>
      </c>
      <c r="C7" s="3">
        <f t="shared" si="0"/>
        <v>186096281.97999993</v>
      </c>
      <c r="D7" s="3">
        <f t="shared" si="0"/>
        <v>195882027.78999999</v>
      </c>
      <c r="E7" s="3">
        <f t="shared" si="0"/>
        <v>224215004.36000007</v>
      </c>
      <c r="F7" s="3">
        <f>F2+F3-F4-F5-F6</f>
        <v>275390811.75999999</v>
      </c>
      <c r="G7" s="3">
        <f t="shared" ref="G7" si="1">G2+G3-G4-G5-G6</f>
        <v>326660656.54999995</v>
      </c>
      <c r="H7" s="3">
        <f t="shared" ref="H7:K7" si="2">H2+H3-H4-H5-H6</f>
        <v>324576401.95000005</v>
      </c>
      <c r="I7" s="3">
        <f t="shared" ref="I7:J7" si="3">I2+I3-I4-I5-I6</f>
        <v>333224464.97000003</v>
      </c>
      <c r="J7" s="3">
        <f t="shared" si="3"/>
        <v>320830170.71000016</v>
      </c>
      <c r="K7" s="3">
        <f t="shared" si="2"/>
        <v>311834968.48000002</v>
      </c>
    </row>
    <row r="8" spans="1:12" x14ac:dyDescent="0.3">
      <c r="A8" t="s">
        <v>10</v>
      </c>
      <c r="B8" s="1">
        <v>82466767.549999997</v>
      </c>
      <c r="C8" s="1">
        <v>113458306.87</v>
      </c>
      <c r="D8" s="1">
        <v>128248391.03</v>
      </c>
      <c r="E8" s="1">
        <v>135116062.99000001</v>
      </c>
      <c r="F8" s="1">
        <v>151766264.91999999</v>
      </c>
      <c r="G8" s="1">
        <v>160982666.50999999</v>
      </c>
      <c r="H8" s="1">
        <v>161493891.16999999</v>
      </c>
      <c r="I8" s="1">
        <v>156749520.16</v>
      </c>
      <c r="J8" s="1">
        <v>157354814.34</v>
      </c>
      <c r="K8" s="1">
        <v>163727042.43000001</v>
      </c>
    </row>
    <row r="9" spans="1:12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2" x14ac:dyDescent="0.3">
      <c r="A10" t="s">
        <v>12</v>
      </c>
      <c r="B10" s="1">
        <v>0</v>
      </c>
      <c r="C10" s="1">
        <v>0</v>
      </c>
      <c r="D10" s="1">
        <v>396690</v>
      </c>
      <c r="E10" s="1">
        <v>188771.03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1407255.85</v>
      </c>
    </row>
    <row r="11" spans="1:12" x14ac:dyDescent="0.3">
      <c r="A11" t="s">
        <v>13</v>
      </c>
      <c r="B11" s="1">
        <v>0</v>
      </c>
      <c r="C11" s="1">
        <v>0</v>
      </c>
      <c r="D11" s="1">
        <v>9115553.1500000004</v>
      </c>
      <c r="E11" s="1">
        <v>24186290.09</v>
      </c>
      <c r="F11" s="1">
        <v>23216290.09</v>
      </c>
      <c r="G11" s="1">
        <v>23036290.09</v>
      </c>
      <c r="H11" s="1">
        <v>22636410.09</v>
      </c>
      <c r="I11" s="1">
        <v>21504397.850000001</v>
      </c>
      <c r="J11" s="1">
        <v>21586607.5</v>
      </c>
      <c r="K11" s="1">
        <v>25230421.25</v>
      </c>
      <c r="L11" s="1"/>
    </row>
    <row r="12" spans="1:12" x14ac:dyDescent="0.3">
      <c r="A12" t="s">
        <v>14</v>
      </c>
      <c r="B12" s="1">
        <v>0</v>
      </c>
      <c r="C12" s="1">
        <v>13284244.380000001</v>
      </c>
      <c r="D12" s="1">
        <v>720100</v>
      </c>
      <c r="E12" s="1">
        <v>3120300</v>
      </c>
      <c r="F12" s="1">
        <v>285314.33</v>
      </c>
      <c r="G12" s="1">
        <v>1044511.75</v>
      </c>
      <c r="H12" s="1">
        <v>2397496.89</v>
      </c>
      <c r="I12" s="1">
        <v>5469475.2599999998</v>
      </c>
      <c r="J12" s="1">
        <v>1227031.1200000001</v>
      </c>
      <c r="K12" s="1">
        <v>7456289.9000000004</v>
      </c>
    </row>
    <row r="13" spans="1:12" x14ac:dyDescent="0.3">
      <c r="A13" s="4" t="s">
        <v>1</v>
      </c>
      <c r="B13" s="3">
        <f t="shared" ref="B13:E13" si="4">SUM(B8:B12)</f>
        <v>82466767.549999997</v>
      </c>
      <c r="C13" s="3">
        <f t="shared" si="4"/>
        <v>126742551.25</v>
      </c>
      <c r="D13" s="3">
        <f t="shared" si="4"/>
        <v>138480734.18000001</v>
      </c>
      <c r="E13" s="3">
        <f t="shared" si="4"/>
        <v>162611424.11000001</v>
      </c>
      <c r="F13" s="3">
        <f>SUM(F8:F12)</f>
        <v>175267869.34</v>
      </c>
      <c r="G13" s="3">
        <f t="shared" ref="G13:K13" si="5">SUM(G8:G12)</f>
        <v>185063468.34999999</v>
      </c>
      <c r="H13" s="3">
        <f t="shared" si="5"/>
        <v>186527798.14999998</v>
      </c>
      <c r="I13" s="3">
        <f t="shared" si="5"/>
        <v>183723393.26999998</v>
      </c>
      <c r="J13" s="3">
        <f t="shared" si="5"/>
        <v>180168452.96000001</v>
      </c>
      <c r="K13" s="3">
        <f t="shared" si="5"/>
        <v>197821009.43000001</v>
      </c>
    </row>
    <row r="14" spans="1:12" x14ac:dyDescent="0.3">
      <c r="A14" t="s">
        <v>16</v>
      </c>
      <c r="B14" s="1">
        <v>2833819.69</v>
      </c>
      <c r="C14" s="1">
        <v>5864932.2400000002</v>
      </c>
      <c r="D14" s="1">
        <v>7575092.1200000001</v>
      </c>
      <c r="E14" s="1">
        <v>11108134.68</v>
      </c>
      <c r="F14" s="1">
        <v>24523993.579999998</v>
      </c>
      <c r="G14" s="1">
        <v>32325011.690000001</v>
      </c>
      <c r="H14" s="1">
        <v>28437004.030000001</v>
      </c>
      <c r="I14" s="1">
        <v>35900080.579999998</v>
      </c>
      <c r="J14" s="1">
        <v>34281443.079999998</v>
      </c>
      <c r="K14" s="1">
        <v>38888613.200000003</v>
      </c>
    </row>
    <row r="15" spans="1:12" x14ac:dyDescent="0.3">
      <c r="A15" t="s">
        <v>15</v>
      </c>
      <c r="B15" s="1">
        <v>7602291.54</v>
      </c>
      <c r="C15" s="1">
        <v>13429010.83</v>
      </c>
      <c r="D15" s="1">
        <v>15104534.890000001</v>
      </c>
      <c r="E15" s="1">
        <v>14858558.6</v>
      </c>
      <c r="F15" s="1">
        <v>19209761.91</v>
      </c>
      <c r="G15" s="1">
        <v>25996988.48</v>
      </c>
      <c r="H15" s="1">
        <v>27832189.41</v>
      </c>
      <c r="I15" s="1">
        <v>26132781.190000001</v>
      </c>
      <c r="J15" s="1">
        <v>59838635.700000003</v>
      </c>
      <c r="K15" s="1">
        <v>35145803.899999999</v>
      </c>
    </row>
    <row r="16" spans="1:12" x14ac:dyDescent="0.3">
      <c r="A16" t="s">
        <v>17</v>
      </c>
      <c r="B16" s="1">
        <v>464886.38</v>
      </c>
      <c r="C16" s="1">
        <v>2025729.53</v>
      </c>
      <c r="D16" s="1">
        <v>768377.89</v>
      </c>
      <c r="E16" s="1">
        <v>2173474.65</v>
      </c>
      <c r="F16" s="1">
        <v>3413571.29</v>
      </c>
      <c r="G16" s="1">
        <v>6746741.0700000003</v>
      </c>
      <c r="H16" s="1">
        <v>3714084.02</v>
      </c>
      <c r="I16" s="1">
        <v>3555329.86</v>
      </c>
      <c r="J16" s="1">
        <v>2116388.19</v>
      </c>
      <c r="K16" s="1">
        <v>3912851.62</v>
      </c>
    </row>
    <row r="17" spans="1:13" x14ac:dyDescent="0.3">
      <c r="A17" t="s">
        <v>18</v>
      </c>
      <c r="B17" s="1">
        <v>0</v>
      </c>
      <c r="C17" s="1">
        <v>0</v>
      </c>
      <c r="D17" s="1">
        <v>0</v>
      </c>
      <c r="E17" s="1">
        <v>600000</v>
      </c>
      <c r="F17" s="1">
        <v>0</v>
      </c>
      <c r="G17" s="1">
        <v>0</v>
      </c>
      <c r="H17" s="1">
        <v>0</v>
      </c>
      <c r="I17" s="1">
        <v>0</v>
      </c>
      <c r="J17" s="1">
        <v>1849394.52</v>
      </c>
      <c r="K17" s="1">
        <v>0</v>
      </c>
    </row>
    <row r="18" spans="1:13" x14ac:dyDescent="0.3">
      <c r="A18" t="s">
        <v>19</v>
      </c>
      <c r="B18" s="1">
        <v>35520418.390000001</v>
      </c>
      <c r="C18" s="1">
        <v>4292237.91</v>
      </c>
      <c r="D18" s="1">
        <v>1179032.8400000001</v>
      </c>
      <c r="E18" s="1">
        <v>5067305.6100000003</v>
      </c>
      <c r="F18" s="1">
        <v>1196323.02</v>
      </c>
      <c r="G18" s="1">
        <v>3355728.02</v>
      </c>
      <c r="H18" s="1">
        <v>1272165.03</v>
      </c>
      <c r="I18" s="1">
        <v>1410510.76</v>
      </c>
      <c r="J18" s="1">
        <v>1486831.29</v>
      </c>
      <c r="K18" s="1">
        <v>2343391.54</v>
      </c>
    </row>
    <row r="19" spans="1:13" x14ac:dyDescent="0.3">
      <c r="A19" s="4" t="s">
        <v>2</v>
      </c>
      <c r="B19" s="3">
        <f t="shared" ref="B19:E19" si="6">SUM(B14:B18)</f>
        <v>46421416</v>
      </c>
      <c r="C19" s="3">
        <f t="shared" si="6"/>
        <v>25611910.510000002</v>
      </c>
      <c r="D19" s="3">
        <f t="shared" si="6"/>
        <v>24627037.740000002</v>
      </c>
      <c r="E19" s="3">
        <f t="shared" si="6"/>
        <v>33807473.539999999</v>
      </c>
      <c r="F19" s="3">
        <f>SUM(F14:F18)</f>
        <v>48343649.799999997</v>
      </c>
      <c r="G19" s="3">
        <f t="shared" ref="G19:K19" si="7">SUM(G14:G18)</f>
        <v>68424469.260000005</v>
      </c>
      <c r="H19" s="3">
        <f t="shared" si="7"/>
        <v>61255442.490000002</v>
      </c>
      <c r="I19" s="3">
        <f t="shared" si="7"/>
        <v>66998702.389999993</v>
      </c>
      <c r="J19" s="3">
        <f t="shared" si="7"/>
        <v>99572692.780000001</v>
      </c>
      <c r="K19" s="3">
        <f t="shared" si="7"/>
        <v>80290660.260000005</v>
      </c>
    </row>
    <row r="20" spans="1:13" x14ac:dyDescent="0.3">
      <c r="A20" s="4" t="s">
        <v>3</v>
      </c>
      <c r="B20" s="3">
        <v>20111252.059999999</v>
      </c>
      <c r="C20" s="3">
        <v>19596108.5</v>
      </c>
      <c r="D20" s="3">
        <v>11105197.66</v>
      </c>
      <c r="E20" s="3">
        <v>3904294.13</v>
      </c>
      <c r="F20" s="3">
        <v>8876402.9499999993</v>
      </c>
      <c r="G20" s="3">
        <v>13665679.630000001</v>
      </c>
      <c r="H20" s="3">
        <v>6552308.75</v>
      </c>
      <c r="I20" s="3">
        <v>7222125.8300000001</v>
      </c>
      <c r="J20" s="3">
        <v>1925386.77</v>
      </c>
      <c r="K20" s="3">
        <v>4832844.38</v>
      </c>
    </row>
    <row r="21" spans="1:13" x14ac:dyDescent="0.3">
      <c r="A21" s="73" t="s">
        <v>4</v>
      </c>
      <c r="B21" s="40">
        <f t="shared" ref="B21" si="8">B7-B13-B19-B20</f>
        <v>4.8428773880004883E-8</v>
      </c>
      <c r="C21" s="40">
        <f t="shared" ref="C21:D21" si="9">C7-C13-C19-C20</f>
        <v>14145711.719999924</v>
      </c>
      <c r="D21" s="40">
        <f t="shared" si="9"/>
        <v>21669058.209999982</v>
      </c>
      <c r="E21" s="40">
        <f>E7-E13-E19-E20</f>
        <v>23891812.580000062</v>
      </c>
      <c r="F21" s="40">
        <f>F7-F13-F19-F20</f>
        <v>42902889.669999987</v>
      </c>
      <c r="G21" s="40">
        <f t="shared" ref="G21:K21" si="10">G7-G13-G19-G20</f>
        <v>59507039.30999995</v>
      </c>
      <c r="H21" s="40">
        <f t="shared" si="10"/>
        <v>70240852.560000062</v>
      </c>
      <c r="I21" s="40">
        <f t="shared" si="10"/>
        <v>75280243.480000064</v>
      </c>
      <c r="J21" s="40">
        <f t="shared" ref="J21" si="11">J7-J13-J19-J20</f>
        <v>39163638.200000145</v>
      </c>
      <c r="K21" s="40">
        <f t="shared" si="10"/>
        <v>28890454.410000008</v>
      </c>
    </row>
    <row r="22" spans="1:13" x14ac:dyDescent="0.3">
      <c r="A22" t="s">
        <v>356</v>
      </c>
      <c r="B22" s="1">
        <v>-37185333.869999997</v>
      </c>
      <c r="C22" s="1">
        <v>-24846214.800000001</v>
      </c>
      <c r="D22" s="1">
        <v>-28900257.120000001</v>
      </c>
      <c r="E22" s="1">
        <v>-29856896.539999999</v>
      </c>
      <c r="F22" s="1">
        <v>-28309675.879999999</v>
      </c>
      <c r="G22" s="1">
        <v>-32205727.940000001</v>
      </c>
      <c r="H22" s="1">
        <v>-24991331.32</v>
      </c>
      <c r="I22" s="1">
        <v>-30504794.690000001</v>
      </c>
      <c r="J22" s="1">
        <v>-35987010.32</v>
      </c>
      <c r="K22" s="1">
        <v>-38986523.829999998</v>
      </c>
    </row>
    <row r="23" spans="1:13" x14ac:dyDescent="0.3">
      <c r="A23" t="s">
        <v>357</v>
      </c>
      <c r="B23" s="6">
        <f>B8/B3*100</f>
        <v>28.383738078155879</v>
      </c>
      <c r="C23" s="6">
        <f>C8/C3*100</f>
        <v>36.249619818331695</v>
      </c>
      <c r="D23" s="6">
        <f>D8/D3*100</f>
        <v>40.012366831807498</v>
      </c>
      <c r="E23" s="6">
        <f>E8/E3*100</f>
        <v>45.301581693493212</v>
      </c>
      <c r="F23" s="6">
        <f>F8/F3*100</f>
        <v>46.106433358413923</v>
      </c>
      <c r="G23" s="6">
        <f t="shared" ref="G23" si="12">G8/G3*100</f>
        <v>50.802115800341532</v>
      </c>
      <c r="H23" s="6">
        <f t="shared" ref="H23:K23" si="13">H8/H3*100</f>
        <v>49.775745438221286</v>
      </c>
      <c r="I23" s="6">
        <f t="shared" ref="I23:J23" si="14">I8/I3*100</f>
        <v>49.819673193429132</v>
      </c>
      <c r="J23" s="6">
        <f t="shared" si="14"/>
        <v>49.691884353566266</v>
      </c>
      <c r="K23" s="6">
        <f t="shared" si="13"/>
        <v>34.628922065151059</v>
      </c>
      <c r="M23" s="1"/>
    </row>
  </sheetData>
  <conditionalFormatting sqref="C21:G21 K21">
    <cfRule type="cellIs" dxfId="137" priority="18" operator="greaterThan">
      <formula>0</formula>
    </cfRule>
  </conditionalFormatting>
  <conditionalFormatting sqref="C21:G21 K21">
    <cfRule type="cellIs" dxfId="136" priority="15" operator="greaterThan">
      <formula>0</formula>
    </cfRule>
    <cfRule type="cellIs" dxfId="135" priority="16" operator="lessThan">
      <formula>0</formula>
    </cfRule>
  </conditionalFormatting>
  <conditionalFormatting sqref="B21">
    <cfRule type="cellIs" dxfId="134" priority="12" operator="greaterThan">
      <formula>0</formula>
    </cfRule>
  </conditionalFormatting>
  <conditionalFormatting sqref="B21">
    <cfRule type="cellIs" dxfId="133" priority="10" operator="greaterThan">
      <formula>0</formula>
    </cfRule>
    <cfRule type="cellIs" dxfId="132" priority="11" operator="lessThan">
      <formula>0</formula>
    </cfRule>
  </conditionalFormatting>
  <conditionalFormatting sqref="H21">
    <cfRule type="cellIs" dxfId="131" priority="9" operator="greaterThan">
      <formula>0</formula>
    </cfRule>
  </conditionalFormatting>
  <conditionalFormatting sqref="H21">
    <cfRule type="cellIs" dxfId="130" priority="7" operator="greaterThan">
      <formula>0</formula>
    </cfRule>
    <cfRule type="cellIs" dxfId="129" priority="8" operator="lessThan">
      <formula>0</formula>
    </cfRule>
  </conditionalFormatting>
  <conditionalFormatting sqref="I21">
    <cfRule type="cellIs" dxfId="128" priority="6" operator="greaterThan">
      <formula>0</formula>
    </cfRule>
  </conditionalFormatting>
  <conditionalFormatting sqref="I21">
    <cfRule type="cellIs" dxfId="127" priority="4" operator="greaterThan">
      <formula>0</formula>
    </cfRule>
    <cfRule type="cellIs" dxfId="126" priority="5" operator="lessThan">
      <formula>0</formula>
    </cfRule>
  </conditionalFormatting>
  <conditionalFormatting sqref="J21">
    <cfRule type="cellIs" dxfId="125" priority="3" operator="greaterThan">
      <formula>0</formula>
    </cfRule>
  </conditionalFormatting>
  <conditionalFormatting sqref="J21">
    <cfRule type="cellIs" dxfId="124" priority="1" operator="greaterThan">
      <formula>0</formula>
    </cfRule>
    <cfRule type="cellIs" dxfId="123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M2" sqref="M2:M29"/>
    </sheetView>
  </sheetViews>
  <sheetFormatPr defaultRowHeight="14.4" x14ac:dyDescent="0.3"/>
  <cols>
    <col min="1" max="1" width="65.33203125" bestFit="1" customWidth="1"/>
    <col min="2" max="2" width="10.88671875" customWidth="1"/>
    <col min="3" max="13" width="11.109375" bestFit="1" customWidth="1"/>
    <col min="14" max="14" width="12.33203125" bestFit="1" customWidth="1"/>
  </cols>
  <sheetData>
    <row r="1" spans="1:14" x14ac:dyDescent="0.3">
      <c r="C1" s="12">
        <v>2013</v>
      </c>
      <c r="D1" s="12">
        <v>2014</v>
      </c>
      <c r="E1" s="12">
        <v>2015</v>
      </c>
      <c r="F1" s="12">
        <v>2016</v>
      </c>
      <c r="G1" s="12">
        <v>2017</v>
      </c>
      <c r="H1" s="12">
        <v>2018</v>
      </c>
      <c r="I1" s="12">
        <v>2019</v>
      </c>
      <c r="J1" s="12">
        <v>2020</v>
      </c>
      <c r="K1" s="12">
        <v>2021</v>
      </c>
      <c r="L1" s="12">
        <v>2022</v>
      </c>
      <c r="M1" s="12">
        <v>2023</v>
      </c>
      <c r="N1" s="12" t="s">
        <v>266</v>
      </c>
    </row>
    <row r="2" spans="1:14" x14ac:dyDescent="0.3">
      <c r="A2" t="s">
        <v>236</v>
      </c>
      <c r="B2" s="29" t="s">
        <v>260</v>
      </c>
      <c r="C2" s="98">
        <v>293411728.62</v>
      </c>
      <c r="D2" s="98">
        <v>326913315.11000001</v>
      </c>
      <c r="E2" s="98">
        <v>352068536.60000002</v>
      </c>
      <c r="F2" s="1">
        <v>317496784.74000001</v>
      </c>
      <c r="G2" s="1">
        <v>324292468.97000003</v>
      </c>
      <c r="H2" s="1">
        <v>345799374.12</v>
      </c>
      <c r="I2" s="1">
        <v>342142933</v>
      </c>
      <c r="J2" s="1">
        <v>313218869.17000002</v>
      </c>
      <c r="K2" s="1">
        <v>321927889.25999999</v>
      </c>
      <c r="L2" s="1">
        <v>333987673.77999997</v>
      </c>
      <c r="M2" s="1">
        <v>348760980.63999999</v>
      </c>
      <c r="N2" s="1">
        <f>M2-L2</f>
        <v>14773306.860000014</v>
      </c>
    </row>
    <row r="3" spans="1:14" x14ac:dyDescent="0.3">
      <c r="A3" t="s">
        <v>237</v>
      </c>
      <c r="B3" s="29" t="s">
        <v>260</v>
      </c>
      <c r="C3" s="98">
        <v>32482393.09</v>
      </c>
      <c r="D3" s="98">
        <v>44927578.43</v>
      </c>
      <c r="E3" s="98">
        <v>24258135.960000001</v>
      </c>
      <c r="F3" s="1">
        <v>47359517.780000001</v>
      </c>
      <c r="G3" s="1">
        <v>48893436.630000003</v>
      </c>
      <c r="H3" s="1">
        <v>51183074.859999999</v>
      </c>
      <c r="I3" s="1">
        <v>51183074.859999999</v>
      </c>
      <c r="J3" s="1">
        <v>50981640.030000001</v>
      </c>
      <c r="K3" s="1">
        <v>51615955.960000001</v>
      </c>
      <c r="L3" s="1">
        <v>51828363.789999999</v>
      </c>
      <c r="M3" s="1">
        <v>51191394.689999998</v>
      </c>
      <c r="N3" s="1">
        <f t="shared" ref="N3:N29" si="0">M3-L3</f>
        <v>-636969.10000000149</v>
      </c>
    </row>
    <row r="4" spans="1:14" x14ac:dyDescent="0.3">
      <c r="A4" t="s">
        <v>238</v>
      </c>
      <c r="B4" s="29" t="s">
        <v>260</v>
      </c>
      <c r="C4" s="98">
        <v>83032172.569999993</v>
      </c>
      <c r="D4" s="98">
        <v>42947278.880000003</v>
      </c>
      <c r="E4" s="98">
        <v>28505140.760000002</v>
      </c>
      <c r="F4" s="1">
        <v>48202796.109999999</v>
      </c>
      <c r="G4" s="1">
        <v>46192609.130000003</v>
      </c>
      <c r="H4" s="1">
        <v>58212614.119999997</v>
      </c>
      <c r="I4" s="1">
        <v>65484476.170000002</v>
      </c>
      <c r="J4" s="1">
        <v>145533426.62</v>
      </c>
      <c r="K4" s="1">
        <v>123302577.67</v>
      </c>
      <c r="L4" s="1">
        <v>136011298.93000001</v>
      </c>
      <c r="M4" s="1">
        <v>175912803.56999999</v>
      </c>
      <c r="N4" s="1">
        <f t="shared" si="0"/>
        <v>39901504.639999986</v>
      </c>
    </row>
    <row r="5" spans="1:14" x14ac:dyDescent="0.3">
      <c r="A5" t="s">
        <v>239</v>
      </c>
      <c r="B5" s="29" t="s">
        <v>260</v>
      </c>
      <c r="C5" s="98">
        <v>43590100.969999999</v>
      </c>
      <c r="D5" s="98">
        <v>41651595.560000002</v>
      </c>
      <c r="E5" s="98">
        <v>47254557.140000001</v>
      </c>
      <c r="F5" s="1">
        <v>55288481.530000001</v>
      </c>
      <c r="G5" s="1">
        <v>57434499.090000004</v>
      </c>
      <c r="H5" s="1">
        <v>56490953.579999998</v>
      </c>
      <c r="I5" s="1">
        <v>70599967.180000007</v>
      </c>
      <c r="J5" s="1">
        <v>41105243.149999999</v>
      </c>
      <c r="K5" s="1">
        <v>58779528.289999999</v>
      </c>
      <c r="L5" s="1">
        <v>63541427</v>
      </c>
      <c r="M5" s="1">
        <v>65279270.719999999</v>
      </c>
      <c r="N5" s="1">
        <f t="shared" si="0"/>
        <v>1737843.7199999988</v>
      </c>
    </row>
    <row r="6" spans="1:14" x14ac:dyDescent="0.3">
      <c r="A6" t="s">
        <v>240</v>
      </c>
      <c r="B6" s="29" t="s">
        <v>260</v>
      </c>
      <c r="C6" s="98">
        <v>0</v>
      </c>
      <c r="D6" s="98">
        <v>0</v>
      </c>
      <c r="E6" s="98">
        <v>0</v>
      </c>
      <c r="F6" s="98">
        <v>0</v>
      </c>
      <c r="G6" s="98">
        <v>0</v>
      </c>
      <c r="H6" s="98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1">
        <f t="shared" si="0"/>
        <v>0</v>
      </c>
    </row>
    <row r="7" spans="1:14" x14ac:dyDescent="0.3">
      <c r="A7" t="s">
        <v>241</v>
      </c>
      <c r="B7" s="29" t="s">
        <v>260</v>
      </c>
      <c r="C7" s="98">
        <v>0</v>
      </c>
      <c r="D7" s="98">
        <v>0</v>
      </c>
      <c r="E7" s="98">
        <v>0</v>
      </c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1">
        <f t="shared" si="0"/>
        <v>0</v>
      </c>
    </row>
    <row r="8" spans="1:14" x14ac:dyDescent="0.3">
      <c r="A8" t="s">
        <v>242</v>
      </c>
      <c r="B8" s="29" t="s">
        <v>260</v>
      </c>
      <c r="C8" s="98">
        <v>0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1">
        <f t="shared" si="0"/>
        <v>0</v>
      </c>
    </row>
    <row r="9" spans="1:14" x14ac:dyDescent="0.3">
      <c r="A9" s="35" t="s">
        <v>243</v>
      </c>
      <c r="B9" s="36" t="s">
        <v>260</v>
      </c>
      <c r="C9" s="99">
        <v>77270047.409999996</v>
      </c>
      <c r="D9" s="99">
        <v>63740620.350000001</v>
      </c>
      <c r="E9" s="99">
        <v>62277275.159999996</v>
      </c>
      <c r="F9" s="37">
        <v>61450369.869999997</v>
      </c>
      <c r="G9" s="37">
        <v>80538785.060000002</v>
      </c>
      <c r="H9" s="37">
        <v>86004722.659999996</v>
      </c>
      <c r="I9" s="37">
        <v>86274478.019999996</v>
      </c>
      <c r="J9" s="37">
        <v>69668770.219999999</v>
      </c>
      <c r="K9" s="37">
        <v>64852112.549999997</v>
      </c>
      <c r="L9" s="37">
        <v>77697514.989999995</v>
      </c>
      <c r="M9" s="1">
        <v>81807947.579999998</v>
      </c>
      <c r="N9" s="1">
        <f t="shared" si="0"/>
        <v>4110432.5900000036</v>
      </c>
    </row>
    <row r="10" spans="1:14" x14ac:dyDescent="0.3">
      <c r="A10" s="38" t="s">
        <v>264</v>
      </c>
      <c r="B10" s="39" t="s">
        <v>260</v>
      </c>
      <c r="C10" s="97">
        <f t="shared" ref="C10:H10" si="1">SUM(C2:C9)</f>
        <v>529786442.65999997</v>
      </c>
      <c r="D10" s="97">
        <f t="shared" si="1"/>
        <v>520180388.33000004</v>
      </c>
      <c r="E10" s="97">
        <f t="shared" si="1"/>
        <v>514363645.62</v>
      </c>
      <c r="F10" s="97">
        <f t="shared" si="1"/>
        <v>529797950.02999997</v>
      </c>
      <c r="G10" s="97">
        <f t="shared" si="1"/>
        <v>557351798.88000011</v>
      </c>
      <c r="H10" s="97">
        <f t="shared" si="1"/>
        <v>597690739.34000003</v>
      </c>
      <c r="I10" s="97">
        <f t="shared" ref="I10:M10" si="2">SUM(I2:I9)</f>
        <v>615684929.23000002</v>
      </c>
      <c r="J10" s="97">
        <f t="shared" ref="J10:L10" si="3">SUM(J2:J9)</f>
        <v>620507949.19000006</v>
      </c>
      <c r="K10" s="97">
        <f t="shared" si="3"/>
        <v>620478063.7299999</v>
      </c>
      <c r="L10" s="97">
        <f t="shared" si="3"/>
        <v>663066278.49000001</v>
      </c>
      <c r="M10" s="97">
        <f t="shared" si="2"/>
        <v>722952397.20000005</v>
      </c>
      <c r="N10" s="11">
        <f t="shared" si="0"/>
        <v>59886118.710000038</v>
      </c>
    </row>
    <row r="11" spans="1:14" x14ac:dyDescent="0.3">
      <c r="A11" t="s">
        <v>244</v>
      </c>
      <c r="B11" s="29" t="s">
        <v>261</v>
      </c>
      <c r="C11" s="98">
        <v>3234739.22</v>
      </c>
      <c r="D11" s="98">
        <v>3032595.98</v>
      </c>
      <c r="E11" s="98">
        <v>2195972.91</v>
      </c>
      <c r="F11" s="1">
        <v>1281789.17</v>
      </c>
      <c r="G11" s="1">
        <v>960823.36</v>
      </c>
      <c r="H11" s="1">
        <v>1421814.6</v>
      </c>
      <c r="I11" s="1">
        <v>1333544.3799999999</v>
      </c>
      <c r="J11" s="1">
        <v>7152731.4400000004</v>
      </c>
      <c r="K11" s="1">
        <v>7173655.1699999999</v>
      </c>
      <c r="L11" s="1">
        <v>3499396.73</v>
      </c>
      <c r="M11" s="1">
        <v>2838771.18</v>
      </c>
      <c r="N11" s="1">
        <f t="shared" si="0"/>
        <v>-660625.54999999981</v>
      </c>
    </row>
    <row r="12" spans="1:14" x14ac:dyDescent="0.3">
      <c r="A12" t="s">
        <v>245</v>
      </c>
      <c r="B12" s="29" t="s">
        <v>261</v>
      </c>
      <c r="C12" s="98">
        <v>208201591.80000001</v>
      </c>
      <c r="D12" s="98">
        <v>229739278.36000001</v>
      </c>
      <c r="E12" s="98">
        <v>231048358.97</v>
      </c>
      <c r="F12" s="1">
        <v>237421978.38</v>
      </c>
      <c r="G12" s="1">
        <v>247052612.40000001</v>
      </c>
      <c r="H12" s="1">
        <v>261385208.71000001</v>
      </c>
      <c r="I12" s="1">
        <v>268120632.41</v>
      </c>
      <c r="J12" s="1">
        <v>267175005.63999999</v>
      </c>
      <c r="K12" s="1">
        <v>299283031.64999998</v>
      </c>
      <c r="L12" s="1">
        <v>341950772.82999998</v>
      </c>
      <c r="M12" s="1">
        <v>351285111.17000002</v>
      </c>
      <c r="N12" s="1">
        <f t="shared" si="0"/>
        <v>9334338.3400000334</v>
      </c>
    </row>
    <row r="13" spans="1:14" x14ac:dyDescent="0.3">
      <c r="A13" t="s">
        <v>246</v>
      </c>
      <c r="B13" s="29" t="s">
        <v>261</v>
      </c>
      <c r="C13" s="98">
        <v>11127854.18</v>
      </c>
      <c r="D13" s="98">
        <v>10312112.52</v>
      </c>
      <c r="E13" s="98">
        <v>9284506.2100000009</v>
      </c>
      <c r="F13" s="1">
        <v>5287997.3099999996</v>
      </c>
      <c r="G13" s="1">
        <v>7048371.8399999999</v>
      </c>
      <c r="H13" s="1">
        <v>6840746.4900000002</v>
      </c>
      <c r="I13" s="1">
        <v>6216911.8200000003</v>
      </c>
      <c r="J13" s="1">
        <v>6485943.9699999997</v>
      </c>
      <c r="K13" s="1">
        <v>6373537.2999999998</v>
      </c>
      <c r="L13" s="1">
        <v>6956940.4500000002</v>
      </c>
      <c r="M13" s="1">
        <v>7921699.5499999998</v>
      </c>
      <c r="N13" s="1">
        <f t="shared" si="0"/>
        <v>964759.09999999963</v>
      </c>
    </row>
    <row r="14" spans="1:14" x14ac:dyDescent="0.3">
      <c r="A14" t="s">
        <v>247</v>
      </c>
      <c r="B14" s="29" t="s">
        <v>261</v>
      </c>
      <c r="C14" s="98">
        <v>43052895.670000002</v>
      </c>
      <c r="D14" s="98">
        <v>23824903.960000001</v>
      </c>
      <c r="E14" s="98">
        <v>26818760.289999999</v>
      </c>
      <c r="F14" s="1">
        <v>42195410.25</v>
      </c>
      <c r="G14" s="1">
        <v>50222579.659999996</v>
      </c>
      <c r="H14" s="1">
        <v>53668733.490000002</v>
      </c>
      <c r="I14" s="1">
        <v>58957143.130000003</v>
      </c>
      <c r="J14" s="1">
        <v>69868667.090000004</v>
      </c>
      <c r="K14" s="1">
        <v>68888359.340000004</v>
      </c>
      <c r="L14" s="1">
        <v>78208419.420000002</v>
      </c>
      <c r="M14" s="1">
        <v>74146697.140000001</v>
      </c>
      <c r="N14" s="1">
        <f t="shared" si="0"/>
        <v>-4061722.2800000012</v>
      </c>
    </row>
    <row r="15" spans="1:14" x14ac:dyDescent="0.3">
      <c r="A15" t="s">
        <v>248</v>
      </c>
      <c r="B15" s="29" t="s">
        <v>261</v>
      </c>
      <c r="C15" s="98">
        <v>160637244.69999999</v>
      </c>
      <c r="D15" s="98">
        <v>162931378.40000001</v>
      </c>
      <c r="E15" s="98">
        <v>162696141.72999999</v>
      </c>
      <c r="F15" s="1">
        <v>161757765.81</v>
      </c>
      <c r="G15" s="1">
        <v>161246604.83000001</v>
      </c>
      <c r="H15" s="1">
        <v>162336557.38999999</v>
      </c>
      <c r="I15" s="1">
        <v>164878364.43000001</v>
      </c>
      <c r="J15" s="1">
        <v>162091314.81</v>
      </c>
      <c r="K15" s="1">
        <v>167019684.31999999</v>
      </c>
      <c r="L15" s="1">
        <v>167354607.91</v>
      </c>
      <c r="M15" s="1">
        <v>176054578.71000001</v>
      </c>
      <c r="N15" s="1">
        <f t="shared" si="0"/>
        <v>8699970.8000000119</v>
      </c>
    </row>
    <row r="16" spans="1:14" x14ac:dyDescent="0.3">
      <c r="A16" t="s">
        <v>249</v>
      </c>
      <c r="B16" s="29" t="s">
        <v>261</v>
      </c>
      <c r="C16" s="98">
        <v>73367116.280000001</v>
      </c>
      <c r="D16" s="98">
        <v>104952713.51000001</v>
      </c>
      <c r="E16" s="98">
        <v>68716281.769999996</v>
      </c>
      <c r="F16" s="1">
        <v>53892718.789999999</v>
      </c>
      <c r="G16" s="1">
        <v>53052469.969999999</v>
      </c>
      <c r="H16" s="1">
        <v>74793977.030000001</v>
      </c>
      <c r="I16" s="1">
        <v>56160963.240000002</v>
      </c>
      <c r="J16" s="1">
        <v>53509350.630000003</v>
      </c>
      <c r="K16" s="1">
        <v>54906487.420000002</v>
      </c>
      <c r="L16" s="1">
        <v>81147255.430000007</v>
      </c>
      <c r="M16" s="1">
        <v>84614230.859999999</v>
      </c>
      <c r="N16" s="1">
        <f t="shared" si="0"/>
        <v>3466975.4299999923</v>
      </c>
    </row>
    <row r="17" spans="1:14" x14ac:dyDescent="0.3">
      <c r="A17" t="s">
        <v>250</v>
      </c>
      <c r="B17" s="29" t="s">
        <v>261</v>
      </c>
      <c r="C17" s="98"/>
      <c r="D17" s="98"/>
      <c r="E17" s="98">
        <v>-192734.74</v>
      </c>
      <c r="F17" s="1"/>
      <c r="G17" s="1">
        <v>57848.74</v>
      </c>
      <c r="H17" s="1">
        <v>-7302.77</v>
      </c>
      <c r="I17" s="1">
        <v>-8424.7800000000007</v>
      </c>
      <c r="J17" s="1">
        <v>-64958.18</v>
      </c>
      <c r="K17" s="1">
        <v>-46582.81</v>
      </c>
      <c r="L17" s="1">
        <v>-1832079.35</v>
      </c>
      <c r="M17" s="1">
        <v>34769.199999999997</v>
      </c>
      <c r="N17" s="1">
        <f t="shared" si="0"/>
        <v>1866848.55</v>
      </c>
    </row>
    <row r="18" spans="1:14" x14ac:dyDescent="0.3">
      <c r="A18" t="s">
        <v>251</v>
      </c>
      <c r="B18" s="29" t="s">
        <v>261</v>
      </c>
      <c r="C18" s="98">
        <v>26982604.550000001</v>
      </c>
      <c r="D18" s="98">
        <v>11696329.58</v>
      </c>
      <c r="E18" s="98">
        <v>2223518.6800000002</v>
      </c>
      <c r="F18" s="1"/>
      <c r="G18" s="1">
        <v>14142717.970000001</v>
      </c>
      <c r="H18" s="1">
        <v>0</v>
      </c>
      <c r="I18" s="1">
        <v>0</v>
      </c>
      <c r="J18" s="1">
        <v>0</v>
      </c>
      <c r="K18" s="1">
        <v>0</v>
      </c>
      <c r="L18" s="1">
        <v>3082209.65</v>
      </c>
      <c r="M18" s="1">
        <v>3869413.75</v>
      </c>
      <c r="N18" s="1">
        <f t="shared" si="0"/>
        <v>787204.10000000009</v>
      </c>
    </row>
    <row r="19" spans="1:14" x14ac:dyDescent="0.3">
      <c r="A19" t="s">
        <v>14</v>
      </c>
      <c r="B19" s="29" t="s">
        <v>261</v>
      </c>
      <c r="C19" s="98"/>
      <c r="D19" s="98"/>
      <c r="E19" s="98"/>
      <c r="F19" s="1"/>
      <c r="G19" s="1">
        <v>3120300</v>
      </c>
      <c r="H19" s="1">
        <v>45014.33</v>
      </c>
      <c r="I19" s="1">
        <v>759197.42</v>
      </c>
      <c r="J19" s="1">
        <v>1352985.14</v>
      </c>
      <c r="K19" s="1">
        <v>3071978.37</v>
      </c>
      <c r="L19" s="1">
        <v>863480</v>
      </c>
      <c r="M19" s="1">
        <v>6047383.7400000002</v>
      </c>
      <c r="N19" s="1">
        <f t="shared" si="0"/>
        <v>5183903.74</v>
      </c>
    </row>
    <row r="20" spans="1:14" x14ac:dyDescent="0.3">
      <c r="A20" s="35" t="s">
        <v>252</v>
      </c>
      <c r="B20" s="36" t="s">
        <v>261</v>
      </c>
      <c r="C20" s="99">
        <v>12514680.560000001</v>
      </c>
      <c r="D20" s="99">
        <v>6918343.4400000004</v>
      </c>
      <c r="E20" s="99">
        <v>8583169.7100000009</v>
      </c>
      <c r="F20" s="37">
        <v>8547204.1799999997</v>
      </c>
      <c r="G20" s="37">
        <v>6121031.5</v>
      </c>
      <c r="H20" s="37">
        <v>8580992.5399999991</v>
      </c>
      <c r="I20" s="37">
        <v>7382233.3399999999</v>
      </c>
      <c r="J20" s="37">
        <v>10097469.23</v>
      </c>
      <c r="K20" s="37">
        <v>8659763.8000000007</v>
      </c>
      <c r="L20" s="37">
        <v>8304249.79</v>
      </c>
      <c r="M20" s="1">
        <v>8667632.1600000001</v>
      </c>
      <c r="N20" s="1">
        <f t="shared" si="0"/>
        <v>363382.37000000011</v>
      </c>
    </row>
    <row r="21" spans="1:14" x14ac:dyDescent="0.3">
      <c r="A21" s="38" t="s">
        <v>265</v>
      </c>
      <c r="B21" s="39" t="s">
        <v>261</v>
      </c>
      <c r="C21" s="97">
        <f>SUM(C11:C20)</f>
        <v>539118726.96000004</v>
      </c>
      <c r="D21" s="97">
        <f>SUM(D11:D20)</f>
        <v>553407655.75000012</v>
      </c>
      <c r="E21" s="97">
        <f>SUM(E11:E20)</f>
        <v>511373975.52999997</v>
      </c>
      <c r="F21" s="97">
        <f>SUM(F11:F20)</f>
        <v>510384863.89000005</v>
      </c>
      <c r="G21" s="97">
        <f t="shared" ref="G21:H21" si="4">SUM(G11:G20)</f>
        <v>543025360.2700001</v>
      </c>
      <c r="H21" s="97">
        <f t="shared" si="4"/>
        <v>569065741.81000006</v>
      </c>
      <c r="I21" s="97">
        <f t="shared" ref="I21:M21" si="5">SUM(I11:I20)</f>
        <v>563800565.38999999</v>
      </c>
      <c r="J21" s="97">
        <f t="shared" ref="J21:L21" si="6">SUM(J11:J20)</f>
        <v>577668509.7700001</v>
      </c>
      <c r="K21" s="97">
        <f t="shared" si="6"/>
        <v>615329914.55999994</v>
      </c>
      <c r="L21" s="97">
        <f t="shared" si="6"/>
        <v>689535252.8599999</v>
      </c>
      <c r="M21" s="97">
        <f t="shared" si="5"/>
        <v>715480287.46000004</v>
      </c>
      <c r="N21" s="11">
        <f t="shared" si="0"/>
        <v>25945034.600000143</v>
      </c>
    </row>
    <row r="22" spans="1:14" x14ac:dyDescent="0.3">
      <c r="A22" t="s">
        <v>253</v>
      </c>
      <c r="B22" s="29" t="s">
        <v>260</v>
      </c>
      <c r="C22" s="98">
        <v>18108636</v>
      </c>
      <c r="D22" s="98">
        <v>15786711.75</v>
      </c>
      <c r="E22" s="98">
        <v>15137613.52</v>
      </c>
      <c r="F22" s="1">
        <v>15317402.76</v>
      </c>
      <c r="G22" s="1">
        <v>17344757.050000001</v>
      </c>
      <c r="H22" s="1">
        <v>18024371.059999999</v>
      </c>
      <c r="I22" s="1">
        <v>19049270.420000002</v>
      </c>
      <c r="J22" s="1">
        <v>14620693.640000001</v>
      </c>
      <c r="K22" s="1">
        <v>15156416.98</v>
      </c>
      <c r="L22" s="1">
        <v>17901857.809999999</v>
      </c>
      <c r="M22" s="1">
        <v>18504564.210000001</v>
      </c>
      <c r="N22" s="1">
        <f t="shared" si="0"/>
        <v>602706.40000000224</v>
      </c>
    </row>
    <row r="23" spans="1:14" x14ac:dyDescent="0.3">
      <c r="A23" t="s">
        <v>254</v>
      </c>
      <c r="B23" s="29" t="s">
        <v>261</v>
      </c>
      <c r="C23" s="98">
        <v>7762109.0199999996</v>
      </c>
      <c r="D23" s="98">
        <v>6761819.5300000003</v>
      </c>
      <c r="E23" s="98">
        <v>5887950</v>
      </c>
      <c r="F23" s="1">
        <v>4908294.96</v>
      </c>
      <c r="G23" s="1">
        <v>4217537.58</v>
      </c>
      <c r="H23" s="1">
        <v>4024102.51</v>
      </c>
      <c r="I23" s="1">
        <v>3094275.83</v>
      </c>
      <c r="J23" s="1">
        <v>1716133.23</v>
      </c>
      <c r="K23" s="1">
        <v>1751062.01</v>
      </c>
      <c r="L23" s="1">
        <v>1665886.72</v>
      </c>
      <c r="M23" s="1">
        <v>1353823.39</v>
      </c>
      <c r="N23" s="1">
        <f t="shared" si="0"/>
        <v>-312063.33000000007</v>
      </c>
    </row>
    <row r="24" spans="1:14" x14ac:dyDescent="0.3">
      <c r="A24" t="s">
        <v>255</v>
      </c>
      <c r="B24" s="29" t="s">
        <v>260</v>
      </c>
      <c r="C24" s="98"/>
      <c r="D24" s="98"/>
      <c r="E24" s="98">
        <v>-48967.88</v>
      </c>
      <c r="F24" s="1">
        <v>0</v>
      </c>
      <c r="G24" s="1">
        <v>0</v>
      </c>
      <c r="H24" s="1">
        <v>-6569.85</v>
      </c>
      <c r="I24" s="1">
        <v>0</v>
      </c>
      <c r="J24" s="1">
        <v>-8559.18</v>
      </c>
      <c r="K24" s="1">
        <v>-14531271.6</v>
      </c>
      <c r="L24" s="1">
        <v>0</v>
      </c>
      <c r="M24" s="1">
        <v>-3892.16</v>
      </c>
      <c r="N24" s="1">
        <f t="shared" si="0"/>
        <v>-3892.16</v>
      </c>
    </row>
    <row r="25" spans="1:14" x14ac:dyDescent="0.3">
      <c r="A25" t="s">
        <v>256</v>
      </c>
      <c r="B25" s="29" t="s">
        <v>260</v>
      </c>
      <c r="C25" s="98">
        <v>45495297.649999999</v>
      </c>
      <c r="D25" s="98">
        <v>44435440.710000001</v>
      </c>
      <c r="E25" s="98">
        <v>42525716.859999999</v>
      </c>
      <c r="F25" s="1">
        <v>30132262.23</v>
      </c>
      <c r="G25" s="1">
        <v>33090982.940000001</v>
      </c>
      <c r="H25" s="1">
        <v>26225224.16</v>
      </c>
      <c r="I25" s="1">
        <v>49170288.420000002</v>
      </c>
      <c r="J25" s="1">
        <v>35154244.719999999</v>
      </c>
      <c r="K25" s="1">
        <v>22365327.59</v>
      </c>
      <c r="L25" s="1">
        <v>61557417.960000001</v>
      </c>
      <c r="M25" s="1">
        <v>35622232.369999997</v>
      </c>
      <c r="N25" s="1">
        <f t="shared" si="0"/>
        <v>-25935185.590000004</v>
      </c>
    </row>
    <row r="26" spans="1:14" x14ac:dyDescent="0.3">
      <c r="A26" t="s">
        <v>257</v>
      </c>
      <c r="B26" s="29" t="s">
        <v>261</v>
      </c>
      <c r="C26" s="98">
        <v>9388013.9000000004</v>
      </c>
      <c r="D26" s="98">
        <v>7941394.7699999996</v>
      </c>
      <c r="E26" s="98">
        <v>11995858.359999999</v>
      </c>
      <c r="F26" s="1">
        <v>20537344.280000001</v>
      </c>
      <c r="G26" s="1">
        <v>5335743.2300000004</v>
      </c>
      <c r="H26" s="1">
        <v>7604574.4800000004</v>
      </c>
      <c r="I26" s="1">
        <v>23008942.059999999</v>
      </c>
      <c r="J26" s="1">
        <v>4222867.55</v>
      </c>
      <c r="K26" s="1">
        <v>5184815.1399999997</v>
      </c>
      <c r="L26" s="1">
        <v>18699785.41</v>
      </c>
      <c r="M26" s="1">
        <v>7425772.7400000002</v>
      </c>
      <c r="N26" s="1">
        <f t="shared" si="0"/>
        <v>-11274012.67</v>
      </c>
    </row>
    <row r="27" spans="1:14" x14ac:dyDescent="0.3">
      <c r="A27" t="s">
        <v>258</v>
      </c>
      <c r="B27" s="29" t="s">
        <v>261</v>
      </c>
      <c r="C27" s="98">
        <v>12337454.66</v>
      </c>
      <c r="D27" s="98">
        <v>9655421.8800000008</v>
      </c>
      <c r="E27" s="98">
        <v>8873978.3200000003</v>
      </c>
      <c r="F27" s="1">
        <v>8486819.5700000003</v>
      </c>
      <c r="G27" s="1">
        <v>8655238.8200000003</v>
      </c>
      <c r="H27" s="1">
        <v>8042632.29</v>
      </c>
      <c r="I27" s="1">
        <v>7078025.7300000004</v>
      </c>
      <c r="J27" s="1">
        <v>7179285.9299999997</v>
      </c>
      <c r="K27" s="1">
        <v>7202412.3700000001</v>
      </c>
      <c r="L27" s="1">
        <v>7212793.8700000001</v>
      </c>
      <c r="M27" s="1">
        <v>7828977.8300000001</v>
      </c>
      <c r="N27" s="1">
        <f t="shared" si="0"/>
        <v>616183.96</v>
      </c>
    </row>
    <row r="28" spans="1:14" x14ac:dyDescent="0.3">
      <c r="A28" s="10" t="s">
        <v>259</v>
      </c>
      <c r="B28" s="39" t="s">
        <v>262</v>
      </c>
      <c r="C28" s="100">
        <f>SUM(C2:C9)-SUM(C11:C20)+C22-C23+C24+C25-C26-C27</f>
        <v>24784071.769999925</v>
      </c>
      <c r="D28" s="100">
        <f>SUM(D2:D9)-SUM(D11:D20)+D22-D23+D24+D25-D26-D27</f>
        <v>2636248.859999923</v>
      </c>
      <c r="E28" s="100">
        <f>SUM(E2:E9)-SUM(E11:E20)+E22-E23+E24+E25-E26-E27</f>
        <v>33846245.910000034</v>
      </c>
      <c r="F28" s="40">
        <f>F10-F21+F22-F23+F24+F25-F26-F27</f>
        <v>30930292.319999926</v>
      </c>
      <c r="G28" s="40">
        <f t="shared" ref="G28:H28" si="7">G10-G21+G22-G23+G24+G25-G26-G27</f>
        <v>46553658.970000006</v>
      </c>
      <c r="H28" s="40">
        <f t="shared" si="7"/>
        <v>53196713.619999968</v>
      </c>
      <c r="I28" s="40">
        <f t="shared" ref="I28:M28" si="8">I10-I21+I22-I23+I24+I25-I26-I27</f>
        <v>86922679.060000032</v>
      </c>
      <c r="J28" s="40">
        <f t="shared" ref="J28:L28" si="9">J10-J21+J22-J23+J24+J25-J26-J27</f>
        <v>79487531.889999956</v>
      </c>
      <c r="K28" s="40">
        <f t="shared" si="9"/>
        <v>14000332.619999956</v>
      </c>
      <c r="L28" s="40">
        <f t="shared" si="9"/>
        <v>25411835.40000011</v>
      </c>
      <c r="M28" s="40">
        <f t="shared" si="8"/>
        <v>44986440.20000001</v>
      </c>
      <c r="N28" s="40">
        <f t="shared" si="0"/>
        <v>19574604.7999999</v>
      </c>
    </row>
    <row r="29" spans="1:14" x14ac:dyDescent="0.3">
      <c r="A29" s="75" t="s">
        <v>386</v>
      </c>
      <c r="B29" s="137"/>
      <c r="C29" s="138">
        <f>C10-SUM(C11:C15)+C17</f>
        <v>103532117.08999997</v>
      </c>
      <c r="D29" s="138">
        <f t="shared" ref="D29:M29" si="10">D10-SUM(D11:D15)+D17</f>
        <v>90340119.110000014</v>
      </c>
      <c r="E29" s="138">
        <f t="shared" si="10"/>
        <v>82127170.769999996</v>
      </c>
      <c r="F29" s="138">
        <f t="shared" si="10"/>
        <v>81853009.109999955</v>
      </c>
      <c r="G29" s="138">
        <f t="shared" si="10"/>
        <v>90878655.530000076</v>
      </c>
      <c r="H29" s="138">
        <f t="shared" si="10"/>
        <v>112030375.89000003</v>
      </c>
      <c r="I29" s="138">
        <f t="shared" si="10"/>
        <v>116169908.28</v>
      </c>
      <c r="J29" s="138">
        <f t="shared" si="10"/>
        <v>107669328.06000006</v>
      </c>
      <c r="K29" s="138">
        <f t="shared" si="10"/>
        <v>71693213.139999926</v>
      </c>
      <c r="L29" s="138">
        <f t="shared" ref="L29" si="11">L10-SUM(L11:L15)+L17</f>
        <v>63264061.799999975</v>
      </c>
      <c r="M29" s="138">
        <f t="shared" si="10"/>
        <v>110740308.65000005</v>
      </c>
      <c r="N29" s="138">
        <f t="shared" si="0"/>
        <v>47476246.850000076</v>
      </c>
    </row>
  </sheetData>
  <conditionalFormatting sqref="C28:I28 M28:N28">
    <cfRule type="cellIs" dxfId="122" priority="24" operator="greaterThan">
      <formula>0</formula>
    </cfRule>
  </conditionalFormatting>
  <conditionalFormatting sqref="N28">
    <cfRule type="cellIs" dxfId="121" priority="14" operator="greaterThan">
      <formula>0</formula>
    </cfRule>
  </conditionalFormatting>
  <conditionalFormatting sqref="J28">
    <cfRule type="cellIs" dxfId="120" priority="13" operator="greaterThan">
      <formula>0</formula>
    </cfRule>
  </conditionalFormatting>
  <conditionalFormatting sqref="K28">
    <cfRule type="cellIs" dxfId="119" priority="12" operator="greaterThan">
      <formula>0</formula>
    </cfRule>
  </conditionalFormatting>
  <conditionalFormatting sqref="C29:K29 M29">
    <cfRule type="cellIs" dxfId="118" priority="11" operator="greaterThan">
      <formula>0</formula>
    </cfRule>
  </conditionalFormatting>
  <conditionalFormatting sqref="C29:K29 M29">
    <cfRule type="cellIs" dxfId="117" priority="10" operator="greaterThan">
      <formula>0</formula>
    </cfRule>
  </conditionalFormatting>
  <conditionalFormatting sqref="C29:K29 M29">
    <cfRule type="cellIs" dxfId="116" priority="9" operator="greaterThan">
      <formula>0</formula>
    </cfRule>
  </conditionalFormatting>
  <conditionalFormatting sqref="C29:K29 M29">
    <cfRule type="cellIs" dxfId="115" priority="8" operator="greaterThan">
      <formula>0</formula>
    </cfRule>
  </conditionalFormatting>
  <conditionalFormatting sqref="N29">
    <cfRule type="cellIs" dxfId="114" priority="7" operator="greaterThan">
      <formula>0</formula>
    </cfRule>
  </conditionalFormatting>
  <conditionalFormatting sqref="N29">
    <cfRule type="cellIs" dxfId="113" priority="6" operator="greaterThan">
      <formula>0</formula>
    </cfRule>
  </conditionalFormatting>
  <conditionalFormatting sqref="L28">
    <cfRule type="cellIs" dxfId="112" priority="5" operator="greaterThan">
      <formula>0</formula>
    </cfRule>
  </conditionalFormatting>
  <conditionalFormatting sqref="L29">
    <cfRule type="cellIs" dxfId="111" priority="4" operator="greaterThan">
      <formula>0</formula>
    </cfRule>
  </conditionalFormatting>
  <conditionalFormatting sqref="L29">
    <cfRule type="cellIs" dxfId="110" priority="3" operator="greaterThan">
      <formula>0</formula>
    </cfRule>
  </conditionalFormatting>
  <conditionalFormatting sqref="L29">
    <cfRule type="cellIs" dxfId="109" priority="2" operator="greaterThan">
      <formula>0</formula>
    </cfRule>
  </conditionalFormatting>
  <conditionalFormatting sqref="L29">
    <cfRule type="cellIs" dxfId="10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workbookViewId="0">
      <pane xSplit="1" topLeftCell="D1" activePane="topRight" state="frozen"/>
      <selection pane="topRight" activeCell="M5" sqref="M5"/>
    </sheetView>
  </sheetViews>
  <sheetFormatPr defaultRowHeight="14.4" x14ac:dyDescent="0.3"/>
  <cols>
    <col min="1" max="1" width="33.6640625" customWidth="1"/>
    <col min="2" max="12" width="11.5546875" bestFit="1" customWidth="1"/>
    <col min="13" max="13" width="11.33203125" bestFit="1" customWidth="1"/>
  </cols>
  <sheetData>
    <row r="1" spans="1:13" x14ac:dyDescent="0.3">
      <c r="A1" s="44"/>
      <c r="B1" s="45">
        <v>2013</v>
      </c>
      <c r="C1" s="45">
        <v>2014</v>
      </c>
      <c r="D1" s="45">
        <v>2015</v>
      </c>
      <c r="E1" s="45">
        <v>2016</v>
      </c>
      <c r="F1" s="45">
        <v>2017</v>
      </c>
      <c r="G1" s="45">
        <v>2018</v>
      </c>
      <c r="H1" s="45">
        <v>2019</v>
      </c>
      <c r="I1" s="45">
        <v>2020</v>
      </c>
      <c r="J1" s="45">
        <v>2021</v>
      </c>
      <c r="K1" s="45">
        <v>2022</v>
      </c>
      <c r="L1" s="45">
        <v>2023</v>
      </c>
      <c r="M1" s="45" t="s">
        <v>266</v>
      </c>
    </row>
    <row r="2" spans="1:13" x14ac:dyDescent="0.3">
      <c r="A2" s="74" t="s">
        <v>346</v>
      </c>
      <c r="B2" s="67">
        <f>Conto_economico!C10</f>
        <v>529786442.65999997</v>
      </c>
      <c r="C2" s="67">
        <f>Conto_economico!D10</f>
        <v>520180388.33000004</v>
      </c>
      <c r="D2" s="67">
        <f>Conto_economico!E10</f>
        <v>514363645.62</v>
      </c>
      <c r="E2" s="67">
        <f>Conto_economico!F10</f>
        <v>529797950.02999997</v>
      </c>
      <c r="F2" s="67">
        <f>Conto_economico!G10</f>
        <v>557351798.88000011</v>
      </c>
      <c r="G2" s="67">
        <f>Conto_economico!H10</f>
        <v>597690739.34000003</v>
      </c>
      <c r="H2" s="67">
        <f>Conto_economico!I10</f>
        <v>615684929.23000002</v>
      </c>
      <c r="I2" s="67">
        <f>Conto_economico!J10</f>
        <v>620507949.19000006</v>
      </c>
      <c r="J2" s="67">
        <f>Conto_economico!K10</f>
        <v>620478063.7299999</v>
      </c>
      <c r="K2" s="67">
        <f>Conto_economico!L10</f>
        <v>663066278.49000001</v>
      </c>
      <c r="L2" s="67">
        <f>Conto_economico!M10</f>
        <v>722952397.20000005</v>
      </c>
      <c r="M2" s="67">
        <f t="shared" ref="M2:M16" si="0">L2-K2</f>
        <v>59886118.710000038</v>
      </c>
    </row>
    <row r="3" spans="1:13" x14ac:dyDescent="0.3">
      <c r="A3" s="74" t="s">
        <v>341</v>
      </c>
      <c r="B3" s="67">
        <f>Conto_economico!C2</f>
        <v>293411728.62</v>
      </c>
      <c r="C3" s="67">
        <f>Conto_economico!D2</f>
        <v>326913315.11000001</v>
      </c>
      <c r="D3" s="67">
        <f>Conto_economico!E2</f>
        <v>352068536.60000002</v>
      </c>
      <c r="E3" s="67">
        <f>Conto_economico!F2</f>
        <v>317496784.74000001</v>
      </c>
      <c r="F3" s="67">
        <f>Conto_economico!G2</f>
        <v>324292468.97000003</v>
      </c>
      <c r="G3" s="67">
        <f>Conto_economico!H2</f>
        <v>345799374.12</v>
      </c>
      <c r="H3" s="67">
        <f>Conto_economico!I2</f>
        <v>342142933</v>
      </c>
      <c r="I3" s="67">
        <f>Conto_economico!J2</f>
        <v>313218869.17000002</v>
      </c>
      <c r="J3" s="67">
        <f>Conto_economico!K2</f>
        <v>321927889.25999999</v>
      </c>
      <c r="K3" s="67">
        <f>Conto_economico!L2</f>
        <v>333987673.77999997</v>
      </c>
      <c r="L3" s="67">
        <f>Conto_economico!M2</f>
        <v>348760980.63999999</v>
      </c>
      <c r="M3" s="67">
        <f t="shared" si="0"/>
        <v>14773306.860000014</v>
      </c>
    </row>
    <row r="4" spans="1:13" x14ac:dyDescent="0.3">
      <c r="A4" s="74" t="s">
        <v>342</v>
      </c>
      <c r="B4" s="67">
        <f>Conto_economico!C4</f>
        <v>83032172.569999993</v>
      </c>
      <c r="C4" s="67">
        <f>Conto_economico!D4</f>
        <v>42947278.880000003</v>
      </c>
      <c r="D4" s="67">
        <f>Conto_economico!E4</f>
        <v>28505140.760000002</v>
      </c>
      <c r="E4" s="67">
        <f>Conto_economico!F4</f>
        <v>48202796.109999999</v>
      </c>
      <c r="F4" s="67">
        <f>Conto_economico!G4</f>
        <v>46192609.130000003</v>
      </c>
      <c r="G4" s="67">
        <f>Conto_economico!H4</f>
        <v>58212614.119999997</v>
      </c>
      <c r="H4" s="67">
        <f>Conto_economico!I4</f>
        <v>65484476.170000002</v>
      </c>
      <c r="I4" s="67">
        <f>Conto_economico!J4</f>
        <v>145533426.62</v>
      </c>
      <c r="J4" s="67">
        <f>Conto_economico!K4</f>
        <v>123302577.67</v>
      </c>
      <c r="K4" s="67">
        <f>Conto_economico!L4</f>
        <v>136011298.93000001</v>
      </c>
      <c r="L4" s="67">
        <f>Conto_economico!M4</f>
        <v>175912803.56999999</v>
      </c>
      <c r="M4" s="67">
        <f t="shared" si="0"/>
        <v>39901504.639999986</v>
      </c>
    </row>
    <row r="5" spans="1:13" x14ac:dyDescent="0.3">
      <c r="A5" s="74" t="s">
        <v>347</v>
      </c>
      <c r="B5" s="68">
        <f>Conto_economico!C21</f>
        <v>539118726.96000004</v>
      </c>
      <c r="C5" s="68">
        <f>Conto_economico!D21</f>
        <v>553407655.75000012</v>
      </c>
      <c r="D5" s="68">
        <f>Conto_economico!E21</f>
        <v>511373975.52999997</v>
      </c>
      <c r="E5" s="68">
        <f>Conto_economico!F21</f>
        <v>510384863.89000005</v>
      </c>
      <c r="F5" s="68">
        <f>Conto_economico!G21</f>
        <v>543025360.2700001</v>
      </c>
      <c r="G5" s="68">
        <f>Conto_economico!H21</f>
        <v>569065741.81000006</v>
      </c>
      <c r="H5" s="68">
        <f>Conto_economico!I21</f>
        <v>563800565.38999999</v>
      </c>
      <c r="I5" s="68">
        <f>Conto_economico!J21</f>
        <v>577668509.7700001</v>
      </c>
      <c r="J5" s="68">
        <f>Conto_economico!K21</f>
        <v>615329914.55999994</v>
      </c>
      <c r="K5" s="68">
        <f>Conto_economico!L21</f>
        <v>689535252.8599999</v>
      </c>
      <c r="L5" s="68">
        <f>Conto_economico!M21</f>
        <v>715480287.46000004</v>
      </c>
      <c r="M5" s="67">
        <f t="shared" si="0"/>
        <v>25945034.600000143</v>
      </c>
    </row>
    <row r="6" spans="1:13" x14ac:dyDescent="0.3">
      <c r="A6" s="74" t="s">
        <v>343</v>
      </c>
      <c r="B6" s="67">
        <f>Conto_economico!C12</f>
        <v>208201591.80000001</v>
      </c>
      <c r="C6" s="67">
        <f>Conto_economico!D12</f>
        <v>229739278.36000001</v>
      </c>
      <c r="D6" s="67">
        <f>Conto_economico!E12</f>
        <v>231048358.97</v>
      </c>
      <c r="E6" s="67">
        <f>Conto_economico!F12</f>
        <v>237421978.38</v>
      </c>
      <c r="F6" s="67">
        <f>Conto_economico!G12</f>
        <v>247052612.40000001</v>
      </c>
      <c r="G6" s="67">
        <f>Conto_economico!H12</f>
        <v>261385208.71000001</v>
      </c>
      <c r="H6" s="67">
        <f>Conto_economico!I12</f>
        <v>268120632.41</v>
      </c>
      <c r="I6" s="67">
        <f>Conto_economico!J12</f>
        <v>267175005.63999999</v>
      </c>
      <c r="J6" s="67">
        <f>Conto_economico!K12</f>
        <v>299283031.64999998</v>
      </c>
      <c r="K6" s="67">
        <f>Conto_economico!L12</f>
        <v>341950772.82999998</v>
      </c>
      <c r="L6" s="67">
        <f>Conto_economico!M12</f>
        <v>351285111.17000002</v>
      </c>
      <c r="M6" s="67">
        <f t="shared" si="0"/>
        <v>9334338.3400000334</v>
      </c>
    </row>
    <row r="7" spans="1:13" x14ac:dyDescent="0.3">
      <c r="A7" s="74" t="s">
        <v>344</v>
      </c>
      <c r="B7" s="67">
        <f>Conto_economico!C15</f>
        <v>160637244.69999999</v>
      </c>
      <c r="C7" s="67">
        <f>Conto_economico!D15</f>
        <v>162931378.40000001</v>
      </c>
      <c r="D7" s="67">
        <f>Conto_economico!E15</f>
        <v>162696141.72999999</v>
      </c>
      <c r="E7" s="67">
        <f>Conto_economico!F15</f>
        <v>161757765.81</v>
      </c>
      <c r="F7" s="67">
        <f>Conto_economico!G15</f>
        <v>161246604.83000001</v>
      </c>
      <c r="G7" s="67">
        <f>Conto_economico!H15</f>
        <v>162336557.38999999</v>
      </c>
      <c r="H7" s="67">
        <f>Conto_economico!I15</f>
        <v>164878364.43000001</v>
      </c>
      <c r="I7" s="67">
        <f>Conto_economico!J15</f>
        <v>162091314.81</v>
      </c>
      <c r="J7" s="67">
        <f>Conto_economico!K15</f>
        <v>167019684.31999999</v>
      </c>
      <c r="K7" s="67">
        <f>Conto_economico!L15</f>
        <v>167354607.91</v>
      </c>
      <c r="L7" s="67">
        <f>Conto_economico!M15</f>
        <v>176054578.71000001</v>
      </c>
      <c r="M7" s="67">
        <f t="shared" si="0"/>
        <v>8699970.8000000119</v>
      </c>
    </row>
    <row r="8" spans="1:13" x14ac:dyDescent="0.3">
      <c r="A8" s="74" t="s">
        <v>345</v>
      </c>
      <c r="B8" s="67">
        <f>Conto_economico!C16</f>
        <v>73367116.280000001</v>
      </c>
      <c r="C8" s="67">
        <f>Conto_economico!D16</f>
        <v>104952713.51000001</v>
      </c>
      <c r="D8" s="67">
        <f>Conto_economico!E16</f>
        <v>68716281.769999996</v>
      </c>
      <c r="E8" s="67">
        <f>Conto_economico!F16</f>
        <v>53892718.789999999</v>
      </c>
      <c r="F8" s="67">
        <f>Conto_economico!G16</f>
        <v>53052469.969999999</v>
      </c>
      <c r="G8" s="67">
        <f>Conto_economico!H16</f>
        <v>74793977.030000001</v>
      </c>
      <c r="H8" s="67">
        <f>Conto_economico!I16</f>
        <v>56160963.240000002</v>
      </c>
      <c r="I8" s="67">
        <f>Conto_economico!J16</f>
        <v>53509350.630000003</v>
      </c>
      <c r="J8" s="67">
        <f>Conto_economico!K16</f>
        <v>54906487.420000002</v>
      </c>
      <c r="K8" s="67">
        <f>Conto_economico!L16</f>
        <v>81147255.430000007</v>
      </c>
      <c r="L8" s="67">
        <f>Conto_economico!M16</f>
        <v>84614230.859999999</v>
      </c>
      <c r="M8" s="67">
        <f t="shared" si="0"/>
        <v>3466975.4299999923</v>
      </c>
    </row>
    <row r="9" spans="1:13" x14ac:dyDescent="0.3">
      <c r="A9" s="50" t="s">
        <v>386</v>
      </c>
      <c r="B9" s="69">
        <f>Conto_economico!C29</f>
        <v>103532117.08999997</v>
      </c>
      <c r="C9" s="69">
        <f>Conto_economico!D29</f>
        <v>90340119.110000014</v>
      </c>
      <c r="D9" s="69">
        <f>Conto_economico!E29</f>
        <v>82127170.769999996</v>
      </c>
      <c r="E9" s="69">
        <f>Conto_economico!F29</f>
        <v>81853009.109999955</v>
      </c>
      <c r="F9" s="69">
        <f>Conto_economico!G29</f>
        <v>90878655.530000076</v>
      </c>
      <c r="G9" s="69">
        <f>Conto_economico!H29</f>
        <v>112030375.89000003</v>
      </c>
      <c r="H9" s="69">
        <f>Conto_economico!I29</f>
        <v>116169908.28</v>
      </c>
      <c r="I9" s="69">
        <f>Conto_economico!J29</f>
        <v>107669328.06000006</v>
      </c>
      <c r="J9" s="69">
        <f>Conto_economico!K29</f>
        <v>71693213.139999926</v>
      </c>
      <c r="K9" s="69">
        <f>Conto_economico!L29</f>
        <v>63264061.799999975</v>
      </c>
      <c r="L9" s="69">
        <f>Conto_economico!M29</f>
        <v>110740308.65000005</v>
      </c>
      <c r="M9" s="69">
        <f t="shared" si="0"/>
        <v>47476246.850000076</v>
      </c>
    </row>
    <row r="10" spans="1:13" x14ac:dyDescent="0.3">
      <c r="A10" s="50" t="s">
        <v>307</v>
      </c>
      <c r="B10" s="69">
        <f>B2-B5</f>
        <v>-9332284.3000000715</v>
      </c>
      <c r="C10" s="69">
        <f>C2-C5</f>
        <v>-33227267.420000076</v>
      </c>
      <c r="D10" s="69">
        <f>D2-D5</f>
        <v>2989670.0900000334</v>
      </c>
      <c r="E10" s="69">
        <f t="shared" ref="E10:G10" si="1">E2-E5</f>
        <v>19413086.139999926</v>
      </c>
      <c r="F10" s="69">
        <f t="shared" si="1"/>
        <v>14326438.610000014</v>
      </c>
      <c r="G10" s="69">
        <f t="shared" si="1"/>
        <v>28624997.529999971</v>
      </c>
      <c r="H10" s="69">
        <f t="shared" ref="H10:L10" si="2">H2-H5</f>
        <v>51884363.840000033</v>
      </c>
      <c r="I10" s="69">
        <f t="shared" ref="I10:K10" si="3">I2-I5</f>
        <v>42839439.419999957</v>
      </c>
      <c r="J10" s="69">
        <f t="shared" si="3"/>
        <v>5148149.1699999571</v>
      </c>
      <c r="K10" s="69">
        <f t="shared" si="3"/>
        <v>-26468974.369999886</v>
      </c>
      <c r="L10" s="69">
        <f t="shared" si="2"/>
        <v>7472109.7400000095</v>
      </c>
      <c r="M10" s="69">
        <f t="shared" si="0"/>
        <v>33941084.109999895</v>
      </c>
    </row>
    <row r="11" spans="1:13" x14ac:dyDescent="0.3">
      <c r="A11" s="74" t="s">
        <v>308</v>
      </c>
      <c r="B11" s="67">
        <f>Conto_economico!C22-Conto_economico!C23</f>
        <v>10346526.98</v>
      </c>
      <c r="C11" s="67">
        <f>Conto_economico!D22-Conto_economico!D23</f>
        <v>9024892.2199999988</v>
      </c>
      <c r="D11" s="67">
        <f>Conto_economico!E22-Conto_economico!E23</f>
        <v>9249663.5199999996</v>
      </c>
      <c r="E11" s="67">
        <f>Conto_economico!F22-Conto_economico!F23</f>
        <v>10409107.800000001</v>
      </c>
      <c r="F11" s="67">
        <f>Conto_economico!G22-Conto_economico!G23</f>
        <v>13127219.470000001</v>
      </c>
      <c r="G11" s="67">
        <f>Conto_economico!H22-Conto_economico!H23</f>
        <v>14000268.549999999</v>
      </c>
      <c r="H11" s="67">
        <f>Conto_economico!I22-Conto_economico!I23</f>
        <v>15954994.590000002</v>
      </c>
      <c r="I11" s="67">
        <f>Conto_economico!J22-Conto_economico!J23</f>
        <v>12904560.41</v>
      </c>
      <c r="J11" s="67">
        <f>Conto_economico!K22-Conto_economico!K23</f>
        <v>13405354.970000001</v>
      </c>
      <c r="K11" s="67">
        <f>Conto_economico!L22-Conto_economico!L23</f>
        <v>16235971.089999998</v>
      </c>
      <c r="L11" s="67">
        <f>Conto_economico!M22-Conto_economico!M23</f>
        <v>17150740.82</v>
      </c>
      <c r="M11" s="67">
        <f t="shared" si="0"/>
        <v>914769.73000000231</v>
      </c>
    </row>
    <row r="12" spans="1:13" x14ac:dyDescent="0.3">
      <c r="A12" s="74" t="s">
        <v>309</v>
      </c>
      <c r="B12" s="68">
        <f>Conto_economico!C25-Conto_economico!C26</f>
        <v>36107283.75</v>
      </c>
      <c r="C12" s="68">
        <f>Conto_economico!D25-Conto_economico!D26</f>
        <v>36494045.939999998</v>
      </c>
      <c r="D12" s="68">
        <f>Conto_economico!E25-Conto_economico!E26</f>
        <v>30529858.5</v>
      </c>
      <c r="E12" s="68">
        <f>Conto_economico!F25-Conto_economico!F26</f>
        <v>9594917.9499999993</v>
      </c>
      <c r="F12" s="68">
        <f>Conto_economico!G25-Conto_economico!G26</f>
        <v>27755239.710000001</v>
      </c>
      <c r="G12" s="68">
        <f>Conto_economico!H25-Conto_economico!H26</f>
        <v>18620649.68</v>
      </c>
      <c r="H12" s="68">
        <f>Conto_economico!I25-Conto_economico!I26</f>
        <v>26161346.360000003</v>
      </c>
      <c r="I12" s="68">
        <f>Conto_economico!J25-Conto_economico!J26</f>
        <v>30931377.169999998</v>
      </c>
      <c r="J12" s="68">
        <f>Conto_economico!K25-Conto_economico!K26</f>
        <v>17180512.449999999</v>
      </c>
      <c r="K12" s="68">
        <f>Conto_economico!L25-Conto_economico!L26</f>
        <v>42857632.549999997</v>
      </c>
      <c r="L12" s="68">
        <f>Conto_economico!M25-Conto_economico!M26</f>
        <v>28196459.629999995</v>
      </c>
      <c r="M12" s="67">
        <f t="shared" si="0"/>
        <v>-14661172.920000002</v>
      </c>
    </row>
    <row r="13" spans="1:13" x14ac:dyDescent="0.3">
      <c r="A13" s="74" t="s">
        <v>255</v>
      </c>
      <c r="B13" s="68">
        <f>Conto_economico!C24</f>
        <v>0</v>
      </c>
      <c r="C13" s="68">
        <f>Conto_economico!D24</f>
        <v>0</v>
      </c>
      <c r="D13" s="68">
        <f>Conto_economico!E24</f>
        <v>-48967.88</v>
      </c>
      <c r="E13" s="68">
        <f>Conto_economico!F24</f>
        <v>0</v>
      </c>
      <c r="F13" s="68">
        <f>Conto_economico!G24</f>
        <v>0</v>
      </c>
      <c r="G13" s="68">
        <f>Conto_economico!H24</f>
        <v>-6569.85</v>
      </c>
      <c r="H13" s="68">
        <f>Conto_economico!I24</f>
        <v>0</v>
      </c>
      <c r="I13" s="68">
        <f>Conto_economico!J24</f>
        <v>-8559.18</v>
      </c>
      <c r="J13" s="68">
        <f>Conto_economico!K24</f>
        <v>-14531271.6</v>
      </c>
      <c r="K13" s="68">
        <f>Conto_economico!L24</f>
        <v>0</v>
      </c>
      <c r="L13" s="68">
        <f>Conto_economico!M24</f>
        <v>-3892.16</v>
      </c>
      <c r="M13" s="67">
        <f t="shared" si="0"/>
        <v>-3892.16</v>
      </c>
    </row>
    <row r="14" spans="1:13" x14ac:dyDescent="0.3">
      <c r="A14" s="50" t="s">
        <v>310</v>
      </c>
      <c r="B14" s="69">
        <f>SUM(B10:B13)</f>
        <v>37121526.429999933</v>
      </c>
      <c r="C14" s="69">
        <f>SUM(C10:C13)</f>
        <v>12291670.73999992</v>
      </c>
      <c r="D14" s="69">
        <f>SUM(D10:D13)</f>
        <v>42720224.230000027</v>
      </c>
      <c r="E14" s="69">
        <f t="shared" ref="E14:G14" si="4">SUM(E10:E13)</f>
        <v>39417111.889999926</v>
      </c>
      <c r="F14" s="69">
        <f t="shared" si="4"/>
        <v>55208897.790000014</v>
      </c>
      <c r="G14" s="69">
        <f t="shared" si="4"/>
        <v>61239345.909999967</v>
      </c>
      <c r="H14" s="69">
        <f t="shared" ref="H14:L14" si="5">SUM(H10:H13)</f>
        <v>94000704.790000036</v>
      </c>
      <c r="I14" s="69">
        <f t="shared" ref="I14:K14" si="6">SUM(I10:I13)</f>
        <v>86666817.819999948</v>
      </c>
      <c r="J14" s="69">
        <f t="shared" si="6"/>
        <v>21202744.989999957</v>
      </c>
      <c r="K14" s="69">
        <f t="shared" si="6"/>
        <v>32624629.270000108</v>
      </c>
      <c r="L14" s="69">
        <f t="shared" si="5"/>
        <v>52815418.030000009</v>
      </c>
      <c r="M14" s="69">
        <f t="shared" si="0"/>
        <v>20190788.759999901</v>
      </c>
    </row>
    <row r="15" spans="1:13" x14ac:dyDescent="0.3">
      <c r="A15" s="74" t="s">
        <v>258</v>
      </c>
      <c r="B15" s="67">
        <f>Conto_economico!C27</f>
        <v>12337454.66</v>
      </c>
      <c r="C15" s="67">
        <f>Conto_economico!D27</f>
        <v>9655421.8800000008</v>
      </c>
      <c r="D15" s="67">
        <f>Conto_economico!E27</f>
        <v>8873978.3200000003</v>
      </c>
      <c r="E15" s="67">
        <f>Conto_economico!F27</f>
        <v>8486819.5700000003</v>
      </c>
      <c r="F15" s="67">
        <f>Conto_economico!G27</f>
        <v>8655238.8200000003</v>
      </c>
      <c r="G15" s="67">
        <f>Conto_economico!H27</f>
        <v>8042632.29</v>
      </c>
      <c r="H15" s="67">
        <f>Conto_economico!I27</f>
        <v>7078025.7300000004</v>
      </c>
      <c r="I15" s="67">
        <f>Conto_economico!J27</f>
        <v>7179285.9299999997</v>
      </c>
      <c r="J15" s="67">
        <f>Conto_economico!K27</f>
        <v>7202412.3700000001</v>
      </c>
      <c r="K15" s="67">
        <f>Conto_economico!L27</f>
        <v>7212793.8700000001</v>
      </c>
      <c r="L15" s="67">
        <f>Conto_economico!M27</f>
        <v>7828977.8300000001</v>
      </c>
      <c r="M15" s="67">
        <f t="shared" si="0"/>
        <v>616183.96</v>
      </c>
    </row>
    <row r="16" spans="1:13" x14ac:dyDescent="0.3">
      <c r="A16" s="73" t="s">
        <v>259</v>
      </c>
      <c r="B16" s="70">
        <f>B14-B15</f>
        <v>24784071.769999932</v>
      </c>
      <c r="C16" s="70">
        <f>C14-C15</f>
        <v>2636248.8599999193</v>
      </c>
      <c r="D16" s="70">
        <f>D14-D15</f>
        <v>33846245.910000026</v>
      </c>
      <c r="E16" s="70">
        <f t="shared" ref="E16:G16" si="7">E14-E15</f>
        <v>30930292.319999926</v>
      </c>
      <c r="F16" s="70">
        <f t="shared" si="7"/>
        <v>46553658.970000014</v>
      </c>
      <c r="G16" s="70">
        <f t="shared" si="7"/>
        <v>53196713.619999968</v>
      </c>
      <c r="H16" s="70">
        <f t="shared" ref="H16:L16" si="8">H14-H15</f>
        <v>86922679.060000032</v>
      </c>
      <c r="I16" s="70">
        <f t="shared" ref="I16:K16" si="9">I14-I15</f>
        <v>79487531.889999956</v>
      </c>
      <c r="J16" s="70">
        <f t="shared" si="9"/>
        <v>14000332.619999956</v>
      </c>
      <c r="K16" s="70">
        <f t="shared" si="9"/>
        <v>25411835.400000107</v>
      </c>
      <c r="L16" s="70">
        <f t="shared" si="8"/>
        <v>44986440.20000001</v>
      </c>
      <c r="M16" s="70">
        <f t="shared" si="0"/>
        <v>19574604.799999904</v>
      </c>
    </row>
    <row r="18" spans="1:4" x14ac:dyDescent="0.3">
      <c r="B18" s="101"/>
      <c r="C18" s="101"/>
      <c r="D18" s="101"/>
    </row>
    <row r="19" spans="1:4" x14ac:dyDescent="0.3">
      <c r="A19" s="34"/>
      <c r="B19" s="107"/>
      <c r="C19" s="107"/>
      <c r="D19" s="107"/>
    </row>
    <row r="20" spans="1:4" x14ac:dyDescent="0.3">
      <c r="B20" s="101"/>
      <c r="C20" s="101"/>
      <c r="D20" s="101"/>
    </row>
  </sheetData>
  <conditionalFormatting sqref="D16:H16 L16:M16">
    <cfRule type="cellIs" dxfId="107" priority="31" operator="greaterThan">
      <formula>0</formula>
    </cfRule>
  </conditionalFormatting>
  <conditionalFormatting sqref="D10:H10 L10:M10">
    <cfRule type="cellIs" dxfId="106" priority="30" operator="lessThan">
      <formula>0</formula>
    </cfRule>
  </conditionalFormatting>
  <conditionalFormatting sqref="D14:H14 L14:M14">
    <cfRule type="cellIs" dxfId="105" priority="29" operator="lessThan">
      <formula>0</formula>
    </cfRule>
  </conditionalFormatting>
  <conditionalFormatting sqref="C16">
    <cfRule type="cellIs" dxfId="104" priority="25" operator="greaterThan">
      <formula>0</formula>
    </cfRule>
  </conditionalFormatting>
  <conditionalFormatting sqref="C10">
    <cfRule type="cellIs" dxfId="103" priority="24" operator="lessThan">
      <formula>0</formula>
    </cfRule>
  </conditionalFormatting>
  <conditionalFormatting sqref="C14">
    <cfRule type="cellIs" dxfId="102" priority="23" operator="lessThan">
      <formula>0</formula>
    </cfRule>
  </conditionalFormatting>
  <conditionalFormatting sqref="B16">
    <cfRule type="cellIs" dxfId="101" priority="22" operator="greaterThan">
      <formula>0</formula>
    </cfRule>
  </conditionalFormatting>
  <conditionalFormatting sqref="B10">
    <cfRule type="cellIs" dxfId="100" priority="21" operator="lessThan">
      <formula>0</formula>
    </cfRule>
  </conditionalFormatting>
  <conditionalFormatting sqref="B14">
    <cfRule type="cellIs" dxfId="99" priority="20" operator="lessThan">
      <formula>0</formula>
    </cfRule>
  </conditionalFormatting>
  <conditionalFormatting sqref="M16">
    <cfRule type="cellIs" dxfId="98" priority="19" operator="greaterThan">
      <formula>0</formula>
    </cfRule>
  </conditionalFormatting>
  <conditionalFormatting sqref="M10">
    <cfRule type="cellIs" dxfId="97" priority="18" operator="lessThan">
      <formula>0</formula>
    </cfRule>
  </conditionalFormatting>
  <conditionalFormatting sqref="M14">
    <cfRule type="cellIs" dxfId="96" priority="17" operator="lessThan">
      <formula>0</formula>
    </cfRule>
  </conditionalFormatting>
  <conditionalFormatting sqref="I16">
    <cfRule type="cellIs" dxfId="95" priority="16" operator="greaterThan">
      <formula>0</formula>
    </cfRule>
  </conditionalFormatting>
  <conditionalFormatting sqref="I10">
    <cfRule type="cellIs" dxfId="94" priority="15" operator="lessThan">
      <formula>0</formula>
    </cfRule>
  </conditionalFormatting>
  <conditionalFormatting sqref="I14">
    <cfRule type="cellIs" dxfId="93" priority="14" operator="lessThan">
      <formula>0</formula>
    </cfRule>
  </conditionalFormatting>
  <conditionalFormatting sqref="J16">
    <cfRule type="cellIs" dxfId="92" priority="13" operator="greaterThan">
      <formula>0</formula>
    </cfRule>
  </conditionalFormatting>
  <conditionalFormatting sqref="J10">
    <cfRule type="cellIs" dxfId="91" priority="12" operator="lessThan">
      <formula>0</formula>
    </cfRule>
  </conditionalFormatting>
  <conditionalFormatting sqref="J14">
    <cfRule type="cellIs" dxfId="90" priority="11" operator="lessThan">
      <formula>0</formula>
    </cfRule>
  </conditionalFormatting>
  <conditionalFormatting sqref="M9">
    <cfRule type="cellIs" dxfId="89" priority="10" operator="lessThan">
      <formula>0</formula>
    </cfRule>
  </conditionalFormatting>
  <conditionalFormatting sqref="B9:J9 L9">
    <cfRule type="cellIs" dxfId="88" priority="8" operator="lessThan">
      <formula>0</formula>
    </cfRule>
  </conditionalFormatting>
  <conditionalFormatting sqref="M9">
    <cfRule type="cellIs" dxfId="87" priority="7" operator="lessThan">
      <formula>0</formula>
    </cfRule>
  </conditionalFormatting>
  <conditionalFormatting sqref="K16">
    <cfRule type="cellIs" dxfId="86" priority="4" operator="greaterThan">
      <formula>0</formula>
    </cfRule>
  </conditionalFormatting>
  <conditionalFormatting sqref="K10">
    <cfRule type="cellIs" dxfId="85" priority="3" operator="lessThan">
      <formula>0</formula>
    </cfRule>
  </conditionalFormatting>
  <conditionalFormatting sqref="K14">
    <cfRule type="cellIs" dxfId="84" priority="2" operator="lessThan">
      <formula>0</formula>
    </cfRule>
  </conditionalFormatting>
  <conditionalFormatting sqref="K9">
    <cfRule type="cellIs" dxfId="8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Entrate_Uscite</vt:lpstr>
      <vt:lpstr>Tav_Entrate</vt:lpstr>
      <vt:lpstr>Tav_Uscite</vt:lpstr>
      <vt:lpstr>Tav_Saldi</vt:lpstr>
      <vt:lpstr>Missione12_Programmi</vt:lpstr>
      <vt:lpstr>Missione12_Macroaggregati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2024-12-27T11:56:54Z</dcterms:modified>
</cp:coreProperties>
</file>