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\rendiconti\Comuni\"/>
    </mc:Choice>
  </mc:AlternateContent>
  <bookViews>
    <workbookView xWindow="240" yWindow="48" windowWidth="20112" windowHeight="7992" firstSheet="7" activeTab="10"/>
  </bookViews>
  <sheets>
    <sheet name="Entrate_Uscite" sheetId="2" r:id="rId1"/>
    <sheet name="Tav_Entrate" sheetId="7" r:id="rId2"/>
    <sheet name="Tav_Uscite" sheetId="8" r:id="rId3"/>
    <sheet name="Tav_Saldi" sheetId="9" r:id="rId4"/>
    <sheet name="Mission12_Programmi" sheetId="14" r:id="rId5"/>
    <sheet name="Missione12_Macroaggregati" sheetId="15" r:id="rId6"/>
    <sheet name="Risultato_amministrazione" sheetId="1" r:id="rId7"/>
    <sheet name="Conto_economico" sheetId="6" r:id="rId8"/>
    <sheet name="Tav_contoeconomico" sheetId="10" r:id="rId9"/>
    <sheet name="Stato_patrimoniale" sheetId="5" r:id="rId10"/>
    <sheet name="Piano_indicatori" sheetId="4" r:id="rId11"/>
    <sheet name="Tav_indicatori" sheetId="12" r:id="rId12"/>
    <sheet name="Popolazione" sheetId="13" r:id="rId13"/>
  </sheets>
  <calcPr calcId="152511"/>
</workbook>
</file>

<file path=xl/calcChain.xml><?xml version="1.0" encoding="utf-8"?>
<calcChain xmlns="http://schemas.openxmlformats.org/spreadsheetml/2006/main">
  <c r="I28" i="5" l="1"/>
  <c r="C9" i="10" l="1"/>
  <c r="D9" i="10"/>
  <c r="E9" i="10"/>
  <c r="F9" i="10"/>
  <c r="G9" i="10"/>
  <c r="H9" i="10"/>
  <c r="I9" i="10"/>
  <c r="B9" i="10"/>
  <c r="K29" i="6"/>
  <c r="E5" i="14"/>
  <c r="H17" i="15" l="1"/>
  <c r="I17" i="15" s="1"/>
  <c r="G17" i="15"/>
  <c r="F17" i="15"/>
  <c r="E17" i="15"/>
  <c r="D17" i="15"/>
  <c r="C17" i="15"/>
  <c r="B17" i="15"/>
  <c r="H16" i="15"/>
  <c r="I16" i="15" s="1"/>
  <c r="G16" i="15"/>
  <c r="G18" i="15" s="1"/>
  <c r="F16" i="15"/>
  <c r="F18" i="15" s="1"/>
  <c r="E16" i="15"/>
  <c r="E18" i="15" s="1"/>
  <c r="D16" i="15"/>
  <c r="D18" i="15" s="1"/>
  <c r="C16" i="15"/>
  <c r="C18" i="15" s="1"/>
  <c r="B16" i="15"/>
  <c r="B18" i="15" s="1"/>
  <c r="H15" i="15"/>
  <c r="I12" i="15" s="1"/>
  <c r="G15" i="15"/>
  <c r="F15" i="15"/>
  <c r="E15" i="15"/>
  <c r="D15" i="15"/>
  <c r="C15" i="15"/>
  <c r="B15" i="15"/>
  <c r="H101" i="14"/>
  <c r="G101" i="14"/>
  <c r="F101" i="14"/>
  <c r="E101" i="14"/>
  <c r="D101" i="14"/>
  <c r="C101" i="14"/>
  <c r="B101" i="14"/>
  <c r="H100" i="14"/>
  <c r="G100" i="14"/>
  <c r="F100" i="14"/>
  <c r="E100" i="14"/>
  <c r="D100" i="14"/>
  <c r="C100" i="14"/>
  <c r="B100" i="14"/>
  <c r="H97" i="14"/>
  <c r="G97" i="14"/>
  <c r="F97" i="14"/>
  <c r="E97" i="14"/>
  <c r="D97" i="14"/>
  <c r="C97" i="14"/>
  <c r="B97" i="14"/>
  <c r="H99" i="14"/>
  <c r="G99" i="14"/>
  <c r="F99" i="14"/>
  <c r="E99" i="14"/>
  <c r="D99" i="14"/>
  <c r="C99" i="14"/>
  <c r="B99" i="14"/>
  <c r="H98" i="14"/>
  <c r="G98" i="14"/>
  <c r="F98" i="14"/>
  <c r="E98" i="14"/>
  <c r="D98" i="14"/>
  <c r="C98" i="14"/>
  <c r="B98" i="14"/>
  <c r="H96" i="14"/>
  <c r="G96" i="14"/>
  <c r="F96" i="14"/>
  <c r="E96" i="14"/>
  <c r="D96" i="14"/>
  <c r="C96" i="14"/>
  <c r="B96" i="14"/>
  <c r="H95" i="14"/>
  <c r="G95" i="14"/>
  <c r="F95" i="14"/>
  <c r="E95" i="14"/>
  <c r="D95" i="14"/>
  <c r="C95" i="14"/>
  <c r="B95" i="14"/>
  <c r="H94" i="14"/>
  <c r="G94" i="14"/>
  <c r="F94" i="14"/>
  <c r="E94" i="14"/>
  <c r="D94" i="14"/>
  <c r="C94" i="14"/>
  <c r="B94" i="14"/>
  <c r="H93" i="14"/>
  <c r="G93" i="14"/>
  <c r="F93" i="14"/>
  <c r="E93" i="14"/>
  <c r="D93" i="14"/>
  <c r="C93" i="14"/>
  <c r="B93" i="14"/>
  <c r="C89" i="14"/>
  <c r="B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F77" i="14"/>
  <c r="C76" i="14"/>
  <c r="B76" i="14"/>
  <c r="F75" i="14" s="1"/>
  <c r="E75" i="14"/>
  <c r="D75" i="14"/>
  <c r="F74" i="14"/>
  <c r="E74" i="14"/>
  <c r="D74" i="14"/>
  <c r="F73" i="14"/>
  <c r="E73" i="14"/>
  <c r="D73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4" i="14"/>
  <c r="F63" i="14"/>
  <c r="E63" i="14"/>
  <c r="C63" i="14"/>
  <c r="B63" i="14"/>
  <c r="F62" i="14" s="1"/>
  <c r="E62" i="14"/>
  <c r="D62" i="14"/>
  <c r="E61" i="14"/>
  <c r="D61" i="14"/>
  <c r="F60" i="14"/>
  <c r="E60" i="14"/>
  <c r="D60" i="14"/>
  <c r="E59" i="14"/>
  <c r="D59" i="14"/>
  <c r="F58" i="14"/>
  <c r="E58" i="14"/>
  <c r="D58" i="14"/>
  <c r="F57" i="14"/>
  <c r="E57" i="14"/>
  <c r="D57" i="14"/>
  <c r="E56" i="14"/>
  <c r="D56" i="14"/>
  <c r="F55" i="14"/>
  <c r="E55" i="14"/>
  <c r="D55" i="14"/>
  <c r="F54" i="14"/>
  <c r="E54" i="14"/>
  <c r="D54" i="14"/>
  <c r="C50" i="14"/>
  <c r="B50" i="14"/>
  <c r="F46" i="14" s="1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C37" i="14"/>
  <c r="B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C24" i="14"/>
  <c r="B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C11" i="14"/>
  <c r="B11" i="14"/>
  <c r="F36" i="14" s="1"/>
  <c r="F10" i="14"/>
  <c r="E10" i="14"/>
  <c r="D10" i="14"/>
  <c r="E9" i="14"/>
  <c r="D9" i="14"/>
  <c r="E8" i="14"/>
  <c r="D8" i="14"/>
  <c r="E7" i="14"/>
  <c r="D7" i="14"/>
  <c r="E6" i="14"/>
  <c r="D6" i="14"/>
  <c r="D5" i="14"/>
  <c r="E4" i="14"/>
  <c r="D4" i="14"/>
  <c r="E3" i="14"/>
  <c r="D3" i="14"/>
  <c r="E2" i="14"/>
  <c r="D2" i="14"/>
  <c r="F20" i="14" l="1"/>
  <c r="F50" i="14"/>
  <c r="F61" i="14"/>
  <c r="F51" i="14"/>
  <c r="F44" i="14"/>
  <c r="F56" i="14"/>
  <c r="F41" i="14"/>
  <c r="F48" i="14"/>
  <c r="F35" i="14"/>
  <c r="E89" i="14"/>
  <c r="F7" i="14"/>
  <c r="F45" i="14"/>
  <c r="F59" i="14"/>
  <c r="F72" i="14"/>
  <c r="F5" i="14"/>
  <c r="E37" i="14"/>
  <c r="F2" i="14"/>
  <c r="F43" i="14"/>
  <c r="F49" i="14"/>
  <c r="D63" i="14"/>
  <c r="E76" i="14"/>
  <c r="F24" i="14"/>
  <c r="F30" i="14"/>
  <c r="F37" i="14"/>
  <c r="H102" i="14"/>
  <c r="F17" i="14"/>
  <c r="F25" i="14"/>
  <c r="F38" i="14"/>
  <c r="B102" i="14"/>
  <c r="C102" i="14"/>
  <c r="E50" i="14"/>
  <c r="F76" i="14"/>
  <c r="F102" i="14"/>
  <c r="G102" i="14"/>
  <c r="D102" i="14"/>
  <c r="E102" i="14"/>
  <c r="H18" i="15"/>
  <c r="I6" i="15"/>
  <c r="I14" i="15"/>
  <c r="I15" i="15"/>
  <c r="I7" i="15"/>
  <c r="I8" i="15"/>
  <c r="I13" i="15"/>
  <c r="I9" i="15"/>
  <c r="I5" i="15"/>
  <c r="I2" i="15"/>
  <c r="I10" i="15"/>
  <c r="I3" i="15"/>
  <c r="I11" i="15"/>
  <c r="I4" i="15"/>
  <c r="F83" i="14"/>
  <c r="D76" i="14"/>
  <c r="F15" i="14"/>
  <c r="D11" i="14"/>
  <c r="F31" i="14"/>
  <c r="F87" i="14"/>
  <c r="F6" i="14"/>
  <c r="E11" i="14"/>
  <c r="D24" i="14"/>
  <c r="F90" i="14"/>
  <c r="F9" i="14"/>
  <c r="F11" i="14"/>
  <c r="F19" i="14"/>
  <c r="E24" i="14"/>
  <c r="F29" i="14"/>
  <c r="D37" i="14"/>
  <c r="F47" i="14"/>
  <c r="F85" i="14"/>
  <c r="F23" i="14"/>
  <c r="F33" i="14"/>
  <c r="F81" i="14"/>
  <c r="F3" i="14"/>
  <c r="F21" i="14"/>
  <c r="F89" i="14"/>
  <c r="F16" i="14"/>
  <c r="F34" i="14"/>
  <c r="F82" i="14"/>
  <c r="F4" i="14"/>
  <c r="F12" i="14"/>
  <c r="F22" i="14"/>
  <c r="F32" i="14"/>
  <c r="F42" i="14"/>
  <c r="D50" i="14"/>
  <c r="F80" i="14"/>
  <c r="F88" i="14"/>
  <c r="F86" i="14"/>
  <c r="D89" i="14"/>
  <c r="F8" i="14"/>
  <c r="F18" i="14"/>
  <c r="F28" i="14"/>
  <c r="F84" i="14"/>
  <c r="I5" i="7" l="1"/>
  <c r="G3" i="13" l="1"/>
  <c r="J9" i="12" l="1"/>
  <c r="J8" i="12"/>
  <c r="J7" i="12"/>
  <c r="J6" i="12"/>
  <c r="J5" i="12"/>
  <c r="J4" i="12"/>
  <c r="J3" i="12"/>
  <c r="J2" i="12"/>
  <c r="I6" i="9"/>
  <c r="I5" i="9"/>
  <c r="I4" i="9"/>
  <c r="I3" i="9"/>
  <c r="I2" i="9"/>
  <c r="G6" i="9"/>
  <c r="G5" i="9"/>
  <c r="G4" i="9"/>
  <c r="G3" i="9"/>
  <c r="G2" i="9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G29" i="8"/>
  <c r="G28" i="8"/>
  <c r="G26" i="8"/>
  <c r="G25" i="8"/>
  <c r="G24" i="8"/>
  <c r="G23" i="8"/>
  <c r="G22" i="8"/>
  <c r="G27" i="8" s="1"/>
  <c r="G19" i="8"/>
  <c r="G18" i="8"/>
  <c r="G17" i="8"/>
  <c r="G16" i="8"/>
  <c r="G14" i="8"/>
  <c r="G13" i="8"/>
  <c r="G12" i="8"/>
  <c r="G11" i="8"/>
  <c r="G15" i="8" s="1"/>
  <c r="G9" i="8"/>
  <c r="G8" i="8"/>
  <c r="G7" i="8"/>
  <c r="G6" i="8"/>
  <c r="G5" i="8"/>
  <c r="G4" i="8"/>
  <c r="G3" i="8"/>
  <c r="G2" i="8"/>
  <c r="G10" i="8" s="1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G19" i="7"/>
  <c r="G18" i="7"/>
  <c r="G17" i="7"/>
  <c r="G14" i="7"/>
  <c r="G13" i="7"/>
  <c r="G15" i="7" s="1"/>
  <c r="G12" i="7"/>
  <c r="G10" i="7"/>
  <c r="G9" i="7"/>
  <c r="G8" i="7"/>
  <c r="G7" i="7"/>
  <c r="G6" i="7"/>
  <c r="G4" i="7"/>
  <c r="G3" i="7"/>
  <c r="G2" i="7"/>
  <c r="T53" i="2"/>
  <c r="U52" i="2"/>
  <c r="T52" i="2"/>
  <c r="W52" i="2" s="1"/>
  <c r="T51" i="2"/>
  <c r="U50" i="2"/>
  <c r="T50" i="2"/>
  <c r="U49" i="2"/>
  <c r="T49" i="2"/>
  <c r="U48" i="2"/>
  <c r="T48" i="2"/>
  <c r="T54" i="2" s="1"/>
  <c r="U16" i="2"/>
  <c r="X16" i="2" s="1"/>
  <c r="T16" i="2"/>
  <c r="U15" i="2"/>
  <c r="U57" i="2" s="1"/>
  <c r="X57" i="2" s="1"/>
  <c r="T15" i="2"/>
  <c r="T20" i="2" s="1"/>
  <c r="T21" i="2" s="1"/>
  <c r="U14" i="2"/>
  <c r="U20" i="2" s="1"/>
  <c r="U21" i="2" s="1"/>
  <c r="T14" i="2"/>
  <c r="T56" i="2" s="1"/>
  <c r="W56" i="2" s="1"/>
  <c r="T57" i="2"/>
  <c r="W57" i="2" s="1"/>
  <c r="V28" i="2"/>
  <c r="W28" i="2"/>
  <c r="X28" i="2"/>
  <c r="X53" i="2"/>
  <c r="W53" i="2"/>
  <c r="X52" i="2"/>
  <c r="X51" i="2"/>
  <c r="W51" i="2"/>
  <c r="X50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5" i="2"/>
  <c r="W25" i="2"/>
  <c r="X24" i="2"/>
  <c r="W24" i="2"/>
  <c r="X23" i="2"/>
  <c r="W23" i="2"/>
  <c r="X19" i="2"/>
  <c r="W19" i="2"/>
  <c r="X18" i="2"/>
  <c r="W18" i="2"/>
  <c r="X17" i="2"/>
  <c r="W17" i="2"/>
  <c r="W16" i="2"/>
  <c r="X15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G20" i="8" l="1"/>
  <c r="G30" i="8"/>
  <c r="G31" i="8" s="1"/>
  <c r="G21" i="8"/>
  <c r="G5" i="7"/>
  <c r="G11" i="7"/>
  <c r="G20" i="7" s="1"/>
  <c r="G21" i="7" s="1"/>
  <c r="G16" i="7"/>
  <c r="X14" i="2"/>
  <c r="U56" i="2"/>
  <c r="X56" i="2" s="1"/>
  <c r="W15" i="2"/>
  <c r="U58" i="2"/>
  <c r="X58" i="2" s="1"/>
  <c r="W21" i="2"/>
  <c r="T55" i="2"/>
  <c r="W55" i="2" s="1"/>
  <c r="W54" i="2"/>
  <c r="W20" i="2"/>
  <c r="X49" i="2"/>
  <c r="U54" i="2"/>
  <c r="W50" i="2"/>
  <c r="T58" i="2"/>
  <c r="W58" i="2" s="1"/>
  <c r="W27" i="2"/>
  <c r="W26" i="2"/>
  <c r="X27" i="2"/>
  <c r="X26" i="2"/>
  <c r="X54" i="2" l="1"/>
  <c r="U55" i="2"/>
  <c r="X55" i="2" s="1"/>
  <c r="X20" i="2"/>
  <c r="T59" i="2"/>
  <c r="X21" i="2" l="1"/>
  <c r="U59" i="2"/>
  <c r="R57" i="2" l="1"/>
  <c r="R54" i="2"/>
  <c r="R55" i="2" s="1"/>
  <c r="Q53" i="2"/>
  <c r="S53" i="2" s="1"/>
  <c r="S52" i="2"/>
  <c r="R51" i="2"/>
  <c r="Q51" i="2"/>
  <c r="S51" i="2" s="1"/>
  <c r="R50" i="2"/>
  <c r="S50" i="2" s="1"/>
  <c r="Q50" i="2"/>
  <c r="R49" i="2"/>
  <c r="S49" i="2" s="1"/>
  <c r="Q49" i="2"/>
  <c r="R48" i="2"/>
  <c r="R61" i="2" s="1"/>
  <c r="Q48" i="2"/>
  <c r="Q54" i="2" s="1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19" i="2"/>
  <c r="S18" i="2"/>
  <c r="S17" i="2"/>
  <c r="R16" i="2"/>
  <c r="S16" i="2" s="1"/>
  <c r="Q16" i="2"/>
  <c r="R15" i="2"/>
  <c r="R62" i="2" s="1"/>
  <c r="Q15" i="2"/>
  <c r="Q63" i="2" s="1"/>
  <c r="S14" i="2"/>
  <c r="R14" i="2"/>
  <c r="R56" i="2" s="1"/>
  <c r="Q14" i="2"/>
  <c r="Q56" i="2" s="1"/>
  <c r="S13" i="2"/>
  <c r="S12" i="2"/>
  <c r="S11" i="2"/>
  <c r="S10" i="2"/>
  <c r="S9" i="2"/>
  <c r="S8" i="2"/>
  <c r="S7" i="2"/>
  <c r="S6" i="2"/>
  <c r="S5" i="2"/>
  <c r="S4" i="2"/>
  <c r="S3" i="2"/>
  <c r="H27" i="5"/>
  <c r="H26" i="5"/>
  <c r="H13" i="5"/>
  <c r="H15" i="10"/>
  <c r="H13" i="10"/>
  <c r="H12" i="10"/>
  <c r="H11" i="10"/>
  <c r="H8" i="10"/>
  <c r="H7" i="10"/>
  <c r="H6" i="10"/>
  <c r="H4" i="10"/>
  <c r="H3" i="10"/>
  <c r="K27" i="6"/>
  <c r="K26" i="6"/>
  <c r="K25" i="6"/>
  <c r="K24" i="6"/>
  <c r="K23" i="6"/>
  <c r="K22" i="6"/>
  <c r="K20" i="6"/>
  <c r="K19" i="6"/>
  <c r="K18" i="6"/>
  <c r="K17" i="6"/>
  <c r="K16" i="6"/>
  <c r="K15" i="6"/>
  <c r="K14" i="6"/>
  <c r="K13" i="6"/>
  <c r="K12" i="6"/>
  <c r="K11" i="6"/>
  <c r="K9" i="6"/>
  <c r="K8" i="6"/>
  <c r="K7" i="6"/>
  <c r="K6" i="6"/>
  <c r="K5" i="6"/>
  <c r="K4" i="6"/>
  <c r="K3" i="6"/>
  <c r="K2" i="6"/>
  <c r="I28" i="6"/>
  <c r="I21" i="6"/>
  <c r="H5" i="10" s="1"/>
  <c r="I10" i="6"/>
  <c r="I29" i="6" s="1"/>
  <c r="H23" i="1"/>
  <c r="H19" i="1"/>
  <c r="H13" i="1"/>
  <c r="H7" i="1"/>
  <c r="H21" i="1" s="1"/>
  <c r="H2" i="10" l="1"/>
  <c r="H10" i="10" s="1"/>
  <c r="H14" i="10" s="1"/>
  <c r="H16" i="10" s="1"/>
  <c r="S54" i="2"/>
  <c r="Q55" i="2"/>
  <c r="S55" i="2" s="1"/>
  <c r="Q20" i="2"/>
  <c r="S15" i="2"/>
  <c r="R20" i="2"/>
  <c r="R21" i="2" s="1"/>
  <c r="R59" i="2" s="1"/>
  <c r="S48" i="2"/>
  <c r="R58" i="2"/>
  <c r="R63" i="2"/>
  <c r="R60" i="2"/>
  <c r="Q58" i="2"/>
  <c r="Q57" i="2"/>
  <c r="Q62" i="2"/>
  <c r="G10" i="13"/>
  <c r="G9" i="13"/>
  <c r="G8" i="13"/>
  <c r="G7" i="13"/>
  <c r="G6" i="13"/>
  <c r="G5" i="13"/>
  <c r="G4" i="13"/>
  <c r="Q21" i="2" l="1"/>
  <c r="S20" i="2"/>
  <c r="B27" i="5"/>
  <c r="C27" i="5"/>
  <c r="D27" i="5"/>
  <c r="E27" i="5"/>
  <c r="F27" i="5"/>
  <c r="G27" i="5"/>
  <c r="I27" i="5"/>
  <c r="S21" i="2" l="1"/>
  <c r="Q59" i="2"/>
  <c r="B2" i="9"/>
  <c r="C2" i="9"/>
  <c r="D2" i="9"/>
  <c r="E2" i="9"/>
  <c r="F2" i="9"/>
  <c r="H2" i="9"/>
  <c r="J2" i="9"/>
  <c r="B3" i="9"/>
  <c r="C3" i="9"/>
  <c r="D3" i="9"/>
  <c r="E3" i="9"/>
  <c r="F3" i="9"/>
  <c r="H3" i="9"/>
  <c r="J3" i="9"/>
  <c r="B4" i="9"/>
  <c r="C4" i="9"/>
  <c r="D4" i="9"/>
  <c r="E4" i="9"/>
  <c r="H4" i="9"/>
  <c r="J4" i="9"/>
  <c r="B5" i="9"/>
  <c r="C5" i="9"/>
  <c r="D5" i="9"/>
  <c r="E5" i="9"/>
  <c r="H5" i="9"/>
  <c r="J5" i="9"/>
  <c r="B6" i="9"/>
  <c r="C6" i="9"/>
  <c r="D6" i="9"/>
  <c r="E6" i="9"/>
  <c r="H6" i="9"/>
  <c r="J6" i="9"/>
  <c r="I9" i="12" l="1"/>
  <c r="I8" i="12"/>
  <c r="I7" i="12"/>
  <c r="I6" i="12"/>
  <c r="I5" i="12"/>
  <c r="I4" i="12"/>
  <c r="I3" i="12"/>
  <c r="I2" i="12"/>
  <c r="F29" i="8"/>
  <c r="F28" i="8"/>
  <c r="F26" i="8"/>
  <c r="F25" i="8"/>
  <c r="F24" i="8"/>
  <c r="F23" i="8"/>
  <c r="F22" i="8"/>
  <c r="F19" i="8"/>
  <c r="F18" i="8"/>
  <c r="F17" i="8"/>
  <c r="F16" i="8"/>
  <c r="F14" i="8"/>
  <c r="F13" i="8"/>
  <c r="F12" i="8"/>
  <c r="F11" i="8"/>
  <c r="F9" i="8"/>
  <c r="F8" i="8"/>
  <c r="F7" i="8"/>
  <c r="F6" i="8"/>
  <c r="F5" i="8"/>
  <c r="F4" i="8"/>
  <c r="F3" i="8"/>
  <c r="F2" i="8"/>
  <c r="F19" i="7"/>
  <c r="F18" i="7"/>
  <c r="F17" i="7"/>
  <c r="F14" i="7"/>
  <c r="F13" i="7"/>
  <c r="F12" i="7"/>
  <c r="F10" i="7"/>
  <c r="F9" i="7"/>
  <c r="F8" i="7"/>
  <c r="F7" i="7"/>
  <c r="F6" i="7"/>
  <c r="F4" i="7"/>
  <c r="F3" i="7"/>
  <c r="F2" i="7"/>
  <c r="F15" i="8" l="1"/>
  <c r="F20" i="8"/>
  <c r="F15" i="7"/>
  <c r="F10" i="8"/>
  <c r="F27" i="8"/>
  <c r="F5" i="7"/>
  <c r="F11" i="7"/>
  <c r="F16" i="7" s="1"/>
  <c r="F20" i="7" l="1"/>
  <c r="F21" i="7"/>
  <c r="F30" i="8"/>
  <c r="F21" i="8"/>
  <c r="F31" i="8" l="1"/>
  <c r="N53" i="2"/>
  <c r="P53" i="2" s="1"/>
  <c r="O52" i="2"/>
  <c r="P52" i="2" s="1"/>
  <c r="N52" i="2"/>
  <c r="O51" i="2"/>
  <c r="N51" i="2"/>
  <c r="P51" i="2" s="1"/>
  <c r="O50" i="2"/>
  <c r="N50" i="2"/>
  <c r="P50" i="2" s="1"/>
  <c r="P49" i="2"/>
  <c r="O49" i="2"/>
  <c r="N49" i="2"/>
  <c r="O48" i="2"/>
  <c r="O54" i="2" s="1"/>
  <c r="O55" i="2" s="1"/>
  <c r="N48" i="2"/>
  <c r="P48" i="2" s="1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19" i="2"/>
  <c r="P18" i="2"/>
  <c r="P17" i="2"/>
  <c r="P16" i="2"/>
  <c r="O16" i="2"/>
  <c r="N16" i="2"/>
  <c r="O15" i="2"/>
  <c r="O57" i="2" s="1"/>
  <c r="N15" i="2"/>
  <c r="P15" i="2" s="1"/>
  <c r="O14" i="2"/>
  <c r="N14" i="2"/>
  <c r="P13" i="2"/>
  <c r="P12" i="2"/>
  <c r="P11" i="2"/>
  <c r="P10" i="2"/>
  <c r="P9" i="2"/>
  <c r="P8" i="2"/>
  <c r="P7" i="2"/>
  <c r="P6" i="2"/>
  <c r="P5" i="2"/>
  <c r="P4" i="2"/>
  <c r="P3" i="2"/>
  <c r="G26" i="5"/>
  <c r="G13" i="5"/>
  <c r="G15" i="10"/>
  <c r="G13" i="10"/>
  <c r="G12" i="10"/>
  <c r="G11" i="10"/>
  <c r="G8" i="10"/>
  <c r="G7" i="10"/>
  <c r="G6" i="10"/>
  <c r="G5" i="10"/>
  <c r="G4" i="10"/>
  <c r="G3" i="10"/>
  <c r="G2" i="10"/>
  <c r="G10" i="10" s="1"/>
  <c r="G14" i="10" s="1"/>
  <c r="G16" i="10" s="1"/>
  <c r="H28" i="6"/>
  <c r="H21" i="6"/>
  <c r="H10" i="6"/>
  <c r="H29" i="6" s="1"/>
  <c r="G23" i="1"/>
  <c r="G19" i="1"/>
  <c r="G13" i="1"/>
  <c r="G7" i="1"/>
  <c r="G21" i="1" s="1"/>
  <c r="N62" i="2" l="1"/>
  <c r="F4" i="9"/>
  <c r="O62" i="2"/>
  <c r="N63" i="2"/>
  <c r="O63" i="2"/>
  <c r="P14" i="2"/>
  <c r="N56" i="2"/>
  <c r="O60" i="2"/>
  <c r="O56" i="2"/>
  <c r="O61" i="2"/>
  <c r="N20" i="2"/>
  <c r="N54" i="2"/>
  <c r="N57" i="2"/>
  <c r="O20" i="2"/>
  <c r="N58" i="2"/>
  <c r="F5" i="9" s="1"/>
  <c r="O58" i="2"/>
  <c r="H9" i="12"/>
  <c r="H8" i="12"/>
  <c r="H7" i="12"/>
  <c r="H6" i="12"/>
  <c r="H5" i="12"/>
  <c r="H4" i="12"/>
  <c r="H3" i="12"/>
  <c r="H2" i="12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9" i="8"/>
  <c r="E8" i="8"/>
  <c r="E7" i="8"/>
  <c r="E6" i="8"/>
  <c r="E5" i="8"/>
  <c r="E4" i="8"/>
  <c r="E3" i="8"/>
  <c r="E2" i="8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O21" i="2" l="1"/>
  <c r="O59" i="2" s="1"/>
  <c r="E5" i="7"/>
  <c r="N21" i="2"/>
  <c r="P20" i="2"/>
  <c r="N55" i="2"/>
  <c r="P55" i="2" s="1"/>
  <c r="P54" i="2"/>
  <c r="E15" i="7"/>
  <c r="E27" i="8"/>
  <c r="E10" i="8"/>
  <c r="E15" i="8"/>
  <c r="E20" i="8"/>
  <c r="E11" i="7"/>
  <c r="E16" i="7" l="1"/>
  <c r="E20" i="7"/>
  <c r="P21" i="2"/>
  <c r="N59" i="2"/>
  <c r="F6" i="9" s="1"/>
  <c r="E21" i="7"/>
  <c r="E21" i="8"/>
  <c r="L56" i="2"/>
  <c r="K53" i="2"/>
  <c r="L52" i="2"/>
  <c r="K52" i="2"/>
  <c r="K51" i="2"/>
  <c r="L50" i="2"/>
  <c r="K50" i="2"/>
  <c r="L49" i="2"/>
  <c r="K49" i="2"/>
  <c r="M48" i="2"/>
  <c r="L48" i="2"/>
  <c r="K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19" i="2"/>
  <c r="M18" i="2"/>
  <c r="M17" i="2"/>
  <c r="L16" i="2"/>
  <c r="K16" i="2"/>
  <c r="L15" i="2"/>
  <c r="K15" i="2"/>
  <c r="M14" i="2"/>
  <c r="L14" i="2"/>
  <c r="K14" i="2"/>
  <c r="M13" i="2"/>
  <c r="M12" i="2"/>
  <c r="M11" i="2"/>
  <c r="M10" i="2"/>
  <c r="M9" i="2"/>
  <c r="M8" i="2"/>
  <c r="M7" i="2"/>
  <c r="M6" i="2"/>
  <c r="M5" i="2"/>
  <c r="M4" i="2"/>
  <c r="M3" i="2"/>
  <c r="I26" i="5"/>
  <c r="I13" i="5"/>
  <c r="I15" i="10"/>
  <c r="J15" i="10" s="1"/>
  <c r="I13" i="10"/>
  <c r="J13" i="10" s="1"/>
  <c r="I12" i="10"/>
  <c r="J12" i="10" s="1"/>
  <c r="I11" i="10"/>
  <c r="J11" i="10" s="1"/>
  <c r="I8" i="10"/>
  <c r="J8" i="10" s="1"/>
  <c r="I7" i="10"/>
  <c r="J7" i="10" s="1"/>
  <c r="I6" i="10"/>
  <c r="J6" i="10" s="1"/>
  <c r="I4" i="10"/>
  <c r="I3" i="10"/>
  <c r="J3" i="10" s="1"/>
  <c r="J28" i="6"/>
  <c r="K28" i="6" s="1"/>
  <c r="J21" i="6"/>
  <c r="K21" i="6" s="1"/>
  <c r="J10" i="6"/>
  <c r="I23" i="1"/>
  <c r="I19" i="1"/>
  <c r="I13" i="1"/>
  <c r="I7" i="1"/>
  <c r="K9" i="12"/>
  <c r="K8" i="12"/>
  <c r="K7" i="12"/>
  <c r="K6" i="12"/>
  <c r="K5" i="12"/>
  <c r="K4" i="12"/>
  <c r="K3" i="12"/>
  <c r="K2" i="12"/>
  <c r="J4" i="10" l="1"/>
  <c r="J9" i="10"/>
  <c r="K10" i="6"/>
  <c r="J29" i="6"/>
  <c r="I5" i="10"/>
  <c r="J5" i="10" s="1"/>
  <c r="I2" i="10"/>
  <c r="J2" i="10" s="1"/>
  <c r="M16" i="2"/>
  <c r="K62" i="2"/>
  <c r="K57" i="2"/>
  <c r="L62" i="2"/>
  <c r="M49" i="2"/>
  <c r="E29" i="8"/>
  <c r="T63" i="2"/>
  <c r="T62" i="2"/>
  <c r="K20" i="2"/>
  <c r="K63" i="2"/>
  <c r="L57" i="2"/>
  <c r="K54" i="2"/>
  <c r="M51" i="2"/>
  <c r="M53" i="2"/>
  <c r="U63" i="2"/>
  <c r="U62" i="2"/>
  <c r="L61" i="2"/>
  <c r="L60" i="2"/>
  <c r="L63" i="2"/>
  <c r="M15" i="2"/>
  <c r="L54" i="2"/>
  <c r="M50" i="2"/>
  <c r="M52" i="2"/>
  <c r="E28" i="8"/>
  <c r="K56" i="2"/>
  <c r="K21" i="2"/>
  <c r="K55" i="2"/>
  <c r="L58" i="2"/>
  <c r="L20" i="2"/>
  <c r="K58" i="2"/>
  <c r="I21" i="1"/>
  <c r="I10" i="10" l="1"/>
  <c r="J10" i="10" s="1"/>
  <c r="L55" i="2"/>
  <c r="M54" i="2"/>
  <c r="L21" i="2"/>
  <c r="E30" i="8"/>
  <c r="M20" i="2"/>
  <c r="K59" i="2"/>
  <c r="I14" i="10" l="1"/>
  <c r="J14" i="10" s="1"/>
  <c r="L59" i="2"/>
  <c r="M55" i="2"/>
  <c r="M21" i="2"/>
  <c r="E31" i="8"/>
  <c r="K29" i="8"/>
  <c r="K28" i="8"/>
  <c r="K26" i="8"/>
  <c r="K25" i="8"/>
  <c r="K24" i="8"/>
  <c r="K23" i="8"/>
  <c r="K22" i="8"/>
  <c r="K19" i="8"/>
  <c r="K18" i="8"/>
  <c r="K17" i="8"/>
  <c r="K16" i="8"/>
  <c r="K14" i="8"/>
  <c r="K13" i="8"/>
  <c r="K12" i="8"/>
  <c r="K11" i="8"/>
  <c r="K9" i="8"/>
  <c r="K8" i="8"/>
  <c r="K7" i="8"/>
  <c r="K6" i="8"/>
  <c r="K5" i="8"/>
  <c r="K4" i="8"/>
  <c r="K3" i="8"/>
  <c r="K2" i="8"/>
  <c r="H29" i="8"/>
  <c r="H28" i="8"/>
  <c r="H26" i="8"/>
  <c r="H25" i="8"/>
  <c r="L25" i="8" s="1"/>
  <c r="H24" i="8"/>
  <c r="H23" i="8"/>
  <c r="H22" i="8"/>
  <c r="H19" i="8"/>
  <c r="H18" i="8"/>
  <c r="H17" i="8"/>
  <c r="L17" i="8" s="1"/>
  <c r="H16" i="8"/>
  <c r="H14" i="8"/>
  <c r="H13" i="8"/>
  <c r="H12" i="8"/>
  <c r="H11" i="8"/>
  <c r="H9" i="8"/>
  <c r="H8" i="8"/>
  <c r="H7" i="8"/>
  <c r="H6" i="8"/>
  <c r="H5" i="8"/>
  <c r="H4" i="8"/>
  <c r="H3" i="8"/>
  <c r="H2" i="8"/>
  <c r="K19" i="7"/>
  <c r="K18" i="7"/>
  <c r="K17" i="7"/>
  <c r="K14" i="7"/>
  <c r="K13" i="7"/>
  <c r="K12" i="7"/>
  <c r="K10" i="7"/>
  <c r="K9" i="7"/>
  <c r="K8" i="7"/>
  <c r="K7" i="7"/>
  <c r="K6" i="7"/>
  <c r="K4" i="7"/>
  <c r="K3" i="7"/>
  <c r="K2" i="7"/>
  <c r="H19" i="7"/>
  <c r="H18" i="7"/>
  <c r="H17" i="7"/>
  <c r="H14" i="7"/>
  <c r="H13" i="7"/>
  <c r="H12" i="7"/>
  <c r="H10" i="7"/>
  <c r="H9" i="7"/>
  <c r="H8" i="7"/>
  <c r="L8" i="7" s="1"/>
  <c r="H7" i="7"/>
  <c r="H6" i="7"/>
  <c r="H4" i="7"/>
  <c r="H3" i="7"/>
  <c r="H2" i="7"/>
  <c r="U61" i="2"/>
  <c r="U60" i="2"/>
  <c r="V51" i="2"/>
  <c r="V16" i="2"/>
  <c r="V15" i="2"/>
  <c r="V14" i="2"/>
  <c r="V53" i="2"/>
  <c r="V52" i="2"/>
  <c r="V49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7" i="2"/>
  <c r="V26" i="2"/>
  <c r="V25" i="2"/>
  <c r="V24" i="2"/>
  <c r="V23" i="2"/>
  <c r="V19" i="2"/>
  <c r="V18" i="2"/>
  <c r="V17" i="2"/>
  <c r="V13" i="2"/>
  <c r="V12" i="2"/>
  <c r="V11" i="2"/>
  <c r="V10" i="2"/>
  <c r="V9" i="2"/>
  <c r="V8" i="2"/>
  <c r="V7" i="2"/>
  <c r="V6" i="2"/>
  <c r="V5" i="2"/>
  <c r="V4" i="2"/>
  <c r="V3" i="2"/>
  <c r="F26" i="5"/>
  <c r="F13" i="5"/>
  <c r="F15" i="10"/>
  <c r="F13" i="10"/>
  <c r="F12" i="10"/>
  <c r="F11" i="10"/>
  <c r="F8" i="10"/>
  <c r="F7" i="10"/>
  <c r="F6" i="10"/>
  <c r="F4" i="10"/>
  <c r="F3" i="10"/>
  <c r="G28" i="6"/>
  <c r="E28" i="6"/>
  <c r="F28" i="6"/>
  <c r="D28" i="6"/>
  <c r="D21" i="6"/>
  <c r="E21" i="6"/>
  <c r="F21" i="6"/>
  <c r="G21" i="6"/>
  <c r="C21" i="6"/>
  <c r="G10" i="6"/>
  <c r="G29" i="6" s="1"/>
  <c r="F23" i="1"/>
  <c r="E23" i="1"/>
  <c r="D23" i="1"/>
  <c r="C23" i="1"/>
  <c r="B23" i="1"/>
  <c r="F2" i="10" l="1"/>
  <c r="I16" i="10"/>
  <c r="J16" i="10" s="1"/>
  <c r="L13" i="7"/>
  <c r="L19" i="7"/>
  <c r="L12" i="8"/>
  <c r="L28" i="8"/>
  <c r="L4" i="8"/>
  <c r="L8" i="8"/>
  <c r="L13" i="8"/>
  <c r="L24" i="8"/>
  <c r="L29" i="8"/>
  <c r="L2" i="7"/>
  <c r="L18" i="7"/>
  <c r="L4" i="7"/>
  <c r="L11" i="8"/>
  <c r="L16" i="8"/>
  <c r="L6" i="7"/>
  <c r="L10" i="7"/>
  <c r="L17" i="7"/>
  <c r="L9" i="7"/>
  <c r="L14" i="7"/>
  <c r="L5" i="8"/>
  <c r="L9" i="8"/>
  <c r="L19" i="8"/>
  <c r="F5" i="10"/>
  <c r="L12" i="7"/>
  <c r="L3" i="7"/>
  <c r="L7" i="7"/>
  <c r="L3" i="8"/>
  <c r="L7" i="8"/>
  <c r="L23" i="8"/>
  <c r="L2" i="8"/>
  <c r="L6" i="8"/>
  <c r="L14" i="8"/>
  <c r="L18" i="8"/>
  <c r="L22" i="8"/>
  <c r="L26" i="8"/>
  <c r="H5" i="7"/>
  <c r="H10" i="8"/>
  <c r="H15" i="8"/>
  <c r="H20" i="8"/>
  <c r="H27" i="8"/>
  <c r="H15" i="7"/>
  <c r="H11" i="7"/>
  <c r="V50" i="2"/>
  <c r="V48" i="2"/>
  <c r="H21" i="8" l="1"/>
  <c r="H16" i="7"/>
  <c r="F10" i="10"/>
  <c r="H30" i="8"/>
  <c r="H20" i="7"/>
  <c r="V54" i="2"/>
  <c r="V20" i="2"/>
  <c r="V55" i="2" l="1"/>
  <c r="F14" i="10"/>
  <c r="H31" i="8"/>
  <c r="H21" i="7"/>
  <c r="V21" i="2"/>
  <c r="F16" i="10" l="1"/>
  <c r="I31" i="8"/>
  <c r="I25" i="8"/>
  <c r="I19" i="8"/>
  <c r="I11" i="8"/>
  <c r="I9" i="8"/>
  <c r="I5" i="8"/>
  <c r="I3" i="8"/>
  <c r="I22" i="8"/>
  <c r="I14" i="8"/>
  <c r="I4" i="8"/>
  <c r="I24" i="8"/>
  <c r="I6" i="8"/>
  <c r="I17" i="8"/>
  <c r="I16" i="8"/>
  <c r="I23" i="8"/>
  <c r="I2" i="8"/>
  <c r="I13" i="8"/>
  <c r="I12" i="8"/>
  <c r="I18" i="8"/>
  <c r="I7" i="8"/>
  <c r="I26" i="8"/>
  <c r="I8" i="8"/>
  <c r="I28" i="8"/>
  <c r="I27" i="8"/>
  <c r="I10" i="8"/>
  <c r="I20" i="8"/>
  <c r="I21" i="8"/>
  <c r="I15" i="8"/>
  <c r="I17" i="7"/>
  <c r="I13" i="7"/>
  <c r="I9" i="7"/>
  <c r="I21" i="7"/>
  <c r="I8" i="7"/>
  <c r="I4" i="7"/>
  <c r="I3" i="7"/>
  <c r="I10" i="7"/>
  <c r="I12" i="7"/>
  <c r="I6" i="7"/>
  <c r="I7" i="7"/>
  <c r="I2" i="7"/>
  <c r="I18" i="7"/>
  <c r="I14" i="7"/>
  <c r="I11" i="7"/>
  <c r="I15" i="7"/>
  <c r="I16" i="7"/>
  <c r="C7" i="1"/>
  <c r="D7" i="1"/>
  <c r="E7" i="1"/>
  <c r="F7" i="1"/>
  <c r="B7" i="1"/>
  <c r="C13" i="1"/>
  <c r="D13" i="1"/>
  <c r="E13" i="1"/>
  <c r="F13" i="1"/>
  <c r="B13" i="1"/>
  <c r="F19" i="1"/>
  <c r="C9" i="6"/>
  <c r="C10" i="6" s="1"/>
  <c r="C29" i="6" s="1"/>
  <c r="E10" i="6"/>
  <c r="E29" i="6" s="1"/>
  <c r="F10" i="6"/>
  <c r="F29" i="6" s="1"/>
  <c r="D10" i="6"/>
  <c r="D29" i="6" s="1"/>
  <c r="E26" i="5"/>
  <c r="D26" i="5"/>
  <c r="C26" i="5"/>
  <c r="B24" i="5"/>
  <c r="B23" i="5"/>
  <c r="B21" i="5"/>
  <c r="B20" i="5"/>
  <c r="E13" i="5"/>
  <c r="D13" i="5"/>
  <c r="C13" i="5"/>
  <c r="B13" i="5"/>
  <c r="B19" i="1"/>
  <c r="B21" i="1" s="1"/>
  <c r="C19" i="1"/>
  <c r="D19" i="1"/>
  <c r="E19" i="1"/>
  <c r="H53" i="2"/>
  <c r="I52" i="2"/>
  <c r="H52" i="2"/>
  <c r="I51" i="2"/>
  <c r="H51" i="2"/>
  <c r="I50" i="2"/>
  <c r="H50" i="2"/>
  <c r="I49" i="2"/>
  <c r="H49" i="2"/>
  <c r="I48" i="2"/>
  <c r="I61" i="2" s="1"/>
  <c r="H48" i="2"/>
  <c r="I16" i="2"/>
  <c r="H16" i="2"/>
  <c r="I15" i="2"/>
  <c r="I57" i="2" s="1"/>
  <c r="H15" i="2"/>
  <c r="I14" i="2"/>
  <c r="H14" i="2"/>
  <c r="E53" i="2"/>
  <c r="F52" i="2"/>
  <c r="E52" i="2"/>
  <c r="E51" i="2"/>
  <c r="F50" i="2"/>
  <c r="E50" i="2"/>
  <c r="F49" i="2"/>
  <c r="E49" i="2"/>
  <c r="F48" i="2"/>
  <c r="F61" i="2" s="1"/>
  <c r="E48" i="2"/>
  <c r="F16" i="2"/>
  <c r="E16" i="2"/>
  <c r="F15" i="2"/>
  <c r="F57" i="2" s="1"/>
  <c r="E15" i="2"/>
  <c r="F14" i="2"/>
  <c r="E14" i="2"/>
  <c r="B53" i="2"/>
  <c r="C52" i="2"/>
  <c r="B52" i="2"/>
  <c r="B51" i="2"/>
  <c r="C50" i="2"/>
  <c r="B50" i="2"/>
  <c r="C49" i="2"/>
  <c r="B49" i="2"/>
  <c r="C48" i="2"/>
  <c r="C61" i="2" s="1"/>
  <c r="B48" i="2"/>
  <c r="C16" i="2"/>
  <c r="B16" i="2"/>
  <c r="C15" i="2"/>
  <c r="C57" i="2" s="1"/>
  <c r="B15" i="2"/>
  <c r="C14" i="2"/>
  <c r="B14" i="2"/>
  <c r="B62" i="2" l="1"/>
  <c r="E20" i="2"/>
  <c r="E21" i="2" s="1"/>
  <c r="E63" i="2"/>
  <c r="E58" i="2"/>
  <c r="E56" i="2"/>
  <c r="H63" i="2"/>
  <c r="H58" i="2"/>
  <c r="H56" i="2"/>
  <c r="H62" i="2"/>
  <c r="B63" i="2"/>
  <c r="B56" i="2"/>
  <c r="B58" i="2"/>
  <c r="C62" i="2"/>
  <c r="F62" i="2"/>
  <c r="I63" i="2"/>
  <c r="I60" i="2"/>
  <c r="I58" i="2"/>
  <c r="I56" i="2"/>
  <c r="I62" i="2"/>
  <c r="E62" i="2"/>
  <c r="C63" i="2"/>
  <c r="C60" i="2"/>
  <c r="C58" i="2"/>
  <c r="C56" i="2"/>
  <c r="F63" i="2"/>
  <c r="F60" i="2"/>
  <c r="F58" i="2"/>
  <c r="F56" i="2"/>
  <c r="B57" i="2"/>
  <c r="E57" i="2"/>
  <c r="H57" i="2"/>
  <c r="C20" i="2"/>
  <c r="C21" i="2" s="1"/>
  <c r="F20" i="2"/>
  <c r="F21" i="2" s="1"/>
  <c r="I20" i="2"/>
  <c r="I21" i="2" s="1"/>
  <c r="B20" i="2"/>
  <c r="B21" i="2" s="1"/>
  <c r="H20" i="2"/>
  <c r="H21" i="2" s="1"/>
  <c r="C21" i="1"/>
  <c r="F21" i="1"/>
  <c r="D21" i="1"/>
  <c r="E21" i="1"/>
  <c r="B26" i="5"/>
  <c r="B6" i="10" l="1"/>
  <c r="C6" i="10"/>
  <c r="D6" i="10"/>
  <c r="E6" i="10"/>
  <c r="B7" i="10"/>
  <c r="C7" i="10"/>
  <c r="D7" i="10"/>
  <c r="E7" i="10"/>
  <c r="B8" i="10"/>
  <c r="C8" i="10"/>
  <c r="D8" i="10"/>
  <c r="E8" i="10"/>
  <c r="B3" i="10"/>
  <c r="C3" i="10"/>
  <c r="D3" i="10"/>
  <c r="E3" i="10"/>
  <c r="B4" i="10"/>
  <c r="C4" i="10"/>
  <c r="D4" i="10"/>
  <c r="E4" i="10"/>
  <c r="C28" i="6" l="1"/>
  <c r="G6" i="12" l="1"/>
  <c r="F2" i="12"/>
  <c r="G2" i="12"/>
  <c r="F3" i="12"/>
  <c r="G3" i="12"/>
  <c r="F4" i="12"/>
  <c r="G4" i="12"/>
  <c r="F5" i="12"/>
  <c r="G5" i="12"/>
  <c r="F6" i="12"/>
  <c r="F7" i="12"/>
  <c r="G7" i="12"/>
  <c r="F8" i="12"/>
  <c r="G8" i="12"/>
  <c r="F9" i="12"/>
  <c r="G9" i="12"/>
  <c r="E9" i="12"/>
  <c r="E8" i="12"/>
  <c r="E7" i="12"/>
  <c r="E6" i="12"/>
  <c r="E5" i="12"/>
  <c r="E4" i="12"/>
  <c r="E3" i="12"/>
  <c r="E2" i="12"/>
  <c r="C11" i="10"/>
  <c r="D11" i="10"/>
  <c r="E11" i="10"/>
  <c r="C12" i="10"/>
  <c r="D12" i="10"/>
  <c r="E12" i="10"/>
  <c r="C13" i="10"/>
  <c r="D13" i="10"/>
  <c r="E13" i="10"/>
  <c r="C15" i="10"/>
  <c r="D15" i="10"/>
  <c r="E15" i="10"/>
  <c r="B15" i="10"/>
  <c r="B13" i="10"/>
  <c r="B12" i="10"/>
  <c r="B11" i="10"/>
  <c r="D26" i="8" l="1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D19" i="7"/>
  <c r="D18" i="7"/>
  <c r="D17" i="7"/>
  <c r="D14" i="7"/>
  <c r="D13" i="7"/>
  <c r="D12" i="7"/>
  <c r="D10" i="7"/>
  <c r="D9" i="7"/>
  <c r="D8" i="7"/>
  <c r="D7" i="7"/>
  <c r="D6" i="7"/>
  <c r="D4" i="7"/>
  <c r="D3" i="7"/>
  <c r="D2" i="7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K20" i="8" l="1"/>
  <c r="L20" i="8" s="1"/>
  <c r="K11" i="7"/>
  <c r="L11" i="7" s="1"/>
  <c r="D15" i="8"/>
  <c r="B5" i="7"/>
  <c r="K15" i="7"/>
  <c r="L15" i="7" s="1"/>
  <c r="B11" i="7"/>
  <c r="B27" i="8"/>
  <c r="B15" i="7"/>
  <c r="D27" i="8"/>
  <c r="K27" i="8"/>
  <c r="L27" i="8" s="1"/>
  <c r="K15" i="8"/>
  <c r="L15" i="8" s="1"/>
  <c r="C27" i="8"/>
  <c r="K10" i="8"/>
  <c r="L10" i="8" s="1"/>
  <c r="D10" i="8"/>
  <c r="D20" i="8"/>
  <c r="C10" i="8"/>
  <c r="C15" i="8"/>
  <c r="C20" i="8"/>
  <c r="B20" i="8"/>
  <c r="B15" i="8"/>
  <c r="B10" i="8"/>
  <c r="K5" i="7"/>
  <c r="L5" i="7" s="1"/>
  <c r="C15" i="7"/>
  <c r="C11" i="7"/>
  <c r="D11" i="7"/>
  <c r="D5" i="7"/>
  <c r="D15" i="7"/>
  <c r="C5" i="7"/>
  <c r="D21" i="8" l="1"/>
  <c r="B21" i="8"/>
  <c r="C21" i="8"/>
  <c r="K21" i="8"/>
  <c r="L21" i="8" s="1"/>
  <c r="C16" i="7"/>
  <c r="K16" i="7"/>
  <c r="L16" i="7" s="1"/>
  <c r="D16" i="7"/>
  <c r="B16" i="7"/>
  <c r="B20" i="7"/>
  <c r="B21" i="7" s="1"/>
  <c r="K20" i="7"/>
  <c r="C30" i="8"/>
  <c r="C31" i="8" s="1"/>
  <c r="B30" i="8"/>
  <c r="B31" i="8" s="1"/>
  <c r="C20" i="7"/>
  <c r="C21" i="7" s="1"/>
  <c r="D20" i="7"/>
  <c r="D21" i="7" l="1"/>
  <c r="K21" i="7"/>
  <c r="L21" i="7" s="1"/>
  <c r="L20" i="7"/>
  <c r="K30" i="8"/>
  <c r="K31" i="8" l="1"/>
  <c r="L31" i="8" s="1"/>
  <c r="L30" i="8"/>
  <c r="B5" i="10"/>
  <c r="B2" i="10"/>
  <c r="B10" i="10" l="1"/>
  <c r="B14" i="10" s="1"/>
  <c r="B16" i="10" s="1"/>
  <c r="D5" i="10" l="1"/>
  <c r="E5" i="10"/>
  <c r="C5" i="10"/>
  <c r="D2" i="10"/>
  <c r="E2" i="10"/>
  <c r="C2" i="10"/>
  <c r="D10" i="10" l="1"/>
  <c r="D14" i="10" s="1"/>
  <c r="D16" i="10" s="1"/>
  <c r="C10" i="10"/>
  <c r="C14" i="10" s="1"/>
  <c r="C16" i="10" s="1"/>
  <c r="E10" i="10"/>
  <c r="E54" i="2"/>
  <c r="E55" i="2" s="1"/>
  <c r="E59" i="2" s="1"/>
  <c r="F54" i="2"/>
  <c r="F55" i="2" s="1"/>
  <c r="F59" i="2" s="1"/>
  <c r="E14" i="10" l="1"/>
  <c r="E16" i="10" l="1"/>
  <c r="J47" i="2" l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J13" i="2"/>
  <c r="J12" i="2"/>
  <c r="J11" i="2"/>
  <c r="J10" i="2"/>
  <c r="J9" i="2"/>
  <c r="J8" i="2"/>
  <c r="J7" i="2"/>
  <c r="J6" i="2"/>
  <c r="J5" i="2"/>
  <c r="J4" i="2"/>
  <c r="J3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D28" i="8" l="1"/>
  <c r="J53" i="2" l="1"/>
  <c r="D29" i="8"/>
  <c r="J49" i="2"/>
  <c r="J52" i="2"/>
  <c r="J51" i="2"/>
  <c r="J50" i="2"/>
  <c r="J48" i="2"/>
  <c r="J16" i="2"/>
  <c r="J14" i="2"/>
  <c r="J15" i="2"/>
  <c r="I54" i="2"/>
  <c r="I55" i="2" s="1"/>
  <c r="I59" i="2" s="1"/>
  <c r="H54" i="2"/>
  <c r="D30" i="8" l="1"/>
  <c r="J21" i="2"/>
  <c r="J20" i="2"/>
  <c r="H55" i="2"/>
  <c r="J54" i="2"/>
  <c r="G12" i="2"/>
  <c r="D53" i="2"/>
  <c r="D52" i="2"/>
  <c r="J55" i="2" l="1"/>
  <c r="H59" i="2"/>
  <c r="D31" i="8"/>
  <c r="G14" i="2"/>
  <c r="G15" i="2"/>
  <c r="G48" i="2"/>
  <c r="G49" i="2"/>
  <c r="G50" i="2"/>
  <c r="G51" i="2"/>
  <c r="G52" i="2"/>
  <c r="G53" i="2"/>
  <c r="D14" i="2"/>
  <c r="D16" i="2"/>
  <c r="D12" i="2"/>
  <c r="D49" i="2"/>
  <c r="D51" i="2"/>
  <c r="D15" i="2"/>
  <c r="D48" i="2"/>
  <c r="D50" i="2"/>
  <c r="C54" i="2"/>
  <c r="C55" i="2" s="1"/>
  <c r="C59" i="2" s="1"/>
  <c r="B54" i="2"/>
  <c r="G20" i="2" l="1"/>
  <c r="G54" i="2"/>
  <c r="G16" i="2"/>
  <c r="D21" i="2"/>
  <c r="D20" i="2"/>
  <c r="B55" i="2"/>
  <c r="D54" i="2"/>
  <c r="D55" i="2" l="1"/>
  <c r="B59" i="2"/>
  <c r="G21" i="2"/>
  <c r="G55" i="2"/>
</calcChain>
</file>

<file path=xl/sharedStrings.xml><?xml version="1.0" encoding="utf-8"?>
<sst xmlns="http://schemas.openxmlformats.org/spreadsheetml/2006/main" count="612" uniqueCount="389">
  <si>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</si>
  <si>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</si>
  <si>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</si>
  <si>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</si>
  <si>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</si>
  <si>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</si>
  <si>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</si>
  <si>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</si>
  <si>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</si>
  <si>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FPV per spese in conto capitale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</si>
  <si>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</si>
  <si>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</si>
  <si>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</si>
  <si>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</si>
  <si>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</si>
  <si>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</si>
  <si>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</si>
  <si>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</si>
  <si>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</si>
  <si>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</si>
  <si>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</si>
  <si>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</si>
  <si>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</si>
  <si>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</si>
  <si>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</si>
  <si>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</si>
  <si>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</si>
  <si>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</si>
  <si>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</si>
  <si>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</si>
  <si>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</si>
  <si>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</si>
  <si>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</si>
  <si>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</si>
  <si>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</si>
  <si>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</si>
  <si>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</si>
  <si>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</si>
  <si>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</si>
  <si>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</si>
  <si>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</si>
  <si>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</si>
  <si>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</si>
  <si>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</si>
  <si>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</si>
  <si>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</si>
  <si>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</si>
  <si>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</si>
  <si>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</si>
  <si>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</si>
  <si>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</si>
  <si>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</si>
  <si>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</si>
  <si>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</si>
  <si>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</si>
  <si>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</si>
  <si>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</si>
  <si>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</si>
  <si>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</si>
  <si>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</si>
  <si>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</si>
  <si>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</si>
  <si>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</si>
  <si>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</si>
  <si>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</si>
  <si>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</si>
  <si>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</si>
  <si>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</si>
  <si>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</si>
  <si>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</si>
  <si>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</si>
  <si>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</si>
  <si>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</si>
  <si>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</si>
  <si>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</si>
  <si>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</si>
  <si>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</si>
  <si>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</si>
  <si>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</si>
  <si>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</si>
  <si>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</si>
  <si>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</si>
  <si>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</si>
  <si>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</si>
  <si>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</si>
  <si>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</si>
  <si>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</si>
  <si>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</si>
  <si>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</si>
  <si>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</si>
  <si>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</si>
  <si>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</si>
  <si>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</si>
  <si>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</si>
  <si>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</si>
  <si>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</si>
  <si>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</si>
  <si>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</si>
  <si>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</si>
  <si>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</si>
  <si>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</si>
  <si>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</si>
  <si>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</si>
  <si>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</si>
  <si>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</si>
  <si>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</si>
  <si>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</si>
  <si>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</si>
  <si>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</si>
  <si>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</si>
  <si>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</si>
  <si>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</si>
  <si>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</si>
  <si>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</si>
  <si>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</si>
  <si>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</si>
  <si>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</si>
  <si>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</si>
  <si>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</si>
  <si>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</si>
  <si>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</si>
  <si>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</si>
  <si>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</si>
  <si>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</si>
  <si>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</si>
  <si>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</si>
  <si>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</si>
  <si>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</si>
  <si>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</si>
  <si>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</si>
  <si>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</si>
  <si>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</si>
  <si>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</si>
  <si>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</si>
  <si>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</si>
  <si>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</si>
  <si>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</si>
  <si>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</si>
  <si>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</si>
  <si>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</si>
  <si>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</si>
  <si>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</si>
  <si>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</si>
  <si>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</si>
  <si>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</si>
  <si>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</si>
  <si>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</si>
  <si>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</si>
  <si>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</si>
  <si>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</si>
  <si>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</si>
  <si>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</si>
  <si>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</si>
  <si>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</si>
  <si>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</si>
  <si>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</si>
  <si>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</si>
  <si>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</si>
  <si>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</si>
  <si>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</si>
  <si>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</si>
  <si>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</si>
  <si>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</si>
  <si>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</si>
  <si>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</si>
  <si>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</si>
  <si>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</si>
  <si>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</si>
  <si>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</si>
  <si>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</si>
  <si>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</si>
  <si>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</si>
  <si>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</si>
  <si>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</si>
  <si>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</si>
  <si>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</si>
  <si>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</si>
  <si>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</si>
  <si>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</si>
  <si>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</si>
  <si>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</si>
  <si>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</si>
  <si>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</si>
  <si>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</si>
  <si>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</si>
  <si>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</si>
  <si>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</si>
  <si>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</si>
  <si>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</si>
  <si>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</si>
  <si>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</si>
  <si>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</si>
  <si>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</si>
  <si>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</si>
  <si>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</si>
  <si>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</si>
  <si>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</si>
  <si>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</si>
  <si>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</si>
  <si>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</si>
  <si>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</si>
  <si>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</si>
  <si>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</si>
  <si>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</si>
  <si>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</si>
  <si>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</si>
  <si>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</si>
  <si>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</si>
  <si>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</si>
  <si>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</si>
  <si>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</si>
  <si>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</si>
  <si>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</si>
  <si>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</si>
  <si>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</si>
  <si>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</si>
  <si>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</si>
  <si>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</si>
  <si>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</si>
  <si>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</si>
  <si>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</si>
  <si>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</si>
  <si>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</si>
  <si>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</si>
  <si>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</si>
  <si>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</si>
  <si>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</si>
  <si>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</si>
  <si>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</si>
  <si>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</si>
  <si>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</si>
  <si>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</si>
  <si>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</si>
  <si>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</si>
  <si>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</si>
  <si>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 xml:space="preserve">       di cui permessi a costruire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</si>
  <si>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</si>
  <si>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</si>
  <si>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</si>
  <si>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</si>
  <si>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</si>
  <si>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</si>
  <si>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</si>
  <si>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</si>
  <si>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</si>
  <si>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</si>
  <si>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</si>
  <si>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</si>
  <si>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</si>
  <si>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</si>
  <si>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</si>
  <si>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</si>
  <si>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</si>
  <si>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</si>
  <si>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</si>
  <si>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</si>
  <si>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</si>
  <si>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</si>
  <si>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</si>
  <si>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</si>
  <si>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</si>
  <si>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</si>
  <si>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</si>
  <si>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</si>
  <si>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</si>
  <si>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</si>
  <si>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</si>
  <si>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</si>
  <si>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</si>
  <si>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</si>
  <si>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</si>
  <si>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</si>
  <si>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</si>
  <si>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</si>
  <si>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</si>
  <si>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</si>
  <si>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</si>
  <si>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</si>
  <si>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</si>
  <si>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</si>
  <si>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</si>
  <si>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</si>
  <si>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</si>
  <si>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</si>
  <si>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</si>
  <si>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</si>
  <si>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</si>
  <si>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</si>
  <si>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</si>
  <si>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</si>
  <si>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</si>
  <si>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</si>
  <si>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</si>
  <si>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</si>
  <si>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</si>
  <si>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</si>
  <si>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</si>
  <si>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</si>
  <si>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</si>
  <si>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</si>
  <si>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</si>
  <si>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</si>
  <si>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</si>
  <si>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</si>
  <si>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</si>
  <si>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</si>
  <si>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Media principali Comuni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</si>
  <si>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</si>
  <si>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</si>
  <si>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</si>
  <si>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</si>
  <si>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</si>
  <si>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</si>
  <si>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</si>
  <si>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</si>
  <si>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</si>
  <si>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</si>
  <si>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</si>
  <si>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</si>
  <si>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</si>
  <si>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</si>
  <si>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</si>
  <si>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</si>
  <si>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</si>
  <si>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</si>
  <si>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</si>
  <si>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</si>
  <si>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</si>
  <si>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</si>
  <si>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</si>
  <si>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</si>
  <si>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</si>
  <si>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</si>
  <si>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</si>
  <si>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</si>
  <si>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</si>
  <si>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al 1° gennaio</t>
  </si>
  <si>
    <t>Comune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</si>
  <si>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</si>
  <si>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</si>
  <si>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</si>
  <si>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</si>
  <si>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</si>
  <si>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</si>
  <si>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</si>
  <si>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</si>
  <si>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</si>
  <si>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</si>
  <si>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</si>
  <si>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</si>
  <si>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/>
  </si>
  <si>
    <t>Città metro-politana</t>
  </si>
  <si>
    <t>Saldo naturale</t>
  </si>
  <si>
    <t>Saldo migratorio</t>
  </si>
  <si>
    <t>Verifica</t>
  </si>
  <si>
    <t>Rapporto Fcde/Residui attivi (scala dx)</t>
  </si>
  <si>
    <t>Riaccertamento residui attivi</t>
  </si>
  <si>
    <t>Saldo entrate/uscite finali</t>
  </si>
  <si>
    <t>Saldo entrate/uscite nette</t>
  </si>
  <si>
    <t>Capacità riscossione entrate finali</t>
  </si>
  <si>
    <t>Capacità pagamento uscite finali</t>
  </si>
  <si>
    <t>Sviluppo sostenibile, tutela territ. e ambiente</t>
  </si>
  <si>
    <t>Entrate proprie su Entrate finali %</t>
  </si>
  <si>
    <t>Entrate da trasferimenti su Entrate finali %</t>
  </si>
  <si>
    <t>Risultato economico di esercizi precedenti (A4)</t>
  </si>
  <si>
    <t>Riserve negative per beni indisponibili (A5)</t>
  </si>
  <si>
    <t>Saldo censuario</t>
  </si>
  <si>
    <t>Riscossioni 2022</t>
  </si>
  <si>
    <t>Pagamenti 2022</t>
  </si>
  <si>
    <t>Impegni</t>
  </si>
  <si>
    <t>Pagamenti</t>
  </si>
  <si>
    <t>Residui</t>
  </si>
  <si>
    <t>Cap. pagamento</t>
  </si>
  <si>
    <t>Composizione spesa</t>
  </si>
  <si>
    <t>Infanzia, minori, asili nido</t>
  </si>
  <si>
    <t>Disabilità</t>
  </si>
  <si>
    <t>Anziani</t>
  </si>
  <si>
    <t>Soggetti a rischio esclusione sociale</t>
  </si>
  <si>
    <t>Famiglie</t>
  </si>
  <si>
    <t>Diritto alla casa</t>
  </si>
  <si>
    <t>Rete dei servizi sociosanitari e sociali</t>
  </si>
  <si>
    <t>Cooperazione e associazionismo</t>
  </si>
  <si>
    <t>Servizio necroscopico e cimiteriale</t>
  </si>
  <si>
    <t>Spesa finale</t>
  </si>
  <si>
    <t>Totale</t>
  </si>
  <si>
    <t>Spesa corrente</t>
  </si>
  <si>
    <t>Spesa in conto capitale</t>
  </si>
  <si>
    <t>%Spesa corrente</t>
  </si>
  <si>
    <t>Margine operativo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</si>
</sst>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_-;\-* #,##0_-;_-* &quot;-&quot;??_-;_-@_-"/>
    <numFmt numFmtId="165" formatCode="0.0"/>
    <numFmt numFmtId="166" formatCode="#,##0_ ;\-#,##0\ "/>
    <numFmt numFmtId="167" formatCode="#,##0.0_ ;\-#,##0.0\ "/>
    <numFmt numFmtId="168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</cellStyleXfs>
  <cellXfs count="143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4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0" xfId="1" applyNumberFormat="1" applyFont="1" applyBorder="1"/>
    <xf numFmtId="164" fontId="0" fillId="2" borderId="0" xfId="1" applyNumberFormat="1" applyFont="1" applyFill="1" applyBorder="1"/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4" xfId="1" applyNumberFormat="1" applyFont="1" applyBorder="1"/>
    <xf numFmtId="164" fontId="0" fillId="0" borderId="5" xfId="0" applyNumberFormat="1" applyBorder="1"/>
    <xf numFmtId="0" fontId="0" fillId="0" borderId="0" xfId="0" quotePrefix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1" applyNumberFormat="1" applyFont="1"/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4" fontId="0" fillId="4" borderId="0" xfId="0" applyNumberFormat="1" applyFill="1"/>
    <xf numFmtId="165" fontId="0" fillId="4" borderId="0" xfId="0" applyNumberForma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4" fontId="0" fillId="4" borderId="0" xfId="0" applyNumberFormat="1" applyFont="1" applyFill="1"/>
    <xf numFmtId="165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6" fontId="0" fillId="4" borderId="0" xfId="0" applyNumberFormat="1" applyFont="1" applyFill="1"/>
    <xf numFmtId="166" fontId="3" fillId="4" borderId="0" xfId="1" applyNumberFormat="1" applyFont="1" applyFill="1"/>
    <xf numFmtId="166" fontId="6" fillId="0" borderId="0" xfId="0" applyNumberFormat="1" applyFont="1"/>
    <xf numFmtId="166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6" fontId="0" fillId="4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6" fontId="1" fillId="4" borderId="0" xfId="0" applyNumberFormat="1" applyFont="1" applyFill="1" applyAlignment="1">
      <alignment horizontal="center" vertical="center"/>
    </xf>
    <xf numFmtId="166" fontId="1" fillId="6" borderId="0" xfId="1" applyNumberFormat="1" applyFont="1" applyFill="1" applyAlignment="1">
      <alignment horizontal="center" vertical="center"/>
    </xf>
    <xf numFmtId="166" fontId="9" fillId="4" borderId="0" xfId="0" applyNumberFormat="1" applyFont="1" applyFill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166" fontId="1" fillId="6" borderId="0" xfId="0" applyNumberFormat="1" applyFont="1" applyFill="1" applyAlignment="1">
      <alignment horizontal="center" vertical="center"/>
    </xf>
    <xf numFmtId="166" fontId="6" fillId="4" borderId="0" xfId="0" quotePrefix="1" applyNumberFormat="1" applyFont="1" applyFill="1" applyAlignment="1">
      <alignment horizontal="center" vertical="center"/>
    </xf>
    <xf numFmtId="166" fontId="6" fillId="6" borderId="0" xfId="1" quotePrefix="1" applyNumberFormat="1" applyFont="1" applyFill="1" applyAlignment="1">
      <alignment horizontal="center" vertical="center"/>
    </xf>
    <xf numFmtId="166" fontId="6" fillId="6" borderId="0" xfId="0" quotePrefix="1" applyNumberFormat="1" applyFont="1" applyFill="1" applyAlignment="1">
      <alignment horizontal="center" vertical="center"/>
    </xf>
    <xf numFmtId="166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0" fillId="0" borderId="0" xfId="0" applyBorder="1" applyAlignment="1">
      <alignment horizontal="center"/>
    </xf>
    <xf numFmtId="3" fontId="1" fillId="0" borderId="1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Border="1"/>
    <xf numFmtId="3" fontId="2" fillId="0" borderId="1" xfId="0" applyNumberFormat="1" applyFont="1" applyFill="1" applyBorder="1"/>
    <xf numFmtId="0" fontId="0" fillId="0" borderId="0" xfId="0" applyAlignment="1">
      <alignment wrapText="1"/>
    </xf>
    <xf numFmtId="3" fontId="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1" fillId="0" borderId="0" xfId="0" applyFont="1" applyAlignment="1">
      <alignment horizontal="center" vertical="center"/>
    </xf>
    <xf numFmtId="167" fontId="9" fillId="4" borderId="0" xfId="1" applyNumberFormat="1" applyFont="1" applyFill="1" applyAlignment="1">
      <alignment horizontal="center" vertical="center"/>
    </xf>
    <xf numFmtId="167" fontId="9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8" fontId="0" fillId="0" borderId="0" xfId="0" applyNumberForma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5" fontId="0" fillId="0" borderId="0" xfId="0" applyNumberFormat="1" applyAlignment="1">
      <alignment horizontal="right"/>
    </xf>
    <xf numFmtId="165" fontId="1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165" fontId="2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0" fontId="11" fillId="0" borderId="0" xfId="2" applyFont="1" applyFill="1" applyBorder="1" applyAlignment="1" applyProtection="1">
      <alignment vertical="center" readingOrder="1"/>
    </xf>
    <xf numFmtId="0" fontId="12" fillId="0" borderId="0" xfId="2" applyFont="1" applyFill="1" applyBorder="1" applyAlignment="1" applyProtection="1">
      <alignment vertical="center" readingOrder="1"/>
    </xf>
    <xf numFmtId="165" fontId="13" fillId="0" borderId="0" xfId="0" applyNumberFormat="1" applyFont="1"/>
    <xf numFmtId="0" fontId="1" fillId="0" borderId="0" xfId="0" quotePrefix="1" applyFont="1" applyBorder="1" applyAlignment="1">
      <alignment horizontal="center"/>
    </xf>
    <xf numFmtId="3" fontId="2" fillId="0" borderId="0" xfId="0" applyNumberFormat="1" applyFont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gliaia" xfId="1" builtinId="3"/>
    <cellStyle name="Normal" xfId="2"/>
    <cellStyle name="Normale" xfId="0" builtinId="0"/>
  </cellStyles>
  <dxfs count="86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27743208128947E-2"/>
          <c:y val="2.3212754346300768E-2"/>
          <c:w val="0.51138832365055487"/>
          <c:h val="0.976787245653699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alpha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4287253306077125"/>
                  <c:y val="8.7852963692038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694227360156759"/>
                  <c:y val="-0.147065110054312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175787483493402E-3"/>
                  <c:y val="-4.1863841896000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015498998954718"/>
                  <c:y val="-0.130424430238299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205128205128205E-3"/>
                  <c:y val="-1.3095748551233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0096153846153849E-3"/>
                  <c:y val="7.6484580052492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933044750003262E-2"/>
                  <c:y val="5.4409722222222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6186212901271592E-3"/>
                  <c:y val="2.1768919510061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Mission12_Programmi!$A$2:$A$10</c:f>
              <c:strCache>
                <c:ptCount val="9"/>
                <c:pt idx="0">
                  <c:v>Infanzia, minori, asili nido</c:v>
                </c:pt>
                <c:pt idx="1">
                  <c:v>Disabilità</c:v>
                </c:pt>
                <c:pt idx="2">
                  <c:v>Anziani</c:v>
                </c:pt>
                <c:pt idx="3">
                  <c:v>Soggetti a rischio esclusione sociale</c:v>
                </c:pt>
                <c:pt idx="4">
                  <c:v>Famiglie</c:v>
                </c:pt>
                <c:pt idx="5">
                  <c:v>Diritto alla casa</c:v>
                </c:pt>
                <c:pt idx="6">
                  <c:v>Rete dei servizi sociosanitari e sociali</c:v>
                </c:pt>
                <c:pt idx="7">
                  <c:v>Cooperazione e associazionismo</c:v>
                </c:pt>
                <c:pt idx="8">
                  <c:v>Servizio necroscopico e cimiteriale</c:v>
                </c:pt>
              </c:strCache>
            </c:strRef>
          </c:cat>
          <c:val>
            <c:numRef>
              <c:f>Mission12_Programmi!$B$2:$B$10</c:f>
              <c:numCache>
                <c:formatCode>#,##0</c:formatCode>
                <c:ptCount val="9"/>
                <c:pt idx="0">
                  <c:v>79203300.709999993</c:v>
                </c:pt>
                <c:pt idx="1">
                  <c:v>33696420.850000001</c:v>
                </c:pt>
                <c:pt idx="2">
                  <c:v>13614692.960000001</c:v>
                </c:pt>
                <c:pt idx="3">
                  <c:v>38075194.270000003</c:v>
                </c:pt>
                <c:pt idx="4">
                  <c:v>11565510.07</c:v>
                </c:pt>
                <c:pt idx="5">
                  <c:v>14216800.140000001</c:v>
                </c:pt>
                <c:pt idx="6">
                  <c:v>45962362.979999997</c:v>
                </c:pt>
                <c:pt idx="7">
                  <c:v>0</c:v>
                </c:pt>
                <c:pt idx="8">
                  <c:v>2143373.61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905368777131741"/>
          <c:y val="3.1215427490599516E-2"/>
          <c:w val="0.37732233402704773"/>
          <c:h val="0.921087892443605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154E-2"/>
          <c:w val="0.9122665336936"/>
          <c:h val="0.71206567264198473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Piano_indicatori!$B$84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Piano_indicatori!$D$84:$J$84</c:f>
              <c:numCache>
                <c:formatCode>0.00</c:formatCode>
                <c:ptCount val="7"/>
                <c:pt idx="0">
                  <c:v>71.489999999999995</c:v>
                </c:pt>
                <c:pt idx="1">
                  <c:v>72.454229093179862</c:v>
                </c:pt>
                <c:pt idx="2">
                  <c:v>79.08</c:v>
                </c:pt>
                <c:pt idx="3">
                  <c:v>76.673000000000002</c:v>
                </c:pt>
                <c:pt idx="4">
                  <c:v>77.269000000000005</c:v>
                </c:pt>
                <c:pt idx="5">
                  <c:v>78.972999999999999</c:v>
                </c:pt>
                <c:pt idx="6">
                  <c:v>75.338999999999999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Piano_indicatori!$B$85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Piano_indicatori!$D$85:$J$85</c:f>
              <c:numCache>
                <c:formatCode>0.00</c:formatCode>
                <c:ptCount val="7"/>
                <c:pt idx="0">
                  <c:v>55.05</c:v>
                </c:pt>
                <c:pt idx="1">
                  <c:v>51.845395172653895</c:v>
                </c:pt>
                <c:pt idx="2">
                  <c:v>56.652999999999999</c:v>
                </c:pt>
                <c:pt idx="3">
                  <c:v>60.21</c:v>
                </c:pt>
                <c:pt idx="4">
                  <c:v>65.364999999999995</c:v>
                </c:pt>
                <c:pt idx="5">
                  <c:v>78.066000000000003</c:v>
                </c:pt>
                <c:pt idx="6">
                  <c:v>80.149000000000001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Piano_indicatori!$B$86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Piano_indicatori!$D$86:$J$86</c:f>
              <c:numCache>
                <c:formatCode>0.00</c:formatCode>
                <c:ptCount val="7"/>
                <c:pt idx="0">
                  <c:v>58.44</c:v>
                </c:pt>
                <c:pt idx="1">
                  <c:v>57.646828016560306</c:v>
                </c:pt>
                <c:pt idx="2">
                  <c:v>50.284999999999997</c:v>
                </c:pt>
                <c:pt idx="3">
                  <c:v>68.998162973534846</c:v>
                </c:pt>
                <c:pt idx="4">
                  <c:v>88.090812321944497</c:v>
                </c:pt>
                <c:pt idx="5">
                  <c:v>87.313000000000002</c:v>
                </c:pt>
                <c:pt idx="6">
                  <c:v>87.518000000000001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Piano_indicatori!$B$87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Piano_indicatori!$D$87:$J$87</c:f>
              <c:numCache>
                <c:formatCode>0.00</c:formatCode>
                <c:ptCount val="7"/>
                <c:pt idx="0">
                  <c:v>70.86</c:v>
                </c:pt>
                <c:pt idx="1">
                  <c:v>73.343620160251604</c:v>
                </c:pt>
                <c:pt idx="2">
                  <c:v>65.661000000000001</c:v>
                </c:pt>
                <c:pt idx="3">
                  <c:v>72.831000000000003</c:v>
                </c:pt>
                <c:pt idx="4">
                  <c:v>70.182000000000002</c:v>
                </c:pt>
                <c:pt idx="5">
                  <c:v>72.655000000000001</c:v>
                </c:pt>
                <c:pt idx="6">
                  <c:v>72.921999999999997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610560"/>
        <c:axId val="-1060618720"/>
      </c:lineChart>
      <c:catAx>
        <c:axId val="-106061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060618720"/>
        <c:crosses val="autoZero"/>
        <c:auto val="1"/>
        <c:lblAlgn val="ctr"/>
        <c:lblOffset val="100"/>
        <c:noMultiLvlLbl val="0"/>
      </c:catAx>
      <c:valAx>
        <c:axId val="-1060618720"/>
        <c:scaling>
          <c:orientation val="minMax"/>
          <c:max val="9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1060610560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9898182830239134E-3"/>
          <c:y val="0.86354986876640416"/>
          <c:w val="0.98046146293568959"/>
          <c:h val="0.1090525050519127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526E-2"/>
          <c:y val="8.4949215143120954E-2"/>
          <c:w val="0.95679921453118"/>
          <c:h val="0.71753789779047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Piano_indicatori!$D$20:$J$20</c:f>
              <c:numCache>
                <c:formatCode>0.00</c:formatCode>
                <c:ptCount val="7"/>
                <c:pt idx="0">
                  <c:v>458.94</c:v>
                </c:pt>
                <c:pt idx="1">
                  <c:v>443.96</c:v>
                </c:pt>
                <c:pt idx="2">
                  <c:v>444.72699999999998</c:v>
                </c:pt>
                <c:pt idx="3">
                  <c:v>436.77600000000001</c:v>
                </c:pt>
                <c:pt idx="4">
                  <c:v>422.23</c:v>
                </c:pt>
                <c:pt idx="5">
                  <c:v>406.77600000000001</c:v>
                </c:pt>
                <c:pt idx="6">
                  <c:v>424.05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4"/>
              <c:layout>
                <c:manualLayout>
                  <c:x val="5.72573718866290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6343162515507207E-3"/>
                  <c:y val="7.693787266782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81715812577522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Piano_indicatori!$D$89:$J$89</c:f>
              <c:numCache>
                <c:formatCode>0.00</c:formatCode>
                <c:ptCount val="7"/>
                <c:pt idx="0">
                  <c:v>367.13226833883101</c:v>
                </c:pt>
                <c:pt idx="1">
                  <c:v>350.14826884227551</c:v>
                </c:pt>
                <c:pt idx="2">
                  <c:v>362.58510068602214</c:v>
                </c:pt>
                <c:pt idx="3">
                  <c:v>355.01394750014094</c:v>
                </c:pt>
                <c:pt idx="4">
                  <c:v>354.72657825926274</c:v>
                </c:pt>
                <c:pt idx="5">
                  <c:v>352.25227220007974</c:v>
                </c:pt>
                <c:pt idx="6">
                  <c:v>369.77947768871218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623616"/>
        <c:axId val="-1060610016"/>
      </c:barChart>
      <c:catAx>
        <c:axId val="-10606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060610016"/>
        <c:crosses val="autoZero"/>
        <c:auto val="1"/>
        <c:lblAlgn val="ctr"/>
        <c:lblOffset val="100"/>
        <c:noMultiLvlLbl val="0"/>
      </c:catAx>
      <c:valAx>
        <c:axId val="-1060610016"/>
        <c:scaling>
          <c:orientation val="minMax"/>
          <c:max val="48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1060623616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63390973923858E-3"/>
          <c:y val="1.3392642134389869E-2"/>
          <c:w val="0.99115366090260748"/>
          <c:h val="0.80017477619106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Piano_indicatori!$D$31:$J$31</c:f>
              <c:numCache>
                <c:formatCode>0.00</c:formatCode>
                <c:ptCount val="7"/>
                <c:pt idx="0">
                  <c:v>78.099999999999994</c:v>
                </c:pt>
                <c:pt idx="1">
                  <c:v>90.19</c:v>
                </c:pt>
                <c:pt idx="2">
                  <c:v>220.631</c:v>
                </c:pt>
                <c:pt idx="3">
                  <c:v>81.962000000000003</c:v>
                </c:pt>
                <c:pt idx="4">
                  <c:v>160.102</c:v>
                </c:pt>
                <c:pt idx="5">
                  <c:v>157.423</c:v>
                </c:pt>
                <c:pt idx="6">
                  <c:v>219.83499999999998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Piano_indicatori!$D$90:$J$90</c:f>
              <c:numCache>
                <c:formatCode>0.00</c:formatCode>
                <c:ptCount val="7"/>
                <c:pt idx="0">
                  <c:v>157.51675807997006</c:v>
                </c:pt>
                <c:pt idx="1">
                  <c:v>150.44420956890005</c:v>
                </c:pt>
                <c:pt idx="2">
                  <c:v>170.92035541980178</c:v>
                </c:pt>
                <c:pt idx="3">
                  <c:v>180.492157874811</c:v>
                </c:pt>
                <c:pt idx="4">
                  <c:v>204.57029658165237</c:v>
                </c:pt>
                <c:pt idx="5">
                  <c:v>209.21258224469867</c:v>
                </c:pt>
                <c:pt idx="6">
                  <c:v>229.38618194069946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625248"/>
        <c:axId val="-1060618176"/>
      </c:barChart>
      <c:catAx>
        <c:axId val="-106062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060618176"/>
        <c:crosses val="autoZero"/>
        <c:auto val="1"/>
        <c:lblAlgn val="ctr"/>
        <c:lblOffset val="100"/>
        <c:noMultiLvlLbl val="0"/>
      </c:catAx>
      <c:valAx>
        <c:axId val="-1060618176"/>
        <c:scaling>
          <c:orientation val="minMax"/>
          <c:max val="25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1060625248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543E-2"/>
          <c:y val="4.8014773776546685E-2"/>
          <c:w val="0.95679921453118066"/>
          <c:h val="0.75447233915705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Piano_indicatori!$D$47:$J$47</c:f>
              <c:numCache>
                <c:formatCode>0.00</c:formatCode>
                <c:ptCount val="7"/>
                <c:pt idx="0">
                  <c:v>42</c:v>
                </c:pt>
                <c:pt idx="1">
                  <c:v>81</c:v>
                </c:pt>
                <c:pt idx="2">
                  <c:v>112.89</c:v>
                </c:pt>
                <c:pt idx="3">
                  <c:v>48.58</c:v>
                </c:pt>
                <c:pt idx="4">
                  <c:v>58</c:v>
                </c:pt>
                <c:pt idx="5">
                  <c:v>46</c:v>
                </c:pt>
                <c:pt idx="6">
                  <c:v>-12.9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Piano_indicatori!$D$91:$J$91</c:f>
              <c:numCache>
                <c:formatCode>0.00</c:formatCode>
                <c:ptCount val="7"/>
                <c:pt idx="0">
                  <c:v>30.939403225806455</c:v>
                </c:pt>
                <c:pt idx="1">
                  <c:v>36.337096774193533</c:v>
                </c:pt>
                <c:pt idx="2">
                  <c:v>36.521612903225808</c:v>
                </c:pt>
                <c:pt idx="3">
                  <c:v>24.474374999999998</c:v>
                </c:pt>
                <c:pt idx="4">
                  <c:v>18.420312500000001</c:v>
                </c:pt>
                <c:pt idx="5">
                  <c:v>10.619375</c:v>
                </c:pt>
                <c:pt idx="6">
                  <c:v>3.849687499999999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624704"/>
        <c:axId val="-1060613280"/>
      </c:barChart>
      <c:catAx>
        <c:axId val="-10606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060613280"/>
        <c:crosses val="autoZero"/>
        <c:auto val="1"/>
        <c:lblAlgn val="ctr"/>
        <c:lblOffset val="100"/>
        <c:noMultiLvlLbl val="0"/>
      </c:catAx>
      <c:valAx>
        <c:axId val="-1060613280"/>
        <c:scaling>
          <c:orientation val="minMax"/>
          <c:max val="120"/>
          <c:min val="-15"/>
        </c:scaling>
        <c:delete val="1"/>
        <c:axPos val="l"/>
        <c:numFmt formatCode="0" sourceLinked="0"/>
        <c:majorTickMark val="out"/>
        <c:minorTickMark val="none"/>
        <c:tickLblPos val="nextTo"/>
        <c:crossAx val="-1060624704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543E-2"/>
          <c:y val="8.4949215143120954E-2"/>
          <c:w val="0.95679921453118066"/>
          <c:h val="0.71753789779047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Piano_indicatori!$D$52:$J$52</c:f>
              <c:numCache>
                <c:formatCode>0.00</c:formatCode>
                <c:ptCount val="7"/>
                <c:pt idx="0">
                  <c:v>4081.82</c:v>
                </c:pt>
                <c:pt idx="1">
                  <c:v>3999.62</c:v>
                </c:pt>
                <c:pt idx="2">
                  <c:v>3876.306</c:v>
                </c:pt>
                <c:pt idx="3">
                  <c:v>3823.5439999999999</c:v>
                </c:pt>
                <c:pt idx="4">
                  <c:v>3812.4430000000002</c:v>
                </c:pt>
                <c:pt idx="5">
                  <c:v>3611.07</c:v>
                </c:pt>
                <c:pt idx="6">
                  <c:v>3492.2310000000002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57093765341188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CD0-4329-A60F-175A74D329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81836033382425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CD0-4329-A60F-175A74D329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7093765341188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CD0-4329-A60F-175A74D329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7820324005891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D0-4329-A60F-175A74D329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360053440213621E-2"/>
                  <c:y val="-3.8468936333910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360053440213761E-2"/>
                  <c:y val="-7.05255685614494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360053440213621E-2"/>
                  <c:y val="-7.05255685614494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Piano_indicatori!$D$92:$J$92</c:f>
              <c:numCache>
                <c:formatCode>0.00</c:formatCode>
                <c:ptCount val="7"/>
                <c:pt idx="0">
                  <c:v>1806.715247780151</c:v>
                </c:pt>
                <c:pt idx="1">
                  <c:v>1760.2223341478993</c:v>
                </c:pt>
                <c:pt idx="2">
                  <c:v>1723.4313709635639</c:v>
                </c:pt>
                <c:pt idx="3">
                  <c:v>1688.3834954123995</c:v>
                </c:pt>
                <c:pt idx="4">
                  <c:v>1744.0187221199872</c:v>
                </c:pt>
                <c:pt idx="5">
                  <c:v>1744.7789254873785</c:v>
                </c:pt>
                <c:pt idx="6">
                  <c:v>1726.9557160967668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617632"/>
        <c:axId val="-1060615456"/>
      </c:barChart>
      <c:catAx>
        <c:axId val="-10606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060615456"/>
        <c:crosses val="autoZero"/>
        <c:auto val="1"/>
        <c:lblAlgn val="ctr"/>
        <c:lblOffset val="100"/>
        <c:noMultiLvlLbl val="0"/>
      </c:catAx>
      <c:valAx>
        <c:axId val="-1060615456"/>
        <c:scaling>
          <c:orientation val="minMax"/>
          <c:max val="420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1060617632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1998505542474"/>
          <c:y val="7.7745360071207401E-3"/>
          <c:w val="0.8523501199002862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al 1° gennaio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Popolazione!$A$2:$A$10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Popolazione!$B$2:$B$10</c:f>
              <c:numCache>
                <c:formatCode>#,##0</c:formatCode>
                <c:ptCount val="9"/>
                <c:pt idx="0">
                  <c:v>841600</c:v>
                </c:pt>
                <c:pt idx="1">
                  <c:v>848748</c:v>
                </c:pt>
                <c:pt idx="2">
                  <c:v>858205</c:v>
                </c:pt>
                <c:pt idx="3">
                  <c:v>857910</c:v>
                </c:pt>
                <c:pt idx="4">
                  <c:v>860793</c:v>
                </c:pt>
                <c:pt idx="5">
                  <c:v>868878</c:v>
                </c:pt>
                <c:pt idx="6">
                  <c:v>877088</c:v>
                </c:pt>
                <c:pt idx="7">
                  <c:v>881643</c:v>
                </c:pt>
                <c:pt idx="8">
                  <c:v>884710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617088"/>
        <c:axId val="-1060613824"/>
      </c:barChart>
      <c:catAx>
        <c:axId val="-106061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1060613824"/>
        <c:crosses val="autoZero"/>
        <c:auto val="1"/>
        <c:lblAlgn val="ctr"/>
        <c:lblOffset val="100"/>
        <c:noMultiLvlLbl val="0"/>
      </c:catAx>
      <c:valAx>
        <c:axId val="-10606138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one"/>
        <c:spPr>
          <a:ln>
            <a:noFill/>
          </a:ln>
        </c:spPr>
        <c:crossAx val="-10606170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2230057669705"/>
          <c:y val="3.8314176245210725E-2"/>
          <c:w val="0.87070933128718542"/>
          <c:h val="0.745340178872625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Mission12_Programmi!$A$93</c:f>
              <c:strCache>
                <c:ptCount val="1"/>
                <c:pt idx="0">
                  <c:v>Infanzia, minori, asili nido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Mission12_Programmi!$B$92:$H$92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Mission12_Programmi!$B$93:$H$93</c:f>
              <c:numCache>
                <c:formatCode>#,##0</c:formatCode>
                <c:ptCount val="7"/>
                <c:pt idx="0">
                  <c:v>72508203.629999995</c:v>
                </c:pt>
                <c:pt idx="1">
                  <c:v>66185933.439999998</c:v>
                </c:pt>
                <c:pt idx="2">
                  <c:v>67464579.370000005</c:v>
                </c:pt>
                <c:pt idx="3">
                  <c:v>62671050.57</c:v>
                </c:pt>
                <c:pt idx="4">
                  <c:v>66509507.479999997</c:v>
                </c:pt>
                <c:pt idx="5">
                  <c:v>69195697.650000006</c:v>
                </c:pt>
                <c:pt idx="6">
                  <c:v>79203300.709999993</c:v>
                </c:pt>
              </c:numCache>
            </c:numRef>
          </c:val>
        </c:ser>
        <c:ser>
          <c:idx val="6"/>
          <c:order val="1"/>
          <c:tx>
            <c:strRef>
              <c:f>Mission12_Programmi!$A$94</c:f>
              <c:strCache>
                <c:ptCount val="1"/>
                <c:pt idx="0">
                  <c:v>Rete dei servizi sociosanitari e sociali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Mission12_Programmi!$B$92:$H$92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Mission12_Programmi!$B$94:$H$94</c:f>
              <c:numCache>
                <c:formatCode>#,##0</c:formatCode>
                <c:ptCount val="7"/>
                <c:pt idx="0">
                  <c:v>45670426.530000001</c:v>
                </c:pt>
                <c:pt idx="1">
                  <c:v>45060972.479999997</c:v>
                </c:pt>
                <c:pt idx="2">
                  <c:v>47290709.689999998</c:v>
                </c:pt>
                <c:pt idx="3">
                  <c:v>46295271.359999999</c:v>
                </c:pt>
                <c:pt idx="4">
                  <c:v>44655881.890000001</c:v>
                </c:pt>
                <c:pt idx="5">
                  <c:v>42443004.75</c:v>
                </c:pt>
                <c:pt idx="6">
                  <c:v>45962362.979999997</c:v>
                </c:pt>
              </c:numCache>
            </c:numRef>
          </c:val>
        </c:ser>
        <c:ser>
          <c:idx val="3"/>
          <c:order val="2"/>
          <c:tx>
            <c:strRef>
              <c:f>Mission12_Programmi!$A$95</c:f>
              <c:strCache>
                <c:ptCount val="1"/>
                <c:pt idx="0">
                  <c:v>Soggetti a rischio esclusione sociale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Mission12_Programmi!$B$92:$H$92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Mission12_Programmi!$B$95:$H$95</c:f>
              <c:numCache>
                <c:formatCode>#,##0</c:formatCode>
                <c:ptCount val="7"/>
                <c:pt idx="0">
                  <c:v>14650996.640000001</c:v>
                </c:pt>
                <c:pt idx="1">
                  <c:v>14737665.01</c:v>
                </c:pt>
                <c:pt idx="2">
                  <c:v>20480540.940000001</c:v>
                </c:pt>
                <c:pt idx="3">
                  <c:v>24986483.809999999</c:v>
                </c:pt>
                <c:pt idx="4">
                  <c:v>37438335.740000002</c:v>
                </c:pt>
                <c:pt idx="5">
                  <c:v>37946481.869999997</c:v>
                </c:pt>
                <c:pt idx="6">
                  <c:v>38075194.270000003</c:v>
                </c:pt>
              </c:numCache>
            </c:numRef>
          </c:val>
        </c:ser>
        <c:ser>
          <c:idx val="1"/>
          <c:order val="3"/>
          <c:tx>
            <c:strRef>
              <c:f>Mission12_Programmi!$A$96</c:f>
              <c:strCache>
                <c:ptCount val="1"/>
                <c:pt idx="0">
                  <c:v>Disabilità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Mission12_Programmi!$B$92:$H$92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Mission12_Programmi!$B$96:$H$96</c:f>
              <c:numCache>
                <c:formatCode>#,##0</c:formatCode>
                <c:ptCount val="7"/>
                <c:pt idx="0">
                  <c:v>31861696.5</c:v>
                </c:pt>
                <c:pt idx="1">
                  <c:v>30962813.75</c:v>
                </c:pt>
                <c:pt idx="2">
                  <c:v>34762232.380000003</c:v>
                </c:pt>
                <c:pt idx="3">
                  <c:v>31333582.440000001</c:v>
                </c:pt>
                <c:pt idx="4">
                  <c:v>24946773.449999999</c:v>
                </c:pt>
                <c:pt idx="5">
                  <c:v>31250736.52</c:v>
                </c:pt>
                <c:pt idx="6">
                  <c:v>33696420.850000001</c:v>
                </c:pt>
              </c:numCache>
            </c:numRef>
          </c:val>
        </c:ser>
        <c:ser>
          <c:idx val="2"/>
          <c:order val="4"/>
          <c:tx>
            <c:strRef>
              <c:f>Mission12_Programmi!$A$98</c:f>
              <c:strCache>
                <c:ptCount val="1"/>
                <c:pt idx="0">
                  <c:v>Anziani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Mission12_Programmi!$B$92:$H$92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Mission12_Programmi!$B$98:$H$98</c:f>
              <c:numCache>
                <c:formatCode>#,##0</c:formatCode>
                <c:ptCount val="7"/>
                <c:pt idx="0">
                  <c:v>16615838.42</c:v>
                </c:pt>
                <c:pt idx="1">
                  <c:v>22243231.289999999</c:v>
                </c:pt>
                <c:pt idx="2">
                  <c:v>25313823.489999998</c:v>
                </c:pt>
                <c:pt idx="3">
                  <c:v>17980641.739999998</c:v>
                </c:pt>
                <c:pt idx="4">
                  <c:v>14663369.34</c:v>
                </c:pt>
                <c:pt idx="5">
                  <c:v>15990441.73</c:v>
                </c:pt>
                <c:pt idx="6">
                  <c:v>13614692.960000001</c:v>
                </c:pt>
              </c:numCache>
            </c:numRef>
          </c:val>
        </c:ser>
        <c:ser>
          <c:idx val="4"/>
          <c:order val="5"/>
          <c:tx>
            <c:strRef>
              <c:f>Mission12_Programmi!$A$99</c:f>
              <c:strCache>
                <c:ptCount val="1"/>
                <c:pt idx="0">
                  <c:v>Famiglie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Mission12_Programmi!$B$92:$H$92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Mission12_Programmi!$B$99:$H$99</c:f>
              <c:numCache>
                <c:formatCode>#,##0</c:formatCode>
                <c:ptCount val="7"/>
                <c:pt idx="0">
                  <c:v>26303.200000000001</c:v>
                </c:pt>
                <c:pt idx="1">
                  <c:v>2018900</c:v>
                </c:pt>
                <c:pt idx="2">
                  <c:v>27363772.699999999</c:v>
                </c:pt>
                <c:pt idx="3">
                  <c:v>4122009.95</c:v>
                </c:pt>
                <c:pt idx="4">
                  <c:v>4279923.22</c:v>
                </c:pt>
                <c:pt idx="5">
                  <c:v>7613176.9299999997</c:v>
                </c:pt>
                <c:pt idx="6">
                  <c:v>11565510.07</c:v>
                </c:pt>
              </c:numCache>
            </c:numRef>
          </c:val>
        </c:ser>
        <c:ser>
          <c:idx val="5"/>
          <c:order val="6"/>
          <c:tx>
            <c:strRef>
              <c:f>Mission12_Programmi!$A$97</c:f>
              <c:strCache>
                <c:ptCount val="1"/>
                <c:pt idx="0">
                  <c:v>Diritto alla casa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Mission12_Programmi!$B$92:$H$92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Mission12_Programmi!$B$97:$H$97</c:f>
              <c:numCache>
                <c:formatCode>#,##0</c:formatCode>
                <c:ptCount val="7"/>
                <c:pt idx="0">
                  <c:v>6926098.9800000004</c:v>
                </c:pt>
                <c:pt idx="1">
                  <c:v>2877474.26</c:v>
                </c:pt>
                <c:pt idx="2">
                  <c:v>1963663.06</c:v>
                </c:pt>
                <c:pt idx="3">
                  <c:v>676839.81</c:v>
                </c:pt>
                <c:pt idx="4">
                  <c:v>11282242.74</c:v>
                </c:pt>
                <c:pt idx="5">
                  <c:v>2192580.84</c:v>
                </c:pt>
                <c:pt idx="6">
                  <c:v>14216800.140000001</c:v>
                </c:pt>
              </c:numCache>
            </c:numRef>
          </c:val>
        </c:ser>
        <c:ser>
          <c:idx val="8"/>
          <c:order val="7"/>
          <c:tx>
            <c:strRef>
              <c:f>Mission12_Programmi!$A$100</c:f>
              <c:strCache>
                <c:ptCount val="1"/>
                <c:pt idx="0">
                  <c:v>Servizio necroscopico e cimiteriale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Mission12_Programmi!$B$92:$H$92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Mission12_Programmi!$B$100:$H$100</c:f>
              <c:numCache>
                <c:formatCode>#,##0</c:formatCode>
                <c:ptCount val="7"/>
                <c:pt idx="0">
                  <c:v>3119999.24</c:v>
                </c:pt>
                <c:pt idx="1">
                  <c:v>2633187.65</c:v>
                </c:pt>
                <c:pt idx="2">
                  <c:v>2400756.69</c:v>
                </c:pt>
                <c:pt idx="3">
                  <c:v>2265441.38</c:v>
                </c:pt>
                <c:pt idx="4">
                  <c:v>2094635.86</c:v>
                </c:pt>
                <c:pt idx="5">
                  <c:v>1935127.06</c:v>
                </c:pt>
                <c:pt idx="6">
                  <c:v>2143373.61</c:v>
                </c:pt>
              </c:numCache>
            </c:numRef>
          </c:val>
        </c:ser>
        <c:ser>
          <c:idx val="7"/>
          <c:order val="8"/>
          <c:tx>
            <c:strRef>
              <c:f>Mission12_Programmi!$A$101</c:f>
              <c:strCache>
                <c:ptCount val="1"/>
                <c:pt idx="0">
                  <c:v>Cooperazione e associazionismo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Mission12_Programmi!$B$92:$H$92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Mission12_Programmi!$B$101:$H$101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7083968"/>
        <c:axId val="-1067075808"/>
      </c:barChart>
      <c:catAx>
        <c:axId val="-106708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067075808"/>
        <c:crosses val="autoZero"/>
        <c:auto val="1"/>
        <c:lblAlgn val="ctr"/>
        <c:lblOffset val="100"/>
        <c:noMultiLvlLbl val="0"/>
      </c:catAx>
      <c:valAx>
        <c:axId val="-1067075808"/>
        <c:scaling>
          <c:orientation val="minMax"/>
          <c:max val="24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067083968"/>
        <c:crosses val="autoZero"/>
        <c:crossBetween val="between"/>
        <c:majorUnit val="50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046750826680301E-2"/>
          <c:y val="0.85327288634375253"/>
          <c:w val="0.95810603430951646"/>
          <c:h val="0.12582847206795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Risultato_amministrazione!$B$3:$I$3</c:f>
              <c:numCache>
                <c:formatCode>#,##0</c:formatCode>
                <c:ptCount val="8"/>
                <c:pt idx="0">
                  <c:v>1217352663.4100001</c:v>
                </c:pt>
                <c:pt idx="1">
                  <c:v>1378268203.3</c:v>
                </c:pt>
                <c:pt idx="2">
                  <c:v>1417355525.8199999</c:v>
                </c:pt>
                <c:pt idx="3">
                  <c:v>1526592133.5999999</c:v>
                </c:pt>
                <c:pt idx="4">
                  <c:v>1466751481.0999999</c:v>
                </c:pt>
                <c:pt idx="5">
                  <c:v>1330867924.55</c:v>
                </c:pt>
                <c:pt idx="6">
                  <c:v>1240251207.8399999</c:v>
                </c:pt>
                <c:pt idx="7">
                  <c:v>1228689170.1400001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Risultato_amministrazione!$B$4:$I$4</c:f>
              <c:numCache>
                <c:formatCode>#,##0</c:formatCode>
                <c:ptCount val="8"/>
                <c:pt idx="0">
                  <c:v>746896729.25</c:v>
                </c:pt>
                <c:pt idx="1">
                  <c:v>862829390.63999999</c:v>
                </c:pt>
                <c:pt idx="2">
                  <c:v>850746846.19000006</c:v>
                </c:pt>
                <c:pt idx="3">
                  <c:v>875958406.75999999</c:v>
                </c:pt>
                <c:pt idx="4">
                  <c:v>785335348.04999995</c:v>
                </c:pt>
                <c:pt idx="5">
                  <c:v>505648546.76999998</c:v>
                </c:pt>
                <c:pt idx="6">
                  <c:v>326534180.73000002</c:v>
                </c:pt>
                <c:pt idx="7">
                  <c:v>357382948.5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7069824"/>
        <c:axId val="-1067082336"/>
      </c:lineChart>
      <c:catAx>
        <c:axId val="-10670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067082336"/>
        <c:crosses val="autoZero"/>
        <c:auto val="1"/>
        <c:lblAlgn val="ctr"/>
        <c:lblOffset val="100"/>
        <c:noMultiLvlLbl val="0"/>
      </c:catAx>
      <c:valAx>
        <c:axId val="-1067082336"/>
        <c:scaling>
          <c:orientation val="minMax"/>
          <c:max val="170000000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1067069824"/>
        <c:crosses val="autoZero"/>
        <c:crossBetween val="between"/>
        <c:majorUnit val="5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Risultato_amministrazione!$B$3:$I$3</c:f>
              <c:numCache>
                <c:formatCode>#,##0</c:formatCode>
                <c:ptCount val="8"/>
                <c:pt idx="0">
                  <c:v>1217352663.4100001</c:v>
                </c:pt>
                <c:pt idx="1">
                  <c:v>1378268203.3</c:v>
                </c:pt>
                <c:pt idx="2">
                  <c:v>1417355525.8199999</c:v>
                </c:pt>
                <c:pt idx="3">
                  <c:v>1526592133.5999999</c:v>
                </c:pt>
                <c:pt idx="4">
                  <c:v>1466751481.0999999</c:v>
                </c:pt>
                <c:pt idx="5">
                  <c:v>1330867924.55</c:v>
                </c:pt>
                <c:pt idx="6">
                  <c:v>1240251207.8399999</c:v>
                </c:pt>
                <c:pt idx="7">
                  <c:v>1228689170.1400001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0-4566-BAA9-AA8B82BC92A7}"/>
            </c:ext>
          </c:extLst>
        </c:ser>
        <c:ser>
          <c:idx val="1"/>
          <c:order val="1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Risultato_amministrazione!$B$8:$I$8</c:f>
              <c:numCache>
                <c:formatCode>#,##0</c:formatCode>
                <c:ptCount val="8"/>
                <c:pt idx="0">
                  <c:v>536078127.98000002</c:v>
                </c:pt>
                <c:pt idx="1">
                  <c:v>575119859.03999996</c:v>
                </c:pt>
                <c:pt idx="2">
                  <c:v>576970344.80999994</c:v>
                </c:pt>
                <c:pt idx="3">
                  <c:v>661350352.87</c:v>
                </c:pt>
                <c:pt idx="4">
                  <c:v>865475474.47000003</c:v>
                </c:pt>
                <c:pt idx="5">
                  <c:v>736570062.97000003</c:v>
                </c:pt>
                <c:pt idx="6">
                  <c:v>725441887.64999998</c:v>
                </c:pt>
                <c:pt idx="7">
                  <c:v>699839563.12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067082880"/>
        <c:axId val="-1067081792"/>
      </c:barChart>
      <c:lineChart>
        <c:grouping val="standard"/>
        <c:varyColors val="0"/>
        <c:ser>
          <c:idx val="2"/>
          <c:order val="2"/>
          <c:tx>
            <c:strRef>
              <c:f>Risultato_amministrazione!$A$23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Risultato_amministrazione!$B$23:$I$23</c:f>
              <c:numCache>
                <c:formatCode>0.0</c:formatCode>
                <c:ptCount val="8"/>
                <c:pt idx="0">
                  <c:v>44.036386832913252</c:v>
                </c:pt>
                <c:pt idx="1">
                  <c:v>41.727717265985333</c:v>
                </c:pt>
                <c:pt idx="2">
                  <c:v>40.70752428020473</c:v>
                </c:pt>
                <c:pt idx="3">
                  <c:v>43.322007123828662</c:v>
                </c:pt>
                <c:pt idx="4">
                  <c:v>59.006279224680313</c:v>
                </c:pt>
                <c:pt idx="5">
                  <c:v>55.345090927715681</c:v>
                </c:pt>
                <c:pt idx="6">
                  <c:v>58.491528414910157</c:v>
                </c:pt>
                <c:pt idx="7">
                  <c:v>56.958226712477533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619808"/>
        <c:axId val="-1093843680"/>
      </c:lineChart>
      <c:catAx>
        <c:axId val="-106708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067081792"/>
        <c:crosses val="autoZero"/>
        <c:auto val="1"/>
        <c:lblAlgn val="ctr"/>
        <c:lblOffset val="100"/>
        <c:noMultiLvlLbl val="0"/>
      </c:catAx>
      <c:valAx>
        <c:axId val="-10670817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067082880"/>
        <c:crosses val="autoZero"/>
        <c:crossBetween val="between"/>
      </c:valAx>
      <c:valAx>
        <c:axId val="-1093843680"/>
        <c:scaling>
          <c:orientation val="minMax"/>
          <c:min val="2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060619808"/>
        <c:crosses val="max"/>
        <c:crossBetween val="between"/>
      </c:valAx>
      <c:catAx>
        <c:axId val="-106061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0938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797292686192611E-2"/>
          <c:y val="1.922709889938996E-2"/>
          <c:w val="0.93529845404331324"/>
          <c:h val="0.96124949598691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6-4955-B5B9-EEFC553F8D7E}"/>
              </c:ext>
            </c:extLst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683505950023693E-3"/>
                  <c:y val="-3.841731717429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452-41DC-B25A-48B8A55670D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Conto_economico!$C$1:$J$1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Conto_economico!$C$28:$J$28</c:f>
              <c:numCache>
                <c:formatCode>#,##0</c:formatCode>
                <c:ptCount val="8"/>
                <c:pt idx="0">
                  <c:v>358896801.04999995</c:v>
                </c:pt>
                <c:pt idx="1">
                  <c:v>30869279.679999795</c:v>
                </c:pt>
                <c:pt idx="2">
                  <c:v>117409638.95000026</c:v>
                </c:pt>
                <c:pt idx="3">
                  <c:v>196680418.16999993</c:v>
                </c:pt>
                <c:pt idx="4">
                  <c:v>-524326081.56000012</c:v>
                </c:pt>
                <c:pt idx="5">
                  <c:v>41400199.000000015</c:v>
                </c:pt>
                <c:pt idx="6">
                  <c:v>292886566.9200002</c:v>
                </c:pt>
                <c:pt idx="7">
                  <c:v>13223649.980000153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612192"/>
        <c:axId val="-1060621440"/>
      </c:barChart>
      <c:catAx>
        <c:axId val="-106061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1060621440"/>
        <c:crosses val="autoZero"/>
        <c:auto val="1"/>
        <c:lblAlgn val="ctr"/>
        <c:lblOffset val="100"/>
        <c:noMultiLvlLbl val="0"/>
      </c:catAx>
      <c:valAx>
        <c:axId val="-1060621440"/>
        <c:scaling>
          <c:orientation val="minMax"/>
          <c:max val="450000000"/>
        </c:scaling>
        <c:delete val="0"/>
        <c:axPos val="b"/>
        <c:numFmt formatCode="#,##0" sourceLinked="1"/>
        <c:majorTickMark val="none"/>
        <c:minorTickMark val="none"/>
        <c:tickLblPos val="none"/>
        <c:spPr>
          <a:noFill/>
          <a:ln>
            <a:noFill/>
          </a:ln>
        </c:spPr>
        <c:txPr>
          <a:bodyPr/>
          <a:lstStyle/>
          <a:p>
            <a:pPr>
              <a:defRPr sz="1200"/>
            </a:pPr>
            <a:endParaRPr lang="it-IT"/>
          </a:p>
        </c:txPr>
        <c:crossAx val="-10606121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Stato_patrimoniale!$A$21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Stato_patrimoniale!$B$21:$I$21</c:f>
              <c:numCache>
                <c:formatCode>#,##0</c:formatCode>
                <c:ptCount val="8"/>
                <c:pt idx="0">
                  <c:v>3642107305.4099998</c:v>
                </c:pt>
                <c:pt idx="1">
                  <c:v>3691357918.0799999</c:v>
                </c:pt>
                <c:pt idx="2">
                  <c:v>3555341782.5500002</c:v>
                </c:pt>
                <c:pt idx="3">
                  <c:v>3429496059.1500001</c:v>
                </c:pt>
                <c:pt idx="4">
                  <c:v>3360910301.0100002</c:v>
                </c:pt>
                <c:pt idx="5">
                  <c:v>3325654823.8699999</c:v>
                </c:pt>
                <c:pt idx="6">
                  <c:v>3129027825.3400002</c:v>
                </c:pt>
                <c:pt idx="7">
                  <c:v>3009032249.3600001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Stato_patrimoniale!$A$22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Stato_patrimoniale!$B$22:$I$22</c:f>
              <c:numCache>
                <c:formatCode>#,##0</c:formatCode>
                <c:ptCount val="8"/>
                <c:pt idx="0">
                  <c:v>122560032.76000001</c:v>
                </c:pt>
                <c:pt idx="1">
                  <c:v>366810113.72000003</c:v>
                </c:pt>
                <c:pt idx="2">
                  <c:v>434777318.48000002</c:v>
                </c:pt>
                <c:pt idx="3">
                  <c:v>436459705.22000003</c:v>
                </c:pt>
                <c:pt idx="4">
                  <c:v>304880370.38</c:v>
                </c:pt>
                <c:pt idx="5">
                  <c:v>216393167.43000001</c:v>
                </c:pt>
                <c:pt idx="6">
                  <c:v>174435082.22</c:v>
                </c:pt>
                <c:pt idx="7">
                  <c:v>176535700.12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Stato_patrimoniale!$A$23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Stato_patrimoniale!$B$23:$I$23</c:f>
              <c:numCache>
                <c:formatCode>#,##0</c:formatCode>
                <c:ptCount val="8"/>
                <c:pt idx="0">
                  <c:v>288325236.74000001</c:v>
                </c:pt>
                <c:pt idx="1">
                  <c:v>48702400.490000002</c:v>
                </c:pt>
                <c:pt idx="2">
                  <c:v>62922557.630000003</c:v>
                </c:pt>
                <c:pt idx="3">
                  <c:v>85120414.180000007</c:v>
                </c:pt>
                <c:pt idx="4">
                  <c:v>64463989.890000001</c:v>
                </c:pt>
                <c:pt idx="5">
                  <c:v>59307918.890000001</c:v>
                </c:pt>
                <c:pt idx="6">
                  <c:v>64035892.869999997</c:v>
                </c:pt>
                <c:pt idx="7">
                  <c:v>76008288.670000002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Stato_patrimoniale!$A$24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Stato_patrimoniale!$B$24:$I$24</c:f>
              <c:numCache>
                <c:formatCode>#,##0</c:formatCode>
                <c:ptCount val="8"/>
                <c:pt idx="0">
                  <c:v>312575977.78000003</c:v>
                </c:pt>
                <c:pt idx="1">
                  <c:v>189629094.31</c:v>
                </c:pt>
                <c:pt idx="2">
                  <c:v>86536420.819999993</c:v>
                </c:pt>
                <c:pt idx="3">
                  <c:v>100807706.03</c:v>
                </c:pt>
                <c:pt idx="4">
                  <c:v>113108757.40000001</c:v>
                </c:pt>
                <c:pt idx="5">
                  <c:v>112400956.75</c:v>
                </c:pt>
                <c:pt idx="6">
                  <c:v>85757810.579999998</c:v>
                </c:pt>
                <c:pt idx="7">
                  <c:v>96924224.120000005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0622528"/>
        <c:axId val="-1060620896"/>
      </c:barChart>
      <c:catAx>
        <c:axId val="-106062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060620896"/>
        <c:crosses val="autoZero"/>
        <c:auto val="1"/>
        <c:lblAlgn val="ctr"/>
        <c:lblOffset val="100"/>
        <c:noMultiLvlLbl val="0"/>
      </c:catAx>
      <c:valAx>
        <c:axId val="-1060620896"/>
        <c:scaling>
          <c:orientation val="minMax"/>
          <c:max val="470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1060622528"/>
        <c:crosses val="autoZero"/>
        <c:crossBetween val="between"/>
        <c:majorUnit val="10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667982447076241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Stato_patrimoniale!$A$14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Stato_patrimoniale!$B$14:$I$14</c:f>
              <c:numCache>
                <c:formatCode>#,##0</c:formatCode>
                <c:ptCount val="8"/>
                <c:pt idx="0">
                  <c:v>3130253268.46</c:v>
                </c:pt>
                <c:pt idx="1">
                  <c:v>3130253268.46</c:v>
                </c:pt>
                <c:pt idx="2">
                  <c:v>475873923.25999999</c:v>
                </c:pt>
                <c:pt idx="3">
                  <c:v>496254121.69</c:v>
                </c:pt>
                <c:pt idx="4">
                  <c:v>498167140.60000002</c:v>
                </c:pt>
                <c:pt idx="5">
                  <c:v>498167140.60000002</c:v>
                </c:pt>
                <c:pt idx="6">
                  <c:v>498167140.60000002</c:v>
                </c:pt>
                <c:pt idx="7">
                  <c:v>498167140.60000002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Stato_patrimoniale!$A$15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Stato_patrimoniale!$B$15:$I$15</c:f>
              <c:numCache>
                <c:formatCode>#,##0</c:formatCode>
                <c:ptCount val="8"/>
                <c:pt idx="0">
                  <c:v>391721971.71999979</c:v>
                </c:pt>
                <c:pt idx="1">
                  <c:v>371214370.58999997</c:v>
                </c:pt>
                <c:pt idx="2">
                  <c:v>2960043613.5100002</c:v>
                </c:pt>
                <c:pt idx="3">
                  <c:v>5260860742.6700001</c:v>
                </c:pt>
                <c:pt idx="4">
                  <c:v>5497822772.8400002</c:v>
                </c:pt>
                <c:pt idx="5">
                  <c:v>5111346077.25</c:v>
                </c:pt>
                <c:pt idx="6">
                  <c:v>5193643456.0900002</c:v>
                </c:pt>
                <c:pt idx="7">
                  <c:v>5186366862.5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Stato_patrimoniale!$A$17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Stato_patrimoniale!$B$17:$I$17</c:f>
              <c:numCache>
                <c:formatCode>#,##0</c:formatCode>
                <c:ptCount val="8"/>
                <c:pt idx="0">
                  <c:v>0</c:v>
                </c:pt>
                <c:pt idx="1">
                  <c:v>30869279.68</c:v>
                </c:pt>
                <c:pt idx="2">
                  <c:v>117409638.95</c:v>
                </c:pt>
                <c:pt idx="3">
                  <c:v>196680418.16999999</c:v>
                </c:pt>
                <c:pt idx="4">
                  <c:v>-524326080.75</c:v>
                </c:pt>
                <c:pt idx="5">
                  <c:v>41400199</c:v>
                </c:pt>
                <c:pt idx="6">
                  <c:v>292886566.92000002</c:v>
                </c:pt>
                <c:pt idx="7">
                  <c:v>13223649.98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ser>
          <c:idx val="3"/>
          <c:order val="3"/>
          <c:tx>
            <c:strRef>
              <c:f>Stato_patrimoniale!$A$18</c:f>
              <c:strCache>
                <c:ptCount val="1"/>
                <c:pt idx="0">
                  <c:v>Risultato economico di esercizi precedenti (A4)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Stato_patrimoniale!$B$18:$I$18</c:f>
              <c:numCache>
                <c:formatCode>#,##0</c:formatCode>
                <c:ptCount val="8"/>
                <c:pt idx="5">
                  <c:v>253916678.75999999</c:v>
                </c:pt>
                <c:pt idx="6">
                  <c:v>295316877.75999999</c:v>
                </c:pt>
                <c:pt idx="7">
                  <c:v>588203444.67999995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0620352"/>
        <c:axId val="-1060619264"/>
      </c:barChart>
      <c:catAx>
        <c:axId val="-106062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1060619264"/>
        <c:crosses val="autoZero"/>
        <c:auto val="1"/>
        <c:lblAlgn val="ctr"/>
        <c:lblOffset val="100"/>
        <c:noMultiLvlLbl val="0"/>
      </c:catAx>
      <c:valAx>
        <c:axId val="-1060619264"/>
        <c:scaling>
          <c:orientation val="minMax"/>
          <c:max val="6500000000"/>
          <c:min val="-1000000000"/>
        </c:scaling>
        <c:delete val="0"/>
        <c:axPos val="b"/>
        <c:numFmt formatCode="0.E+00" sourceLinked="0"/>
        <c:majorTickMark val="none"/>
        <c:minorTickMark val="none"/>
        <c:tickLblPos val="nextTo"/>
        <c:crossAx val="-1060620352"/>
        <c:crosses val="autoZero"/>
        <c:crossBetween val="between"/>
        <c:majorUnit val="10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144E-2"/>
          <c:w val="0.9122663790737473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Piano_indicatori!$A$72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Piano_indicatori!$D$73:$J$73</c:f>
              <c:numCache>
                <c:formatCode>0.00</c:formatCode>
                <c:ptCount val="7"/>
                <c:pt idx="0">
                  <c:v>61.7</c:v>
                </c:pt>
                <c:pt idx="1">
                  <c:v>62.294605372744982</c:v>
                </c:pt>
                <c:pt idx="2">
                  <c:v>61.578265789194433</c:v>
                </c:pt>
                <c:pt idx="3">
                  <c:v>61.62605934358217</c:v>
                </c:pt>
                <c:pt idx="4">
                  <c:v>60.875339620360592</c:v>
                </c:pt>
                <c:pt idx="5">
                  <c:v>62.127870575270563</c:v>
                </c:pt>
                <c:pt idx="6">
                  <c:v>60.482999999999997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Piano_indicatori!$A$76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Piano_indicatori!$D$76:$J$76</c:f>
              <c:numCache>
                <c:formatCode>0.00</c:formatCode>
                <c:ptCount val="7"/>
                <c:pt idx="0">
                  <c:v>61.549529630332458</c:v>
                </c:pt>
                <c:pt idx="1">
                  <c:v>61.321030612273205</c:v>
                </c:pt>
                <c:pt idx="2">
                  <c:v>65.464491540718939</c:v>
                </c:pt>
                <c:pt idx="3">
                  <c:v>67.215517016568768</c:v>
                </c:pt>
                <c:pt idx="4">
                  <c:v>69.453373304521932</c:v>
                </c:pt>
                <c:pt idx="5">
                  <c:v>71.60508269166796</c:v>
                </c:pt>
                <c:pt idx="6">
                  <c:v>67.166482376857971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Piano_indicatori!$A$77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Piano_indicatori!$D$77:$J$77</c:f>
              <c:numCache>
                <c:formatCode>0.00</c:formatCode>
                <c:ptCount val="7"/>
                <c:pt idx="0">
                  <c:v>59.364108322017728</c:v>
                </c:pt>
                <c:pt idx="1">
                  <c:v>58.641988937758818</c:v>
                </c:pt>
                <c:pt idx="2">
                  <c:v>63.440234775775942</c:v>
                </c:pt>
                <c:pt idx="3">
                  <c:v>65.547478962035967</c:v>
                </c:pt>
                <c:pt idx="4">
                  <c:v>68.194885676403871</c:v>
                </c:pt>
                <c:pt idx="5">
                  <c:v>65.580695486760078</c:v>
                </c:pt>
                <c:pt idx="6">
                  <c:v>55.197532673940188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611104"/>
        <c:axId val="-1060624160"/>
      </c:lineChart>
      <c:catAx>
        <c:axId val="-10606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060624160"/>
        <c:crosses val="autoZero"/>
        <c:auto val="1"/>
        <c:lblAlgn val="ctr"/>
        <c:lblOffset val="100"/>
        <c:noMultiLvlLbl val="0"/>
      </c:catAx>
      <c:valAx>
        <c:axId val="-1060624160"/>
        <c:scaling>
          <c:orientation val="minMax"/>
          <c:max val="75"/>
          <c:min val="55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1060611104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7755"/>
          <c:w val="0.96177967444791301"/>
          <c:h val="0.179568046015525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912E-2"/>
          <c:w val="0.9029842635309353"/>
          <c:h val="0.70081924906860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Piano_indicatori!$B$79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Piano_indicatori!$D$79:$J$79</c:f>
              <c:numCache>
                <c:formatCode>0.00</c:formatCode>
                <c:ptCount val="7"/>
                <c:pt idx="0">
                  <c:v>6.9636458811282349</c:v>
                </c:pt>
                <c:pt idx="1">
                  <c:v>6.5973387006597344</c:v>
                </c:pt>
                <c:pt idx="2">
                  <c:v>5.1510600322145308</c:v>
                </c:pt>
                <c:pt idx="3">
                  <c:v>4.8722948153095409</c:v>
                </c:pt>
                <c:pt idx="4">
                  <c:v>4.8430758819050848</c:v>
                </c:pt>
                <c:pt idx="5">
                  <c:v>6.3226685911314249</c:v>
                </c:pt>
                <c:pt idx="6">
                  <c:v>9.9282991041310389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Piano_indicatori!$B$80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Piano_indicatori!$D$80:$J$80</c:f>
              <c:numCache>
                <c:formatCode>0.00</c:formatCode>
                <c:ptCount val="7"/>
                <c:pt idx="0">
                  <c:v>9.4879841202314008</c:v>
                </c:pt>
                <c:pt idx="1">
                  <c:v>10.242647881024263</c:v>
                </c:pt>
                <c:pt idx="2">
                  <c:v>7.7902572809194197</c:v>
                </c:pt>
                <c:pt idx="3">
                  <c:v>7.6946278721547756</c:v>
                </c:pt>
                <c:pt idx="4">
                  <c:v>8.0111665679722535</c:v>
                </c:pt>
                <c:pt idx="5">
                  <c:v>9.7466121401651833</c:v>
                </c:pt>
                <c:pt idx="6">
                  <c:v>12.852817045044478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Piano_indicatori!$B$81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Piano_indicatori!$D$81:$J$81</c:f>
              <c:numCache>
                <c:formatCode>0.00</c:formatCode>
                <c:ptCount val="7"/>
                <c:pt idx="0">
                  <c:v>5.9930528012671962</c:v>
                </c:pt>
                <c:pt idx="1">
                  <c:v>5.4679637705467954</c:v>
                </c:pt>
                <c:pt idx="2">
                  <c:v>7.7412824866135574</c:v>
                </c:pt>
                <c:pt idx="3">
                  <c:v>3.8543159074016216</c:v>
                </c:pt>
                <c:pt idx="4">
                  <c:v>7.2180864563065734</c:v>
                </c:pt>
                <c:pt idx="5">
                  <c:v>11.369042846069549</c:v>
                </c:pt>
                <c:pt idx="6">
                  <c:v>17.227042377269093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Piano_indicatori!$B$82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Piano_indicatori!$D$82:$J$82</c:f>
              <c:numCache>
                <c:formatCode>0.00</c:formatCode>
                <c:ptCount val="7"/>
                <c:pt idx="0">
                  <c:v>8.833471515973141</c:v>
                </c:pt>
                <c:pt idx="1">
                  <c:v>9.2474561109247446</c:v>
                </c:pt>
                <c:pt idx="2">
                  <c:v>9.5620565060293412</c:v>
                </c:pt>
                <c:pt idx="3">
                  <c:v>7.8939147483060621</c:v>
                </c:pt>
                <c:pt idx="4">
                  <c:v>8.6139074528381716</c:v>
                </c:pt>
                <c:pt idx="5">
                  <c:v>11.185951407264854</c:v>
                </c:pt>
                <c:pt idx="6">
                  <c:v>16.13819288639252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0611648"/>
        <c:axId val="-1060623072"/>
      </c:barChart>
      <c:catAx>
        <c:axId val="-1060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1060623072"/>
        <c:crosses val="autoZero"/>
        <c:auto val="1"/>
        <c:lblAlgn val="ctr"/>
        <c:lblOffset val="100"/>
        <c:noMultiLvlLbl val="0"/>
      </c:catAx>
      <c:valAx>
        <c:axId val="-1060623072"/>
        <c:scaling>
          <c:orientation val="minMax"/>
          <c:max val="6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1060611648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224800644412883E-2"/>
          <c:y val="0.86278047315622064"/>
          <c:w val="0.97519010564208164"/>
          <c:h val="0.1094420097408996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1</xdr:row>
      <xdr:rowOff>22860</xdr:rowOff>
    </xdr:from>
    <xdr:to>
      <xdr:col>16</xdr:col>
      <xdr:colOff>281940</xdr:colOff>
      <xdr:row>17</xdr:row>
      <xdr:rowOff>175260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541020</xdr:colOff>
      <xdr:row>89</xdr:row>
      <xdr:rowOff>118110</xdr:rowOff>
    </xdr:from>
    <xdr:to>
      <xdr:col>20</xdr:col>
      <xdr:colOff>403860</xdr:colOff>
      <xdr:row>109</xdr:row>
      <xdr:rowOff>106680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23</xdr:row>
      <xdr:rowOff>123824</xdr:rowOff>
    </xdr:from>
    <xdr:to>
      <xdr:col>11</xdr:col>
      <xdr:colOff>561975</xdr:colOff>
      <xdr:row>46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1485900</xdr:colOff>
      <xdr:row>48</xdr:row>
      <xdr:rowOff>171450</xdr:rowOff>
    </xdr:from>
    <xdr:to>
      <xdr:col>12</xdr:col>
      <xdr:colOff>228600</xdr:colOff>
      <xdr:row>71</xdr:row>
      <xdr:rowOff>28575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594359</xdr:colOff>
      <xdr:row>32</xdr:row>
      <xdr:rowOff>102869</xdr:rowOff>
    </xdr:from>
    <xdr:to>
      <xdr:col>12</xdr:col>
      <xdr:colOff>299084</xdr:colOff>
      <xdr:row>53</xdr:row>
      <xdr:rowOff>30480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29</xdr:row>
      <xdr:rowOff>38100</xdr:rowOff>
    </xdr:from>
    <xdr:to>
      <xdr:col>5</xdr:col>
      <xdr:colOff>295275</xdr:colOff>
      <xdr:row>49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52</xdr:row>
      <xdr:rowOff>85724</xdr:rowOff>
    </xdr:from>
    <xdr:to>
      <xdr:col>9</xdr:col>
      <xdr:colOff>514350</xdr:colOff>
      <xdr:row>77</xdr:row>
      <xdr:rowOff>144779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178</xdr:row>
      <xdr:rowOff>28576</xdr:rowOff>
    </xdr:from>
    <xdr:to>
      <xdr:col>2</xdr:col>
      <xdr:colOff>752475</xdr:colOff>
      <xdr:row>196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198</xdr:row>
      <xdr:rowOff>123823</xdr:rowOff>
    </xdr:from>
    <xdr:to>
      <xdr:col>3</xdr:col>
      <xdr:colOff>85724</xdr:colOff>
      <xdr:row>216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3</xdr:col>
      <xdr:colOff>123825</xdr:colOff>
      <xdr:row>236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94</xdr:row>
      <xdr:rowOff>161924</xdr:rowOff>
    </xdr:from>
    <xdr:to>
      <xdr:col>3</xdr:col>
      <xdr:colOff>123825</xdr:colOff>
      <xdr:row>112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142875</xdr:rowOff>
    </xdr:from>
    <xdr:to>
      <xdr:col>3</xdr:col>
      <xdr:colOff>123825</xdr:colOff>
      <xdr:row>133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3</xdr:col>
      <xdr:colOff>123825</xdr:colOff>
      <xdr:row>154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3</xdr:col>
      <xdr:colOff>123825</xdr:colOff>
      <xdr:row>175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11</xdr:row>
      <xdr:rowOff>19048</xdr:rowOff>
    </xdr:from>
    <xdr:to>
      <xdr:col>11</xdr:col>
      <xdr:colOff>561975</xdr:colOff>
      <xdr:row>29</xdr:row>
      <xdr:rowOff>152399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T3" sqref="T3:U53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bestFit="1" customWidth="1"/>
    <col min="10" max="10" width="7.109375" customWidth="1"/>
    <col min="11" max="12" width="15.33203125" bestFit="1" customWidth="1"/>
    <col min="13" max="13" width="7.109375" customWidth="1"/>
    <col min="14" max="15" width="15.33203125" bestFit="1" customWidth="1"/>
    <col min="16" max="16" width="7.109375" customWidth="1"/>
    <col min="17" max="18" width="15.33203125" bestFit="1" customWidth="1"/>
    <col min="19" max="19" width="7.109375" customWidth="1"/>
    <col min="20" max="21" width="15.33203125" bestFit="1" customWidth="1"/>
    <col min="22" max="22" width="7.109375" customWidth="1"/>
  </cols>
  <sheetData>
    <row r="1" spans="1:24" x14ac:dyDescent="0.3">
      <c r="B1" s="137">
        <v>2016</v>
      </c>
      <c r="C1" s="137"/>
      <c r="D1" s="138"/>
      <c r="E1" s="139">
        <v>2017</v>
      </c>
      <c r="F1" s="140"/>
      <c r="G1" s="141"/>
      <c r="H1" s="139">
        <v>2018</v>
      </c>
      <c r="I1" s="140"/>
      <c r="J1" s="141"/>
      <c r="K1" s="139">
        <v>2019</v>
      </c>
      <c r="L1" s="140"/>
      <c r="M1" s="141"/>
      <c r="N1" s="139">
        <v>2020</v>
      </c>
      <c r="O1" s="140"/>
      <c r="P1" s="141"/>
      <c r="Q1" s="139">
        <v>2021</v>
      </c>
      <c r="R1" s="140"/>
      <c r="S1" s="141"/>
      <c r="T1" s="139">
        <v>2022</v>
      </c>
      <c r="U1" s="140"/>
      <c r="V1" s="141"/>
      <c r="W1" s="136" t="s">
        <v>233</v>
      </c>
      <c r="X1" s="136"/>
    </row>
    <row r="2" spans="1:24" x14ac:dyDescent="0.3">
      <c r="B2" s="18" t="s">
        <v>73</v>
      </c>
      <c r="C2" s="18" t="s">
        <v>74</v>
      </c>
      <c r="D2" s="19" t="s">
        <v>234</v>
      </c>
      <c r="E2" s="26" t="s">
        <v>73</v>
      </c>
      <c r="F2" s="18" t="s">
        <v>74</v>
      </c>
      <c r="G2" s="19" t="s">
        <v>234</v>
      </c>
      <c r="H2" s="26" t="s">
        <v>73</v>
      </c>
      <c r="I2" s="18" t="s">
        <v>74</v>
      </c>
      <c r="J2" s="19" t="s">
        <v>234</v>
      </c>
      <c r="K2" s="26" t="s">
        <v>73</v>
      </c>
      <c r="L2" s="107" t="s">
        <v>74</v>
      </c>
      <c r="M2" s="108" t="s">
        <v>234</v>
      </c>
      <c r="N2" s="26" t="s">
        <v>73</v>
      </c>
      <c r="O2" s="117" t="s">
        <v>74</v>
      </c>
      <c r="P2" s="118" t="s">
        <v>234</v>
      </c>
      <c r="Q2" s="26" t="s">
        <v>73</v>
      </c>
      <c r="R2" s="120" t="s">
        <v>74</v>
      </c>
      <c r="S2" s="121" t="s">
        <v>234</v>
      </c>
      <c r="T2" s="26" t="s">
        <v>73</v>
      </c>
      <c r="U2" s="103" t="s">
        <v>74</v>
      </c>
      <c r="V2" s="104" t="s">
        <v>234</v>
      </c>
      <c r="W2" s="13" t="s">
        <v>73</v>
      </c>
      <c r="X2" s="13" t="s">
        <v>74</v>
      </c>
    </row>
    <row r="3" spans="1:24" x14ac:dyDescent="0.3">
      <c r="A3" t="s">
        <v>20</v>
      </c>
      <c r="B3" s="31">
        <v>820597741.66999996</v>
      </c>
      <c r="C3" s="31">
        <v>643371822.85000002</v>
      </c>
      <c r="D3" s="21">
        <f>IF(B3&gt;0,C3/B3*100,"-")</f>
        <v>78.40282640074939</v>
      </c>
      <c r="E3" s="31">
        <v>820344561.67999995</v>
      </c>
      <c r="F3" s="31">
        <v>647134522.54999995</v>
      </c>
      <c r="G3" s="21">
        <f>IF(E3&gt;0,F3/E3*100,"-")</f>
        <v>78.885696666864007</v>
      </c>
      <c r="H3" s="27">
        <v>822963144.71000004</v>
      </c>
      <c r="I3" s="20">
        <v>660064148.32000005</v>
      </c>
      <c r="J3" s="21">
        <f>IF(H3&gt;0,I3/H3*100,"-")</f>
        <v>80.205796889312325</v>
      </c>
      <c r="K3" s="27">
        <v>834522791.54999995</v>
      </c>
      <c r="L3" s="20">
        <v>665565976.87</v>
      </c>
      <c r="M3" s="21">
        <f>IF(K3&gt;0,L3/K3*100,"-")</f>
        <v>79.754080249121998</v>
      </c>
      <c r="N3" s="27">
        <v>794186251.97000003</v>
      </c>
      <c r="O3" s="20">
        <v>631078644.24000001</v>
      </c>
      <c r="P3" s="21">
        <f>IF(N3&gt;0,O3/N3*100,"-")</f>
        <v>79.46229775126335</v>
      </c>
      <c r="Q3" s="27">
        <v>803103706.33000004</v>
      </c>
      <c r="R3" s="20">
        <v>647482983.44000006</v>
      </c>
      <c r="S3" s="21">
        <f>IF(Q3&gt;0,R3/Q3*100,"-")</f>
        <v>80.622586888416819</v>
      </c>
      <c r="T3" s="27">
        <v>814439029.03999996</v>
      </c>
      <c r="U3" s="20">
        <v>646316790.13</v>
      </c>
      <c r="V3" s="21">
        <f>IF(T3&gt;0,U3/T3*100,"-")</f>
        <v>79.357295891360963</v>
      </c>
      <c r="W3" s="14">
        <f>IF(Q3&gt;0,T3/Q3*100-100,"-")</f>
        <v>1.4114394717214935</v>
      </c>
      <c r="X3" s="14">
        <f>IF(R3&gt;0,U3/R3*100-100,"-")</f>
        <v>-0.18011180831413753</v>
      </c>
    </row>
    <row r="4" spans="1:24" x14ac:dyDescent="0.3">
      <c r="A4" t="s">
        <v>21</v>
      </c>
      <c r="B4" s="31">
        <v>124900393.54000001</v>
      </c>
      <c r="C4" s="31">
        <v>78094847.989999995</v>
      </c>
      <c r="D4" s="21">
        <f t="shared" ref="D4:D21" si="0">IF(B4&gt;0,C4/B4*100,"-")</f>
        <v>62.525702102763759</v>
      </c>
      <c r="E4" s="31">
        <v>122398873.45999999</v>
      </c>
      <c r="F4" s="31">
        <v>74918463.579999998</v>
      </c>
      <c r="G4" s="21">
        <f t="shared" ref="G4:G21" si="1">IF(E4&gt;0,F4/E4*100,"-")</f>
        <v>61.208458429548685</v>
      </c>
      <c r="H4" s="27">
        <v>205846537.19</v>
      </c>
      <c r="I4" s="20">
        <v>131605432.23999999</v>
      </c>
      <c r="J4" s="21">
        <f t="shared" ref="J4:J21" si="2">IF(H4&gt;0,I4/H4*100,"-")</f>
        <v>63.933760575494091</v>
      </c>
      <c r="K4" s="27">
        <v>152776718.56</v>
      </c>
      <c r="L4" s="20">
        <v>99968379.959999993</v>
      </c>
      <c r="M4" s="21">
        <f t="shared" ref="M4:M13" si="3">IF(K4&gt;0,L4/K4*100,"-")</f>
        <v>65.434302361154209</v>
      </c>
      <c r="N4" s="27">
        <v>272432495.35000002</v>
      </c>
      <c r="O4" s="20">
        <v>208430772.08000001</v>
      </c>
      <c r="P4" s="21">
        <f t="shared" ref="P4:P13" si="4">IF(N4&gt;0,O4/N4*100,"-")</f>
        <v>76.507309384008835</v>
      </c>
      <c r="Q4" s="27">
        <v>418775537.76999998</v>
      </c>
      <c r="R4" s="20">
        <v>322950531.20999998</v>
      </c>
      <c r="S4" s="21">
        <f t="shared" ref="S4:S13" si="5">IF(Q4&gt;0,R4/Q4*100,"-")</f>
        <v>77.117811830587627</v>
      </c>
      <c r="T4" s="27">
        <v>280929374.43000001</v>
      </c>
      <c r="U4" s="20">
        <v>189977611.87</v>
      </c>
      <c r="V4" s="21">
        <f t="shared" ref="V4:V13" si="6">IF(T4&gt;0,U4/T4*100,"-")</f>
        <v>67.624687612486483</v>
      </c>
      <c r="W4" s="14">
        <f t="shared" ref="W4:X58" si="7">IF(Q4&gt;0,T4/Q4*100-100,"-")</f>
        <v>-32.916479332588878</v>
      </c>
      <c r="X4" s="14">
        <f t="shared" si="7"/>
        <v>-41.17439251200171</v>
      </c>
    </row>
    <row r="5" spans="1:24" x14ac:dyDescent="0.3">
      <c r="A5" t="s">
        <v>22</v>
      </c>
      <c r="B5" s="31">
        <v>304750052.50999999</v>
      </c>
      <c r="C5" s="31">
        <v>144468393.28</v>
      </c>
      <c r="D5" s="21">
        <f t="shared" si="0"/>
        <v>47.40553515581739</v>
      </c>
      <c r="E5" s="31">
        <v>323936871.73000002</v>
      </c>
      <c r="F5" s="31">
        <v>160902440.53</v>
      </c>
      <c r="G5" s="21">
        <f t="shared" si="1"/>
        <v>49.670924977046603</v>
      </c>
      <c r="H5" s="27">
        <v>348916905.74000001</v>
      </c>
      <c r="I5" s="20">
        <v>226017450.58000001</v>
      </c>
      <c r="J5" s="21">
        <f t="shared" si="2"/>
        <v>64.776870040347049</v>
      </c>
      <c r="K5" s="27">
        <v>293947344.72000003</v>
      </c>
      <c r="L5" s="20">
        <v>172360380.12</v>
      </c>
      <c r="M5" s="21">
        <f t="shared" si="3"/>
        <v>58.636481402538998</v>
      </c>
      <c r="N5" s="27">
        <v>214079775.69999999</v>
      </c>
      <c r="O5" s="20">
        <v>129687980.86</v>
      </c>
      <c r="P5" s="21">
        <f t="shared" si="4"/>
        <v>60.579277251176613</v>
      </c>
      <c r="Q5" s="27">
        <v>305964153.14999998</v>
      </c>
      <c r="R5" s="20">
        <v>194554431.31999999</v>
      </c>
      <c r="S5" s="21">
        <f t="shared" si="5"/>
        <v>63.587328553688124</v>
      </c>
      <c r="T5" s="27">
        <v>310238527.63</v>
      </c>
      <c r="U5" s="20">
        <v>212243142.99000001</v>
      </c>
      <c r="V5" s="21">
        <f t="shared" si="6"/>
        <v>68.412890111162369</v>
      </c>
      <c r="W5" s="14">
        <f t="shared" si="7"/>
        <v>1.3970180611009368</v>
      </c>
      <c r="X5" s="14">
        <f t="shared" si="7"/>
        <v>9.0919089069248145</v>
      </c>
    </row>
    <row r="6" spans="1:24" x14ac:dyDescent="0.3">
      <c r="A6" t="s">
        <v>23</v>
      </c>
      <c r="B6" s="31">
        <v>2798740.64</v>
      </c>
      <c r="C6" s="31">
        <v>2798740.64</v>
      </c>
      <c r="D6" s="21">
        <f t="shared" si="0"/>
        <v>100</v>
      </c>
      <c r="E6" s="31">
        <v>0</v>
      </c>
      <c r="F6" s="31">
        <v>0</v>
      </c>
      <c r="G6" s="21" t="str">
        <f t="shared" si="1"/>
        <v>-</v>
      </c>
      <c r="H6" s="27">
        <v>0</v>
      </c>
      <c r="I6" s="20">
        <v>0</v>
      </c>
      <c r="J6" s="21" t="str">
        <f t="shared" si="2"/>
        <v>-</v>
      </c>
      <c r="K6" s="27">
        <v>84895.24</v>
      </c>
      <c r="L6" s="20">
        <v>84295.24</v>
      </c>
      <c r="M6" s="21">
        <f t="shared" si="3"/>
        <v>99.293246594273128</v>
      </c>
      <c r="N6" s="27">
        <v>175002.28</v>
      </c>
      <c r="O6" s="20">
        <v>87530.96</v>
      </c>
      <c r="P6" s="21">
        <f t="shared" si="4"/>
        <v>50.01703977799604</v>
      </c>
      <c r="Q6" s="27">
        <v>45009.29</v>
      </c>
      <c r="R6" s="20">
        <v>45009.29</v>
      </c>
      <c r="S6" s="21">
        <f t="shared" si="5"/>
        <v>100</v>
      </c>
      <c r="T6" s="27">
        <v>4784</v>
      </c>
      <c r="U6" s="20">
        <v>4784</v>
      </c>
      <c r="V6" s="21">
        <f t="shared" si="6"/>
        <v>100</v>
      </c>
      <c r="W6" s="14">
        <f t="shared" si="7"/>
        <v>-89.371083169718958</v>
      </c>
      <c r="X6" s="14">
        <f t="shared" si="7"/>
        <v>-89.371083169718958</v>
      </c>
    </row>
    <row r="7" spans="1:24" x14ac:dyDescent="0.3">
      <c r="A7" t="s">
        <v>24</v>
      </c>
      <c r="B7" s="31">
        <v>16875063.010000002</v>
      </c>
      <c r="C7" s="31">
        <v>10436984.9</v>
      </c>
      <c r="D7" s="21">
        <f t="shared" si="0"/>
        <v>61.84856846943412</v>
      </c>
      <c r="E7" s="31">
        <v>30483251.469999999</v>
      </c>
      <c r="F7" s="31">
        <v>10266488.27</v>
      </c>
      <c r="G7" s="21">
        <f t="shared" si="1"/>
        <v>33.679111560995167</v>
      </c>
      <c r="H7" s="27">
        <v>68753490.709999993</v>
      </c>
      <c r="I7" s="20">
        <v>20165970.850000001</v>
      </c>
      <c r="J7" s="21">
        <f t="shared" si="2"/>
        <v>29.330831993766566</v>
      </c>
      <c r="K7" s="27">
        <v>17290518.629999999</v>
      </c>
      <c r="L7" s="20">
        <v>7470780.5300000003</v>
      </c>
      <c r="M7" s="21">
        <f t="shared" si="3"/>
        <v>43.207382553799086</v>
      </c>
      <c r="N7" s="27">
        <v>89497111.409999996</v>
      </c>
      <c r="O7" s="20">
        <v>77314452.069999993</v>
      </c>
      <c r="P7" s="21">
        <f t="shared" si="4"/>
        <v>86.3876507877563</v>
      </c>
      <c r="Q7" s="27">
        <v>127838871.98999999</v>
      </c>
      <c r="R7" s="20">
        <v>119753885.8</v>
      </c>
      <c r="S7" s="21">
        <f t="shared" si="5"/>
        <v>93.675643359374732</v>
      </c>
      <c r="T7" s="27">
        <v>128353447.72</v>
      </c>
      <c r="U7" s="20">
        <v>113586097.95</v>
      </c>
      <c r="V7" s="21">
        <f t="shared" si="6"/>
        <v>88.49477748177469</v>
      </c>
      <c r="W7" s="14">
        <f t="shared" si="7"/>
        <v>0.40251898502378936</v>
      </c>
      <c r="X7" s="14">
        <f t="shared" si="7"/>
        <v>-5.1503864019083068</v>
      </c>
    </row>
    <row r="8" spans="1:24" x14ac:dyDescent="0.3">
      <c r="A8" t="s">
        <v>25</v>
      </c>
      <c r="B8" s="31">
        <v>0</v>
      </c>
      <c r="C8" s="31">
        <v>0</v>
      </c>
      <c r="D8" s="21" t="str">
        <f t="shared" si="0"/>
        <v>-</v>
      </c>
      <c r="E8" s="31">
        <v>0</v>
      </c>
      <c r="F8" s="31">
        <v>0</v>
      </c>
      <c r="G8" s="21" t="str">
        <f t="shared" si="1"/>
        <v>-</v>
      </c>
      <c r="H8" s="27">
        <v>0</v>
      </c>
      <c r="I8" s="20">
        <v>0</v>
      </c>
      <c r="J8" s="21" t="str">
        <f t="shared" si="2"/>
        <v>-</v>
      </c>
      <c r="K8" s="27">
        <v>0</v>
      </c>
      <c r="L8" s="20">
        <v>0</v>
      </c>
      <c r="M8" s="21" t="str">
        <f t="shared" si="3"/>
        <v>-</v>
      </c>
      <c r="N8" s="27">
        <v>0</v>
      </c>
      <c r="O8" s="20">
        <v>0</v>
      </c>
      <c r="P8" s="21" t="str">
        <f t="shared" si="4"/>
        <v>-</v>
      </c>
      <c r="Q8" s="27">
        <v>0</v>
      </c>
      <c r="R8" s="20">
        <v>0</v>
      </c>
      <c r="S8" s="21" t="str">
        <f t="shared" si="5"/>
        <v>-</v>
      </c>
      <c r="T8" s="27">
        <v>186700</v>
      </c>
      <c r="U8" s="20">
        <v>186700</v>
      </c>
      <c r="V8" s="21">
        <f t="shared" si="6"/>
        <v>100</v>
      </c>
      <c r="W8" s="14" t="str">
        <f t="shared" si="7"/>
        <v>-</v>
      </c>
      <c r="X8" s="14" t="str">
        <f t="shared" si="7"/>
        <v>-</v>
      </c>
    </row>
    <row r="9" spans="1:24" x14ac:dyDescent="0.3">
      <c r="A9" t="s">
        <v>26</v>
      </c>
      <c r="B9" s="31">
        <v>24729633.09</v>
      </c>
      <c r="C9" s="31">
        <v>11771354.619999999</v>
      </c>
      <c r="D9" s="21">
        <f t="shared" si="0"/>
        <v>47.60019923126162</v>
      </c>
      <c r="E9" s="31">
        <v>4611818.7</v>
      </c>
      <c r="F9" s="31">
        <v>3020008.95</v>
      </c>
      <c r="G9" s="21">
        <f t="shared" si="1"/>
        <v>65.484121264350662</v>
      </c>
      <c r="H9" s="27">
        <v>19963264.559999999</v>
      </c>
      <c r="I9" s="20">
        <v>10374279.359999999</v>
      </c>
      <c r="J9" s="21">
        <f t="shared" si="2"/>
        <v>51.966848051429118</v>
      </c>
      <c r="K9" s="27">
        <v>8583289.1799999997</v>
      </c>
      <c r="L9" s="20">
        <v>4634110.92</v>
      </c>
      <c r="M9" s="21">
        <f t="shared" si="3"/>
        <v>53.989919514747143</v>
      </c>
      <c r="N9" s="27">
        <v>8458303.3699999992</v>
      </c>
      <c r="O9" s="20">
        <v>6857204</v>
      </c>
      <c r="P9" s="21">
        <f t="shared" si="4"/>
        <v>81.07067930811283</v>
      </c>
      <c r="Q9" s="27">
        <v>8555743.7599999998</v>
      </c>
      <c r="R9" s="20">
        <v>6966758.5599999996</v>
      </c>
      <c r="S9" s="21">
        <f t="shared" si="5"/>
        <v>81.427854262900453</v>
      </c>
      <c r="T9" s="27">
        <v>3187069.74</v>
      </c>
      <c r="U9" s="20">
        <v>3187069.74</v>
      </c>
      <c r="V9" s="21">
        <f t="shared" si="6"/>
        <v>100</v>
      </c>
      <c r="W9" s="14">
        <f t="shared" si="7"/>
        <v>-62.749354943280814</v>
      </c>
      <c r="X9" s="14">
        <f t="shared" si="7"/>
        <v>-54.253190884226647</v>
      </c>
    </row>
    <row r="10" spans="1:24" x14ac:dyDescent="0.3">
      <c r="A10" t="s">
        <v>27</v>
      </c>
      <c r="B10" s="31">
        <v>23063182.140000001</v>
      </c>
      <c r="C10" s="31">
        <v>19705018.129999999</v>
      </c>
      <c r="D10" s="21">
        <f t="shared" si="0"/>
        <v>85.439285916336246</v>
      </c>
      <c r="E10" s="31">
        <v>33492759.190000001</v>
      </c>
      <c r="F10" s="31">
        <v>27143464.109999999</v>
      </c>
      <c r="G10" s="21">
        <f t="shared" si="1"/>
        <v>81.04278287739362</v>
      </c>
      <c r="H10" s="27">
        <v>77873121.829999998</v>
      </c>
      <c r="I10" s="20">
        <v>75163204.939999998</v>
      </c>
      <c r="J10" s="21">
        <f t="shared" si="2"/>
        <v>96.520087000087329</v>
      </c>
      <c r="K10" s="27">
        <v>33492988.34</v>
      </c>
      <c r="L10" s="20">
        <v>20121341.699999999</v>
      </c>
      <c r="M10" s="21">
        <f t="shared" si="3"/>
        <v>60.076280729986365</v>
      </c>
      <c r="N10" s="27">
        <v>15644191.16</v>
      </c>
      <c r="O10" s="20">
        <v>14252080.880000001</v>
      </c>
      <c r="P10" s="21">
        <f t="shared" si="4"/>
        <v>91.101423744044823</v>
      </c>
      <c r="Q10" s="27">
        <v>26649937.920000002</v>
      </c>
      <c r="R10" s="20">
        <v>22067219.23</v>
      </c>
      <c r="S10" s="21">
        <f t="shared" si="5"/>
        <v>82.804017391121931</v>
      </c>
      <c r="T10" s="27">
        <v>25928783.460000001</v>
      </c>
      <c r="U10" s="20">
        <v>22117499.649999999</v>
      </c>
      <c r="V10" s="21">
        <f t="shared" si="6"/>
        <v>85.300953992386027</v>
      </c>
      <c r="W10" s="14">
        <f t="shared" si="7"/>
        <v>-2.7060267913749811</v>
      </c>
      <c r="X10" s="14">
        <f t="shared" si="7"/>
        <v>0.22785118267934479</v>
      </c>
    </row>
    <row r="11" spans="1:24" x14ac:dyDescent="0.3">
      <c r="A11" t="s">
        <v>28</v>
      </c>
      <c r="B11" s="31">
        <v>1061000</v>
      </c>
      <c r="C11" s="31">
        <v>1061000</v>
      </c>
      <c r="D11" s="21">
        <f t="shared" si="0"/>
        <v>100</v>
      </c>
      <c r="E11" s="31">
        <v>461000</v>
      </c>
      <c r="F11" s="31">
        <v>461000</v>
      </c>
      <c r="G11" s="21">
        <f t="shared" si="1"/>
        <v>100</v>
      </c>
      <c r="H11" s="27">
        <v>461000</v>
      </c>
      <c r="I11" s="20">
        <v>461000</v>
      </c>
      <c r="J11" s="21">
        <f t="shared" si="2"/>
        <v>100</v>
      </c>
      <c r="K11" s="27">
        <v>1232236.6499999999</v>
      </c>
      <c r="L11" s="20">
        <v>1232236.6499999999</v>
      </c>
      <c r="M11" s="21">
        <f t="shared" si="3"/>
        <v>100</v>
      </c>
      <c r="N11" s="27">
        <v>80000</v>
      </c>
      <c r="O11" s="20">
        <v>80000</v>
      </c>
      <c r="P11" s="21">
        <f t="shared" si="4"/>
        <v>100</v>
      </c>
      <c r="Q11" s="27">
        <v>2163255.9</v>
      </c>
      <c r="R11" s="20">
        <v>2163255.9</v>
      </c>
      <c r="S11" s="21">
        <f t="shared" si="5"/>
        <v>100</v>
      </c>
      <c r="T11" s="27">
        <v>0</v>
      </c>
      <c r="U11" s="20">
        <v>0</v>
      </c>
      <c r="V11" s="21" t="str">
        <f t="shared" si="6"/>
        <v>-</v>
      </c>
      <c r="W11" s="14">
        <f t="shared" si="7"/>
        <v>-100</v>
      </c>
      <c r="X11" s="14">
        <f t="shared" si="7"/>
        <v>-100</v>
      </c>
    </row>
    <row r="12" spans="1:24" x14ac:dyDescent="0.3">
      <c r="A12" t="s">
        <v>29</v>
      </c>
      <c r="B12" s="31">
        <v>0</v>
      </c>
      <c r="C12" s="31">
        <v>0</v>
      </c>
      <c r="D12" s="21" t="str">
        <f t="shared" si="0"/>
        <v>-</v>
      </c>
      <c r="E12" s="31">
        <v>90616.69</v>
      </c>
      <c r="F12" s="31">
        <v>0</v>
      </c>
      <c r="G12" s="21">
        <f t="shared" si="1"/>
        <v>0</v>
      </c>
      <c r="H12" s="27">
        <v>835786.39</v>
      </c>
      <c r="I12" s="20">
        <v>684553.01</v>
      </c>
      <c r="J12" s="21">
        <f t="shared" si="2"/>
        <v>81.905259309139979</v>
      </c>
      <c r="K12" s="27">
        <v>151233.38</v>
      </c>
      <c r="L12" s="20">
        <v>0</v>
      </c>
      <c r="M12" s="21">
        <f t="shared" si="3"/>
        <v>0</v>
      </c>
      <c r="N12" s="27">
        <v>1723820.98</v>
      </c>
      <c r="O12" s="20">
        <v>1488820.98</v>
      </c>
      <c r="P12" s="21">
        <f t="shared" si="4"/>
        <v>86.367493914594306</v>
      </c>
      <c r="Q12" s="27">
        <v>235283.32</v>
      </c>
      <c r="R12" s="20">
        <v>0</v>
      </c>
      <c r="S12" s="21">
        <f t="shared" si="5"/>
        <v>0</v>
      </c>
      <c r="T12" s="27">
        <v>8000</v>
      </c>
      <c r="U12" s="20">
        <v>8000</v>
      </c>
      <c r="V12" s="21">
        <f t="shared" si="6"/>
        <v>100</v>
      </c>
      <c r="W12" s="14">
        <f t="shared" si="7"/>
        <v>-96.599843966839643</v>
      </c>
      <c r="X12" s="14" t="str">
        <f t="shared" si="7"/>
        <v>-</v>
      </c>
    </row>
    <row r="13" spans="1:24" x14ac:dyDescent="0.3">
      <c r="A13" t="s">
        <v>30</v>
      </c>
      <c r="B13" s="31">
        <v>32253805.690000001</v>
      </c>
      <c r="C13" s="31">
        <v>100000</v>
      </c>
      <c r="D13" s="21">
        <f t="shared" si="0"/>
        <v>0.31004093272318584</v>
      </c>
      <c r="E13" s="31">
        <v>31266034.52</v>
      </c>
      <c r="F13" s="31">
        <v>13850000</v>
      </c>
      <c r="G13" s="21">
        <f t="shared" si="1"/>
        <v>44.297270864779946</v>
      </c>
      <c r="H13" s="27">
        <v>55655314.579999998</v>
      </c>
      <c r="I13" s="20">
        <v>6898726.4699999997</v>
      </c>
      <c r="J13" s="21">
        <f t="shared" si="2"/>
        <v>12.395449602721479</v>
      </c>
      <c r="K13" s="27">
        <v>36568614.439999998</v>
      </c>
      <c r="L13" s="20">
        <v>15728781.439999999</v>
      </c>
      <c r="M13" s="21">
        <f t="shared" si="3"/>
        <v>43.011696452998017</v>
      </c>
      <c r="N13" s="27">
        <v>39470525.759999998</v>
      </c>
      <c r="O13" s="20">
        <v>630794.94999999995</v>
      </c>
      <c r="P13" s="21">
        <f t="shared" si="4"/>
        <v>1.5981417471749433</v>
      </c>
      <c r="Q13" s="27">
        <v>31053719.460000001</v>
      </c>
      <c r="R13" s="20">
        <v>1187344.6299999999</v>
      </c>
      <c r="S13" s="21">
        <f t="shared" si="5"/>
        <v>3.8235182472405831</v>
      </c>
      <c r="T13" s="27">
        <v>11280000</v>
      </c>
      <c r="U13" s="20">
        <v>780000</v>
      </c>
      <c r="V13" s="21">
        <f t="shared" si="6"/>
        <v>6.9148936170212769</v>
      </c>
      <c r="W13" s="14">
        <f t="shared" si="7"/>
        <v>-63.675848831797232</v>
      </c>
      <c r="X13" s="14">
        <f t="shared" si="7"/>
        <v>-34.307194365295601</v>
      </c>
    </row>
    <row r="14" spans="1:24" x14ac:dyDescent="0.3">
      <c r="A14" t="s">
        <v>31</v>
      </c>
      <c r="B14" s="32">
        <f>SUM(B3:B5)</f>
        <v>1250248187.7199998</v>
      </c>
      <c r="C14" s="32">
        <f>SUM(C3:C5)</f>
        <v>865935064.12</v>
      </c>
      <c r="D14" s="21">
        <f>IF(B14&gt;0,C14/B14*100,"-")</f>
        <v>69.261053335270347</v>
      </c>
      <c r="E14" s="32">
        <f>SUM(E3:E5)</f>
        <v>1266680306.8699999</v>
      </c>
      <c r="F14" s="32">
        <f>SUM(F3:F5)</f>
        <v>882955426.65999997</v>
      </c>
      <c r="G14" s="21">
        <f>IF(E14&gt;0,F14/E14*100,"-")</f>
        <v>69.706256730382577</v>
      </c>
      <c r="H14" s="27">
        <f>SUM(H3:H5)</f>
        <v>1377726587.6400001</v>
      </c>
      <c r="I14" s="20">
        <f>SUM(I3:I5)</f>
        <v>1017687031.1400001</v>
      </c>
      <c r="J14" s="21">
        <f>IF(H14&gt;0,I14/H14*100,"-")</f>
        <v>73.867125761379413</v>
      </c>
      <c r="K14" s="27">
        <f>SUM(K3:K5)</f>
        <v>1281246854.8299999</v>
      </c>
      <c r="L14" s="20">
        <f>SUM(L3:L5)</f>
        <v>937894736.95000005</v>
      </c>
      <c r="M14" s="21">
        <f>IF(K14&gt;0,L14/K14*100,"-")</f>
        <v>73.201720138032499</v>
      </c>
      <c r="N14" s="27">
        <f>SUM(N3:N5)</f>
        <v>1280698523.02</v>
      </c>
      <c r="O14" s="20">
        <f>SUM(O3:O5)</f>
        <v>969197397.18000007</v>
      </c>
      <c r="P14" s="21">
        <f>IF(N14&gt;0,O14/N14*100,"-")</f>
        <v>75.677247982963792</v>
      </c>
      <c r="Q14" s="27">
        <f>SUM(Q3:Q5)</f>
        <v>1527843397.25</v>
      </c>
      <c r="R14" s="20">
        <f>SUM(R3:R5)</f>
        <v>1164987945.97</v>
      </c>
      <c r="S14" s="21">
        <f>IF(Q14&gt;0,R14/Q14*100,"-")</f>
        <v>76.250481434608304</v>
      </c>
      <c r="T14" s="27">
        <f>SUM(T3:T5)</f>
        <v>1405606931.0999999</v>
      </c>
      <c r="U14" s="20">
        <f>SUM(U3:U5)</f>
        <v>1048537544.99</v>
      </c>
      <c r="V14" s="21">
        <f>IF(T14&gt;0,U14/T14*100,"-")</f>
        <v>74.596782485231159</v>
      </c>
      <c r="W14" s="14">
        <f t="shared" si="7"/>
        <v>-8.0005886971149209</v>
      </c>
      <c r="X14" s="14">
        <f t="shared" si="7"/>
        <v>-9.9958459984785861</v>
      </c>
    </row>
    <row r="15" spans="1:24" x14ac:dyDescent="0.3">
      <c r="A15" t="s">
        <v>32</v>
      </c>
      <c r="B15" s="31">
        <f>SUM(B6:B10)</f>
        <v>67466618.879999995</v>
      </c>
      <c r="C15" s="31">
        <f>SUM(C6:C10)</f>
        <v>44712098.289999999</v>
      </c>
      <c r="D15" s="21">
        <f>IF(B15&gt;0,C15/B15*100,"-")</f>
        <v>66.272919900621531</v>
      </c>
      <c r="E15" s="31">
        <f>SUM(E6:E10)</f>
        <v>68587829.359999999</v>
      </c>
      <c r="F15" s="31">
        <f>SUM(F6:F10)</f>
        <v>40429961.329999998</v>
      </c>
      <c r="G15" s="21">
        <f>IF(E15&gt;0,F15/E15*100,"-")</f>
        <v>58.946261614131942</v>
      </c>
      <c r="H15" s="28">
        <f>SUM(H6:H10)</f>
        <v>166589877.09999999</v>
      </c>
      <c r="I15" s="22">
        <f>SUM(I6:I10)</f>
        <v>105703455.15000001</v>
      </c>
      <c r="J15" s="21">
        <f>IF(H15&gt;0,I15/H15*100,"-")</f>
        <v>63.45130748043514</v>
      </c>
      <c r="K15" s="28">
        <f>SUM(K6:K10)</f>
        <v>59451691.390000001</v>
      </c>
      <c r="L15" s="22">
        <f>SUM(L6:L10)</f>
        <v>32310528.390000001</v>
      </c>
      <c r="M15" s="21">
        <f>IF(K15&gt;0,L15/K15*100,"-")</f>
        <v>54.347534333455073</v>
      </c>
      <c r="N15" s="28">
        <f>SUM(N6:N10)</f>
        <v>113774608.22</v>
      </c>
      <c r="O15" s="22">
        <f>SUM(O6:O10)</f>
        <v>98511267.909999982</v>
      </c>
      <c r="P15" s="21">
        <f>IF(N15&gt;0,O15/N15*100,"-")</f>
        <v>86.584581086417728</v>
      </c>
      <c r="Q15" s="28">
        <f>SUM(Q6:Q10)</f>
        <v>163089562.95999998</v>
      </c>
      <c r="R15" s="22">
        <f>SUM(R6:R10)</f>
        <v>148832872.88</v>
      </c>
      <c r="S15" s="21">
        <f>IF(Q15&gt;0,R15/Q15*100,"-")</f>
        <v>91.258367597994834</v>
      </c>
      <c r="T15" s="28">
        <f>SUM(T6:T10)</f>
        <v>157660784.91999999</v>
      </c>
      <c r="U15" s="22">
        <f>SUM(U6:U10)</f>
        <v>139082151.34</v>
      </c>
      <c r="V15" s="21">
        <f>IF(T15&gt;0,U15/T15*100,"-")</f>
        <v>88.216071872642814</v>
      </c>
      <c r="W15" s="14">
        <f t="shared" si="7"/>
        <v>-3.328709662022618</v>
      </c>
      <c r="X15" s="14">
        <f t="shared" si="7"/>
        <v>-6.5514569135957856</v>
      </c>
    </row>
    <row r="16" spans="1:24" x14ac:dyDescent="0.3">
      <c r="A16" t="s">
        <v>33</v>
      </c>
      <c r="B16" s="32">
        <f>SUM(B11:B13)</f>
        <v>33314805.690000001</v>
      </c>
      <c r="C16" s="32">
        <f>SUM(C11:C13)</f>
        <v>1161000</v>
      </c>
      <c r="D16" s="21">
        <f t="shared" si="0"/>
        <v>3.48493703010999</v>
      </c>
      <c r="E16" s="32">
        <f>SUM(E11:E13)</f>
        <v>31817651.210000001</v>
      </c>
      <c r="F16" s="32">
        <f>SUM(F11:F13)</f>
        <v>14311000</v>
      </c>
      <c r="G16" s="21">
        <f t="shared" si="1"/>
        <v>44.978178639101372</v>
      </c>
      <c r="H16" s="27">
        <f>SUM(H11:H13)</f>
        <v>56952100.969999999</v>
      </c>
      <c r="I16" s="20">
        <f>SUM(I11:I13)</f>
        <v>8044279.4799999995</v>
      </c>
      <c r="J16" s="21">
        <f t="shared" si="2"/>
        <v>14.124640431153527</v>
      </c>
      <c r="K16" s="27">
        <f>SUM(K11:K13)</f>
        <v>37952084.469999999</v>
      </c>
      <c r="L16" s="20">
        <f>SUM(L11:L13)</f>
        <v>16961018.09</v>
      </c>
      <c r="M16" s="21">
        <f t="shared" ref="M16:M21" si="8">IF(K16&gt;0,L16/K16*100,"-")</f>
        <v>44.690610086007752</v>
      </c>
      <c r="N16" s="27">
        <f>SUM(N11:N13)</f>
        <v>41274346.739999995</v>
      </c>
      <c r="O16" s="20">
        <f>SUM(O11:O13)</f>
        <v>2199615.9299999997</v>
      </c>
      <c r="P16" s="21">
        <f t="shared" ref="P16:P21" si="9">IF(N16&gt;0,O16/N16*100,"-")</f>
        <v>5.3292567992803557</v>
      </c>
      <c r="Q16" s="27">
        <f>SUM(Q11:Q13)</f>
        <v>33452258.68</v>
      </c>
      <c r="R16" s="20">
        <f>SUM(R11:R13)</f>
        <v>3350600.53</v>
      </c>
      <c r="S16" s="21">
        <f t="shared" ref="S16:S21" si="10">IF(Q16&gt;0,R16/Q16*100,"-")</f>
        <v>10.016066663992447</v>
      </c>
      <c r="T16" s="27">
        <f>SUM(T11:T13)</f>
        <v>11288000</v>
      </c>
      <c r="U16" s="20">
        <f>SUM(U11:U13)</f>
        <v>788000</v>
      </c>
      <c r="V16" s="21">
        <f t="shared" ref="V16:V21" si="11">IF(T16&gt;0,U16/T16*100,"-")</f>
        <v>6.9808646350106311</v>
      </c>
      <c r="W16" s="14">
        <f t="shared" si="7"/>
        <v>-66.256389118655477</v>
      </c>
      <c r="X16" s="14">
        <f t="shared" si="7"/>
        <v>-76.481827871017501</v>
      </c>
    </row>
    <row r="17" spans="1:24" x14ac:dyDescent="0.3">
      <c r="A17" t="s">
        <v>34</v>
      </c>
      <c r="B17" s="31">
        <v>45093950.140000001</v>
      </c>
      <c r="C17" s="31">
        <v>32153805.690000001</v>
      </c>
      <c r="D17" s="21">
        <f t="shared" si="0"/>
        <v>71.304034333151904</v>
      </c>
      <c r="E17" s="31">
        <v>24731828.57</v>
      </c>
      <c r="F17" s="31">
        <v>18503500.120000001</v>
      </c>
      <c r="G17" s="21">
        <f t="shared" si="1"/>
        <v>74.816546894736945</v>
      </c>
      <c r="H17" s="27">
        <v>16638609.390000001</v>
      </c>
      <c r="I17" s="20">
        <v>16638609.390000001</v>
      </c>
      <c r="J17" s="21">
        <f t="shared" si="2"/>
        <v>100</v>
      </c>
      <c r="K17" s="27">
        <v>178000333.03</v>
      </c>
      <c r="L17" s="20">
        <v>177400333.03</v>
      </c>
      <c r="M17" s="21">
        <f t="shared" si="8"/>
        <v>99.662921978972435</v>
      </c>
      <c r="N17" s="27">
        <v>378636033.94</v>
      </c>
      <c r="O17" s="20">
        <v>378636033.94</v>
      </c>
      <c r="P17" s="21">
        <f t="shared" si="9"/>
        <v>100</v>
      </c>
      <c r="Q17" s="27">
        <v>29866374.829999998</v>
      </c>
      <c r="R17" s="20">
        <v>29866374.829999998</v>
      </c>
      <c r="S17" s="21">
        <f t="shared" si="10"/>
        <v>100</v>
      </c>
      <c r="T17" s="27">
        <v>10500000</v>
      </c>
      <c r="U17" s="20">
        <v>10500000</v>
      </c>
      <c r="V17" s="21">
        <f t="shared" si="11"/>
        <v>100</v>
      </c>
      <c r="W17" s="14">
        <f t="shared" si="7"/>
        <v>-64.843406473781272</v>
      </c>
      <c r="X17" s="14">
        <f t="shared" si="7"/>
        <v>-64.843406473781272</v>
      </c>
    </row>
    <row r="18" spans="1:24" x14ac:dyDescent="0.3">
      <c r="A18" t="s">
        <v>35</v>
      </c>
      <c r="B18" s="31">
        <v>823694743.57000005</v>
      </c>
      <c r="C18" s="31">
        <v>823694743.57000005</v>
      </c>
      <c r="D18" s="21">
        <f t="shared" si="0"/>
        <v>100</v>
      </c>
      <c r="E18" s="31">
        <v>750499922.92999995</v>
      </c>
      <c r="F18" s="31">
        <v>750499922.92999995</v>
      </c>
      <c r="G18" s="21">
        <f t="shared" si="1"/>
        <v>100</v>
      </c>
      <c r="H18" s="27">
        <v>1168125709.5</v>
      </c>
      <c r="I18" s="20">
        <v>1168125709.5</v>
      </c>
      <c r="J18" s="21">
        <f t="shared" si="2"/>
        <v>100</v>
      </c>
      <c r="K18" s="27">
        <v>1310565170.21</v>
      </c>
      <c r="L18" s="20">
        <v>1310565170.21</v>
      </c>
      <c r="M18" s="21">
        <f t="shared" si="8"/>
        <v>100</v>
      </c>
      <c r="N18" s="27">
        <v>1139059874.55</v>
      </c>
      <c r="O18" s="20">
        <v>1139059874.55</v>
      </c>
      <c r="P18" s="21">
        <f t="shared" si="9"/>
        <v>100</v>
      </c>
      <c r="Q18" s="27">
        <v>700491748.45000005</v>
      </c>
      <c r="R18" s="20">
        <v>700491748.45000005</v>
      </c>
      <c r="S18" s="21">
        <f t="shared" si="10"/>
        <v>100</v>
      </c>
      <c r="T18" s="27">
        <v>0</v>
      </c>
      <c r="U18" s="20">
        <v>0</v>
      </c>
      <c r="V18" s="21" t="str">
        <f t="shared" si="11"/>
        <v>-</v>
      </c>
      <c r="W18" s="14">
        <f t="shared" si="7"/>
        <v>-100</v>
      </c>
      <c r="X18" s="14">
        <f t="shared" si="7"/>
        <v>-100</v>
      </c>
    </row>
    <row r="19" spans="1:24" x14ac:dyDescent="0.3">
      <c r="A19" t="s">
        <v>36</v>
      </c>
      <c r="B19" s="31">
        <v>193259658.11000001</v>
      </c>
      <c r="C19" s="31">
        <v>192429419.53</v>
      </c>
      <c r="D19" s="21">
        <f t="shared" si="0"/>
        <v>99.570402541265253</v>
      </c>
      <c r="E19" s="31">
        <v>238530886.03999999</v>
      </c>
      <c r="F19" s="31">
        <v>237702718.75999999</v>
      </c>
      <c r="G19" s="21">
        <f t="shared" si="1"/>
        <v>99.652805012487505</v>
      </c>
      <c r="H19" s="27">
        <v>250576834.81999999</v>
      </c>
      <c r="I19" s="20">
        <v>248867683.93000001</v>
      </c>
      <c r="J19" s="21">
        <f t="shared" si="2"/>
        <v>99.317913449091279</v>
      </c>
      <c r="K19" s="27">
        <v>224819751.34</v>
      </c>
      <c r="L19" s="20">
        <v>222614328.5</v>
      </c>
      <c r="M19" s="21">
        <f t="shared" si="8"/>
        <v>99.019026207948841</v>
      </c>
      <c r="N19" s="27">
        <v>189842385.16999999</v>
      </c>
      <c r="O19" s="20">
        <v>186009728.44</v>
      </c>
      <c r="P19" s="21">
        <f t="shared" si="9"/>
        <v>97.981137496472186</v>
      </c>
      <c r="Q19" s="27">
        <v>782205002.44000006</v>
      </c>
      <c r="R19" s="20">
        <v>779775331.83000004</v>
      </c>
      <c r="S19" s="21">
        <f t="shared" si="10"/>
        <v>99.689381862501406</v>
      </c>
      <c r="T19" s="27">
        <v>1008552631.3200001</v>
      </c>
      <c r="U19" s="20">
        <v>1006665978.0599999</v>
      </c>
      <c r="V19" s="21">
        <f t="shared" si="11"/>
        <v>99.812934575607542</v>
      </c>
      <c r="W19" s="14">
        <f t="shared" si="7"/>
        <v>28.937123666293871</v>
      </c>
      <c r="X19" s="14">
        <f t="shared" si="7"/>
        <v>29.096925353810065</v>
      </c>
    </row>
    <row r="20" spans="1:24" x14ac:dyDescent="0.3">
      <c r="A20" t="s">
        <v>37</v>
      </c>
      <c r="B20" s="32">
        <f>B14+B15+B16+B17+B18+B19</f>
        <v>2413077964.1100001</v>
      </c>
      <c r="C20" s="32">
        <f>C14+C15+C16+C17+C18+C19</f>
        <v>1960086131.2</v>
      </c>
      <c r="D20" s="21">
        <f t="shared" si="0"/>
        <v>81.227633767022766</v>
      </c>
      <c r="E20" s="32">
        <f>E14+E15+E16+E17+E18+E19</f>
        <v>2380848424.9799995</v>
      </c>
      <c r="F20" s="32">
        <f>F14+F15+F16+F17+F18+F19</f>
        <v>1944402529.8</v>
      </c>
      <c r="G20" s="21">
        <f t="shared" si="1"/>
        <v>81.668472020277136</v>
      </c>
      <c r="H20" s="27">
        <f>H14+H15+H16+H17+H18+H19</f>
        <v>3036609719.4200006</v>
      </c>
      <c r="I20" s="20">
        <f>I14+I15+I16+I17+I18+I19</f>
        <v>2565066768.5900002</v>
      </c>
      <c r="J20" s="21">
        <f t="shared" si="2"/>
        <v>84.471400858189099</v>
      </c>
      <c r="K20" s="27">
        <f>K14+K15+K16+K17+K18+K19</f>
        <v>3092035885.2700005</v>
      </c>
      <c r="L20" s="20">
        <f>L14+L15+L16+L17+L18+L19</f>
        <v>2697746115.1700001</v>
      </c>
      <c r="M20" s="21">
        <f t="shared" si="8"/>
        <v>87.248214938955329</v>
      </c>
      <c r="N20" s="27">
        <f>N14+N15+N16+N17+N18+N19</f>
        <v>3143285771.6400003</v>
      </c>
      <c r="O20" s="20">
        <f>O14+O15+O16+O17+O18+O19</f>
        <v>2773613917.9500003</v>
      </c>
      <c r="P20" s="21">
        <f t="shared" si="9"/>
        <v>88.239317690254907</v>
      </c>
      <c r="Q20" s="27">
        <f>Q14+Q15+Q16+Q17+Q18+Q19</f>
        <v>3236948344.6100001</v>
      </c>
      <c r="R20" s="20">
        <f>R14+R15+R16+R17+R18+R19</f>
        <v>2827304874.4899998</v>
      </c>
      <c r="S20" s="21">
        <f t="shared" si="10"/>
        <v>87.344763446654397</v>
      </c>
      <c r="T20" s="27">
        <f>T14+T15+T16+T17+T18+T19</f>
        <v>2593608347.3400002</v>
      </c>
      <c r="U20" s="20">
        <f>U14+U15+U16+U17+U18+U19</f>
        <v>2205573674.3899999</v>
      </c>
      <c r="V20" s="21">
        <f t="shared" si="11"/>
        <v>85.038809990414791</v>
      </c>
      <c r="W20" s="14">
        <f t="shared" si="7"/>
        <v>-19.874892299138992</v>
      </c>
      <c r="X20" s="14">
        <f t="shared" si="7"/>
        <v>-21.99024257021982</v>
      </c>
    </row>
    <row r="21" spans="1:24" x14ac:dyDescent="0.3">
      <c r="A21" t="s">
        <v>38</v>
      </c>
      <c r="B21" s="32">
        <f>B20-B19</f>
        <v>2219818306</v>
      </c>
      <c r="C21" s="32">
        <f>C20-C19</f>
        <v>1767656711.6700001</v>
      </c>
      <c r="D21" s="21">
        <f t="shared" si="0"/>
        <v>79.630693507309076</v>
      </c>
      <c r="E21" s="32">
        <f>E20-E19</f>
        <v>2142317538.9399996</v>
      </c>
      <c r="F21" s="32">
        <f>F20-F19</f>
        <v>1706699811.04</v>
      </c>
      <c r="G21" s="21">
        <f t="shared" si="1"/>
        <v>79.666052301679812</v>
      </c>
      <c r="H21" s="27">
        <f>H20-H19</f>
        <v>2786032884.6000004</v>
      </c>
      <c r="I21" s="20">
        <f>I20-I19</f>
        <v>2316199084.6600003</v>
      </c>
      <c r="J21" s="21">
        <f t="shared" si="2"/>
        <v>83.13609998873163</v>
      </c>
      <c r="K21" s="27">
        <f>K20-K19</f>
        <v>2867216133.9300003</v>
      </c>
      <c r="L21" s="20">
        <f>L20-L19</f>
        <v>2475131786.6700001</v>
      </c>
      <c r="M21" s="21">
        <f t="shared" si="8"/>
        <v>86.32526014972639</v>
      </c>
      <c r="N21" s="27">
        <f>N20-N19</f>
        <v>2953443386.4700003</v>
      </c>
      <c r="O21" s="20">
        <f>O20-O19</f>
        <v>2587604189.5100002</v>
      </c>
      <c r="P21" s="21">
        <f t="shared" si="9"/>
        <v>87.613129859338301</v>
      </c>
      <c r="Q21" s="27">
        <f>Q20-Q19</f>
        <v>2454743342.1700001</v>
      </c>
      <c r="R21" s="20">
        <f>R20-R19</f>
        <v>2047529542.6599998</v>
      </c>
      <c r="S21" s="21">
        <f t="shared" si="10"/>
        <v>83.41114557622052</v>
      </c>
      <c r="T21" s="27">
        <f>T20-T19</f>
        <v>1585055716.02</v>
      </c>
      <c r="U21" s="20">
        <f>U20-U19</f>
        <v>1198907696.3299999</v>
      </c>
      <c r="V21" s="21">
        <f t="shared" si="11"/>
        <v>75.638205282802332</v>
      </c>
      <c r="W21" s="14">
        <f t="shared" si="7"/>
        <v>-35.428861796247659</v>
      </c>
      <c r="X21" s="14">
        <f t="shared" si="7"/>
        <v>-41.446134409740075</v>
      </c>
    </row>
    <row r="22" spans="1:24" x14ac:dyDescent="0.3">
      <c r="B22" s="13" t="s">
        <v>75</v>
      </c>
      <c r="C22" s="13" t="s">
        <v>76</v>
      </c>
      <c r="D22" s="19"/>
      <c r="E22" s="13" t="s">
        <v>75</v>
      </c>
      <c r="F22" s="13" t="s">
        <v>76</v>
      </c>
      <c r="G22" s="19"/>
      <c r="H22" s="26" t="s">
        <v>75</v>
      </c>
      <c r="I22" s="96" t="s">
        <v>76</v>
      </c>
      <c r="J22" s="19"/>
      <c r="K22" s="26" t="s">
        <v>75</v>
      </c>
      <c r="L22" s="107" t="s">
        <v>76</v>
      </c>
      <c r="M22" s="108"/>
      <c r="N22" s="26" t="s">
        <v>75</v>
      </c>
      <c r="O22" s="117" t="s">
        <v>76</v>
      </c>
      <c r="P22" s="118"/>
      <c r="Q22" s="26" t="s">
        <v>75</v>
      </c>
      <c r="R22" s="120" t="s">
        <v>76</v>
      </c>
      <c r="S22" s="121"/>
      <c r="T22" s="26" t="s">
        <v>75</v>
      </c>
      <c r="U22" s="120" t="s">
        <v>76</v>
      </c>
      <c r="V22" s="104"/>
    </row>
    <row r="23" spans="1:24" x14ac:dyDescent="0.3">
      <c r="A23" s="5" t="s">
        <v>39</v>
      </c>
      <c r="B23" s="32">
        <v>384476639.36000001</v>
      </c>
      <c r="C23" s="32">
        <v>366910826.45999998</v>
      </c>
      <c r="D23" s="21">
        <f>IF(B23&gt;0,C23/B23*100,"-")</f>
        <v>95.431240522378658</v>
      </c>
      <c r="E23" s="32">
        <v>371529497.97000003</v>
      </c>
      <c r="F23" s="32">
        <v>357134350.75</v>
      </c>
      <c r="G23" s="21">
        <f>IF(E23&gt;0,F23/E23*100,"-")</f>
        <v>96.125436257779356</v>
      </c>
      <c r="H23" s="28">
        <v>369933147.55000001</v>
      </c>
      <c r="I23" s="22">
        <v>357097766.99000001</v>
      </c>
      <c r="J23" s="21">
        <f>IF(H23&gt;0,I23/H23*100,"-")</f>
        <v>96.530351322933242</v>
      </c>
      <c r="K23" s="28">
        <v>356821336.86000001</v>
      </c>
      <c r="L23" s="22">
        <v>342440826.25</v>
      </c>
      <c r="M23" s="21">
        <f>IF(K23&gt;0,L23/K23*100,"-")</f>
        <v>95.969828840240496</v>
      </c>
      <c r="N23" s="28">
        <v>340420601.76999998</v>
      </c>
      <c r="O23" s="22">
        <v>319241500.94</v>
      </c>
      <c r="P23" s="21">
        <f>IF(N23&gt;0,O23/N23*100,"-")</f>
        <v>93.77854903026423</v>
      </c>
      <c r="Q23" s="1">
        <v>328531615.06999999</v>
      </c>
      <c r="R23" s="1">
        <v>314031142.20999998</v>
      </c>
      <c r="S23" s="21">
        <f>IF(Q23&gt;0,R23/Q23*100,"-")</f>
        <v>95.586277790370218</v>
      </c>
      <c r="T23" s="1">
        <v>336023357.88</v>
      </c>
      <c r="U23" s="1">
        <v>301324773.05000001</v>
      </c>
      <c r="V23" s="21">
        <f>IF(T23&gt;0,U23/T23*100,"-")</f>
        <v>89.673758083689094</v>
      </c>
      <c r="W23" s="14">
        <f t="shared" si="7"/>
        <v>2.2803719539757878</v>
      </c>
      <c r="X23" s="14">
        <f t="shared" si="7"/>
        <v>-4.0462130827467178</v>
      </c>
    </row>
    <row r="24" spans="1:24" x14ac:dyDescent="0.3">
      <c r="A24" s="5" t="s">
        <v>40</v>
      </c>
      <c r="B24" s="32">
        <v>22357035.07</v>
      </c>
      <c r="C24" s="32">
        <v>19103834.920000002</v>
      </c>
      <c r="D24" s="21">
        <f t="shared" ref="D24:D55" si="12">IF(B24&gt;0,C24/B24*100,"-")</f>
        <v>85.448874862815174</v>
      </c>
      <c r="E24" s="32">
        <v>21509838.079999998</v>
      </c>
      <c r="F24" s="32">
        <v>18326813.079999998</v>
      </c>
      <c r="G24" s="21">
        <f t="shared" ref="G24:G55" si="13">IF(E24&gt;0,F24/E24*100,"-")</f>
        <v>85.202003900905225</v>
      </c>
      <c r="H24" s="28">
        <v>21558528.93</v>
      </c>
      <c r="I24" s="22">
        <v>18492881.449999999</v>
      </c>
      <c r="J24" s="21">
        <f t="shared" ref="J24:J55" si="14">IF(H24&gt;0,I24/H24*100,"-")</f>
        <v>85.779885585171044</v>
      </c>
      <c r="K24" s="28">
        <v>20474110.5</v>
      </c>
      <c r="L24" s="22">
        <v>17559704.079999998</v>
      </c>
      <c r="M24" s="21">
        <f t="shared" ref="M24:M55" si="15">IF(K24&gt;0,L24/K24*100,"-")</f>
        <v>85.765406414115034</v>
      </c>
      <c r="N24" s="28">
        <v>19882088.640000001</v>
      </c>
      <c r="O24" s="22">
        <v>16623531.380000001</v>
      </c>
      <c r="P24" s="21">
        <f t="shared" ref="P24:P55" si="16">IF(N24&gt;0,O24/N24*100,"-")</f>
        <v>83.610588811860367</v>
      </c>
      <c r="Q24" s="1">
        <v>19923890.350000001</v>
      </c>
      <c r="R24" s="1">
        <v>17068676.93</v>
      </c>
      <c r="S24" s="21">
        <f t="shared" ref="S24:S55" si="17">IF(Q24&gt;0,R24/Q24*100,"-")</f>
        <v>85.669398045045952</v>
      </c>
      <c r="T24" s="1">
        <v>19348377.579999998</v>
      </c>
      <c r="U24" s="1">
        <v>15747646.32</v>
      </c>
      <c r="V24" s="21">
        <f t="shared" ref="V24:V55" si="18">IF(T24&gt;0,U24/T24*100,"-")</f>
        <v>81.390009342581791</v>
      </c>
      <c r="W24" s="14">
        <f t="shared" si="7"/>
        <v>-2.8885562000696439</v>
      </c>
      <c r="X24" s="14">
        <f t="shared" si="7"/>
        <v>-7.7395021032833995</v>
      </c>
    </row>
    <row r="25" spans="1:24" x14ac:dyDescent="0.3">
      <c r="A25" s="5" t="s">
        <v>41</v>
      </c>
      <c r="B25" s="32">
        <v>457412166.11000001</v>
      </c>
      <c r="C25" s="32">
        <v>181820416.96000001</v>
      </c>
      <c r="D25" s="21">
        <f t="shared" si="12"/>
        <v>39.749799072085729</v>
      </c>
      <c r="E25" s="32">
        <v>447881027.42000002</v>
      </c>
      <c r="F25" s="32">
        <v>168435966.69999999</v>
      </c>
      <c r="G25" s="21">
        <f t="shared" si="13"/>
        <v>37.607301133130896</v>
      </c>
      <c r="H25" s="28">
        <v>458399728.62</v>
      </c>
      <c r="I25" s="22">
        <v>199521093.80000001</v>
      </c>
      <c r="J25" s="21">
        <f t="shared" si="14"/>
        <v>43.52556979050857</v>
      </c>
      <c r="K25" s="28">
        <v>485310094.58999997</v>
      </c>
      <c r="L25" s="22">
        <v>249123762.91999999</v>
      </c>
      <c r="M25" s="21">
        <f t="shared" si="15"/>
        <v>51.332903580022361</v>
      </c>
      <c r="N25" s="28">
        <v>468378725.72000003</v>
      </c>
      <c r="O25" s="22">
        <v>238036344.65000001</v>
      </c>
      <c r="P25" s="21">
        <f t="shared" si="16"/>
        <v>50.821339992350488</v>
      </c>
      <c r="Q25" s="1">
        <v>487986618.51999998</v>
      </c>
      <c r="R25" s="1">
        <v>316691622.63999999</v>
      </c>
      <c r="S25" s="21">
        <f t="shared" si="17"/>
        <v>64.897603872926794</v>
      </c>
      <c r="T25" s="1">
        <v>573642111.16999996</v>
      </c>
      <c r="U25" s="1">
        <v>404345192.29000002</v>
      </c>
      <c r="V25" s="21">
        <f t="shared" si="18"/>
        <v>70.487362140359238</v>
      </c>
      <c r="W25" s="14">
        <f t="shared" si="7"/>
        <v>17.552836368706565</v>
      </c>
      <c r="X25" s="14">
        <f t="shared" si="7"/>
        <v>27.677893377571422</v>
      </c>
    </row>
    <row r="26" spans="1:24" x14ac:dyDescent="0.3">
      <c r="A26" s="5" t="s">
        <v>42</v>
      </c>
      <c r="B26" s="32">
        <v>60011538.170000002</v>
      </c>
      <c r="C26" s="32">
        <v>25692971.739999998</v>
      </c>
      <c r="D26" s="21">
        <f t="shared" si="12"/>
        <v>42.813386431151358</v>
      </c>
      <c r="E26" s="32">
        <v>59718652.609999999</v>
      </c>
      <c r="F26" s="32">
        <v>27880339.149999999</v>
      </c>
      <c r="G26" s="21">
        <f t="shared" si="13"/>
        <v>46.686149019596904</v>
      </c>
      <c r="H26" s="28">
        <v>119517944.23</v>
      </c>
      <c r="I26" s="22">
        <v>70195847.459999993</v>
      </c>
      <c r="J26" s="21">
        <f t="shared" si="14"/>
        <v>58.732475623003765</v>
      </c>
      <c r="K26" s="28">
        <v>59486470.869999997</v>
      </c>
      <c r="L26" s="22">
        <v>25483146.34</v>
      </c>
      <c r="M26" s="21">
        <f t="shared" si="15"/>
        <v>42.838558023874249</v>
      </c>
      <c r="N26" s="28">
        <v>94503766.670000002</v>
      </c>
      <c r="O26" s="22">
        <v>48939823.380000003</v>
      </c>
      <c r="P26" s="21">
        <f t="shared" si="16"/>
        <v>51.786108749394252</v>
      </c>
      <c r="Q26" s="1">
        <v>115671372.27</v>
      </c>
      <c r="R26" s="1">
        <v>68094958.200000003</v>
      </c>
      <c r="S26" s="21">
        <f t="shared" si="17"/>
        <v>58.869326838323332</v>
      </c>
      <c r="T26" s="1">
        <v>118859611.28</v>
      </c>
      <c r="U26" s="1">
        <v>63197281.340000004</v>
      </c>
      <c r="V26" s="21">
        <f t="shared" si="18"/>
        <v>53.169685361939209</v>
      </c>
      <c r="W26" s="14">
        <f t="shared" si="7"/>
        <v>2.7562904696574577</v>
      </c>
      <c r="X26" s="14">
        <f t="shared" si="7"/>
        <v>-7.1924221549782885</v>
      </c>
    </row>
    <row r="27" spans="1:24" x14ac:dyDescent="0.3">
      <c r="A27" s="5" t="s">
        <v>43</v>
      </c>
      <c r="B27" s="32">
        <v>121834717.78</v>
      </c>
      <c r="C27" s="32">
        <v>110570457.76000001</v>
      </c>
      <c r="D27" s="21">
        <f t="shared" si="12"/>
        <v>90.754474401672482</v>
      </c>
      <c r="E27" s="32">
        <v>110341753.87</v>
      </c>
      <c r="F27" s="32">
        <v>100565341.92</v>
      </c>
      <c r="G27" s="21">
        <f t="shared" si="13"/>
        <v>91.139879866765426</v>
      </c>
      <c r="H27" s="28">
        <v>116451724.11</v>
      </c>
      <c r="I27" s="22">
        <v>115129987.40000001</v>
      </c>
      <c r="J27" s="21">
        <f t="shared" si="14"/>
        <v>98.864991720730998</v>
      </c>
      <c r="K27" s="28">
        <v>112343059.18000001</v>
      </c>
      <c r="L27" s="22">
        <v>110977771.45999999</v>
      </c>
      <c r="M27" s="21">
        <f t="shared" si="15"/>
        <v>98.784715557894415</v>
      </c>
      <c r="N27" s="28">
        <v>104407709.84999999</v>
      </c>
      <c r="O27" s="22">
        <v>103400627.23999999</v>
      </c>
      <c r="P27" s="21">
        <f t="shared" si="16"/>
        <v>99.035432717136658</v>
      </c>
      <c r="Q27" s="1">
        <v>102691490.59</v>
      </c>
      <c r="R27" s="1">
        <v>100413149.45</v>
      </c>
      <c r="S27" s="21">
        <f t="shared" si="17"/>
        <v>97.78137299701261</v>
      </c>
      <c r="T27" s="1">
        <v>96496232.239999995</v>
      </c>
      <c r="U27" s="1">
        <v>95903545.689999998</v>
      </c>
      <c r="V27" s="21">
        <f t="shared" si="18"/>
        <v>99.385793065447473</v>
      </c>
      <c r="W27" s="14">
        <f t="shared" si="7"/>
        <v>-6.0328838489012071</v>
      </c>
      <c r="X27" s="14">
        <f t="shared" si="7"/>
        <v>-4.4910490156924396</v>
      </c>
    </row>
    <row r="28" spans="1:24" x14ac:dyDescent="0.3">
      <c r="A28" s="5" t="s">
        <v>44</v>
      </c>
      <c r="B28" s="32">
        <v>0</v>
      </c>
      <c r="C28" s="32">
        <v>0</v>
      </c>
      <c r="D28" s="21" t="str">
        <f t="shared" si="12"/>
        <v>-</v>
      </c>
      <c r="E28" s="32">
        <v>0</v>
      </c>
      <c r="F28" s="32">
        <v>0</v>
      </c>
      <c r="G28" s="21" t="str">
        <f t="shared" si="13"/>
        <v>-</v>
      </c>
      <c r="H28" s="28">
        <v>0</v>
      </c>
      <c r="I28" s="22">
        <v>0</v>
      </c>
      <c r="J28" s="21" t="str">
        <f t="shared" si="14"/>
        <v>-</v>
      </c>
      <c r="K28" s="28">
        <v>0</v>
      </c>
      <c r="L28" s="22">
        <v>0</v>
      </c>
      <c r="M28" s="21" t="str">
        <f t="shared" si="15"/>
        <v>-</v>
      </c>
      <c r="N28" s="28">
        <v>0</v>
      </c>
      <c r="O28" s="22">
        <v>0</v>
      </c>
      <c r="P28" s="21" t="str">
        <f t="shared" si="16"/>
        <v>-</v>
      </c>
      <c r="Q28" s="27">
        <v>0</v>
      </c>
      <c r="R28" s="20">
        <v>0</v>
      </c>
      <c r="S28" s="21" t="str">
        <f t="shared" si="17"/>
        <v>-</v>
      </c>
      <c r="T28" s="27">
        <v>0</v>
      </c>
      <c r="U28" s="20">
        <v>0</v>
      </c>
      <c r="V28" s="21" t="str">
        <f t="shared" si="18"/>
        <v>-</v>
      </c>
      <c r="W28" s="14" t="str">
        <f t="shared" si="7"/>
        <v>-</v>
      </c>
      <c r="X28" s="14" t="str">
        <f t="shared" si="7"/>
        <v>-</v>
      </c>
    </row>
    <row r="29" spans="1:24" x14ac:dyDescent="0.3">
      <c r="A29" s="5" t="s">
        <v>45</v>
      </c>
      <c r="B29" s="32">
        <v>15595457.52</v>
      </c>
      <c r="C29" s="32">
        <v>6959926.2300000004</v>
      </c>
      <c r="D29" s="21">
        <f t="shared" si="12"/>
        <v>44.62790669061436</v>
      </c>
      <c r="E29" s="32">
        <v>12097249.73</v>
      </c>
      <c r="F29" s="32">
        <v>9200470.0999999996</v>
      </c>
      <c r="G29" s="21">
        <f t="shared" si="13"/>
        <v>76.054229724494576</v>
      </c>
      <c r="H29" s="28">
        <v>43587613</v>
      </c>
      <c r="I29" s="22">
        <v>27448590.899999999</v>
      </c>
      <c r="J29" s="21">
        <f t="shared" si="14"/>
        <v>62.973374798018881</v>
      </c>
      <c r="K29" s="28">
        <v>13879315.32</v>
      </c>
      <c r="L29" s="22">
        <v>11215581.59</v>
      </c>
      <c r="M29" s="21">
        <f t="shared" si="15"/>
        <v>80.807888079597276</v>
      </c>
      <c r="N29" s="28">
        <v>8088739.2000000002</v>
      </c>
      <c r="O29" s="22">
        <v>5307479.6500000004</v>
      </c>
      <c r="P29" s="21">
        <f t="shared" si="16"/>
        <v>65.615660472771836</v>
      </c>
      <c r="Q29" s="1">
        <v>7332272.3799999999</v>
      </c>
      <c r="R29" s="1">
        <v>5498211.7199999997</v>
      </c>
      <c r="S29" s="21">
        <f t="shared" si="17"/>
        <v>74.986463064264939</v>
      </c>
      <c r="T29" s="1">
        <v>5731849.2599999998</v>
      </c>
      <c r="U29" s="1">
        <v>3964192.97</v>
      </c>
      <c r="V29" s="21">
        <f t="shared" si="18"/>
        <v>69.160802913369011</v>
      </c>
      <c r="W29" s="14">
        <f t="shared" si="7"/>
        <v>-21.82710948334956</v>
      </c>
      <c r="X29" s="14">
        <f t="shared" si="7"/>
        <v>-27.900321561280279</v>
      </c>
    </row>
    <row r="30" spans="1:24" x14ac:dyDescent="0.3">
      <c r="A30" s="5" t="s">
        <v>46</v>
      </c>
      <c r="B30" s="32">
        <v>12411206.6</v>
      </c>
      <c r="C30" s="32">
        <v>7839647.8600000003</v>
      </c>
      <c r="D30" s="21">
        <f t="shared" si="12"/>
        <v>63.165879939505643</v>
      </c>
      <c r="E30" s="32">
        <v>9201724.0999999996</v>
      </c>
      <c r="F30" s="32">
        <v>6980867.2199999997</v>
      </c>
      <c r="G30" s="21">
        <f t="shared" si="13"/>
        <v>75.864774298112252</v>
      </c>
      <c r="H30" s="28">
        <v>6654662.9900000002</v>
      </c>
      <c r="I30" s="22">
        <v>5989210.4100000001</v>
      </c>
      <c r="J30" s="21">
        <f t="shared" si="14"/>
        <v>90.000206156194835</v>
      </c>
      <c r="K30" s="28">
        <v>6863313.1100000003</v>
      </c>
      <c r="L30" s="22">
        <v>6220294.5599999996</v>
      </c>
      <c r="M30" s="21">
        <f t="shared" si="15"/>
        <v>90.631076570539832</v>
      </c>
      <c r="N30" s="28">
        <v>6078827.4199999999</v>
      </c>
      <c r="O30" s="22">
        <v>5043639.82</v>
      </c>
      <c r="P30" s="21">
        <f t="shared" si="16"/>
        <v>82.9706038932094</v>
      </c>
      <c r="Q30" s="1">
        <v>5967983.8300000001</v>
      </c>
      <c r="R30" s="1">
        <v>5495199.3600000003</v>
      </c>
      <c r="S30" s="21">
        <f t="shared" si="17"/>
        <v>92.077986746153769</v>
      </c>
      <c r="T30" s="1">
        <v>7893720.5599999996</v>
      </c>
      <c r="U30" s="1">
        <v>6900041.1500000004</v>
      </c>
      <c r="V30" s="21">
        <f t="shared" si="18"/>
        <v>87.411773669373488</v>
      </c>
      <c r="W30" s="14">
        <f t="shared" si="7"/>
        <v>32.267794029864177</v>
      </c>
      <c r="X30" s="14">
        <f t="shared" si="7"/>
        <v>25.564892153430449</v>
      </c>
    </row>
    <row r="31" spans="1:24" x14ac:dyDescent="0.3">
      <c r="A31" s="5" t="s">
        <v>47</v>
      </c>
      <c r="B31" s="32">
        <v>0</v>
      </c>
      <c r="C31" s="32">
        <v>0</v>
      </c>
      <c r="D31" s="21" t="str">
        <f t="shared" si="12"/>
        <v>-</v>
      </c>
      <c r="E31" s="32">
        <v>0</v>
      </c>
      <c r="F31" s="32">
        <v>0</v>
      </c>
      <c r="G31" s="21" t="str">
        <f t="shared" si="13"/>
        <v>-</v>
      </c>
      <c r="H31" s="27">
        <v>0</v>
      </c>
      <c r="I31" s="20">
        <v>0</v>
      </c>
      <c r="J31" s="21" t="str">
        <f t="shared" si="14"/>
        <v>-</v>
      </c>
      <c r="K31" s="27">
        <v>0</v>
      </c>
      <c r="L31" s="20">
        <v>0</v>
      </c>
      <c r="M31" s="21" t="str">
        <f t="shared" si="15"/>
        <v>-</v>
      </c>
      <c r="N31" s="27">
        <v>0</v>
      </c>
      <c r="O31" s="20">
        <v>0</v>
      </c>
      <c r="P31" s="21" t="str">
        <f t="shared" si="16"/>
        <v>-</v>
      </c>
      <c r="Q31" s="27">
        <v>0</v>
      </c>
      <c r="R31" s="20">
        <v>0</v>
      </c>
      <c r="S31" s="21" t="str">
        <f t="shared" si="17"/>
        <v>-</v>
      </c>
      <c r="T31" s="27">
        <v>0</v>
      </c>
      <c r="U31" s="20">
        <v>0</v>
      </c>
      <c r="V31" s="21" t="str">
        <f t="shared" si="18"/>
        <v>-</v>
      </c>
      <c r="W31" s="14" t="str">
        <f t="shared" si="7"/>
        <v>-</v>
      </c>
      <c r="X31" s="14" t="str">
        <f t="shared" si="7"/>
        <v>-</v>
      </c>
    </row>
    <row r="32" spans="1:24" x14ac:dyDescent="0.3">
      <c r="A32" s="5" t="s">
        <v>48</v>
      </c>
      <c r="B32" s="32">
        <v>59378581.880000003</v>
      </c>
      <c r="C32" s="32">
        <v>30162901.73</v>
      </c>
      <c r="D32" s="21">
        <f t="shared" si="12"/>
        <v>50.797612160824478</v>
      </c>
      <c r="E32" s="32">
        <v>50629912.369999997</v>
      </c>
      <c r="F32" s="32">
        <v>28972509.73</v>
      </c>
      <c r="G32" s="21">
        <f t="shared" si="13"/>
        <v>57.224096139592042</v>
      </c>
      <c r="H32" s="28">
        <v>162813453.94</v>
      </c>
      <c r="I32" s="22">
        <v>87630855.239999995</v>
      </c>
      <c r="J32" s="21">
        <f t="shared" si="14"/>
        <v>53.822858688504773</v>
      </c>
      <c r="K32" s="28">
        <v>55890515.890000001</v>
      </c>
      <c r="L32" s="22">
        <v>23249975.129999999</v>
      </c>
      <c r="M32" s="21">
        <f t="shared" si="15"/>
        <v>41.599142108043971</v>
      </c>
      <c r="N32" s="28">
        <v>88294209.530000001</v>
      </c>
      <c r="O32" s="22">
        <v>73180622.549999997</v>
      </c>
      <c r="P32" s="21">
        <f t="shared" si="16"/>
        <v>82.882697449298973</v>
      </c>
      <c r="Q32" s="1">
        <v>87011324.950000003</v>
      </c>
      <c r="R32" s="1">
        <v>60191647.359999999</v>
      </c>
      <c r="S32" s="21">
        <f t="shared" si="17"/>
        <v>69.176796692371241</v>
      </c>
      <c r="T32" s="1">
        <v>104913825.34</v>
      </c>
      <c r="U32" s="1">
        <v>75718729.290000007</v>
      </c>
      <c r="V32" s="21">
        <f t="shared" si="18"/>
        <v>72.172308124895991</v>
      </c>
      <c r="W32" s="14">
        <f t="shared" si="7"/>
        <v>20.574908381509488</v>
      </c>
      <c r="X32" s="14">
        <f t="shared" si="7"/>
        <v>25.796074058472172</v>
      </c>
    </row>
    <row r="33" spans="1:24" x14ac:dyDescent="0.3">
      <c r="A33" s="5" t="s">
        <v>49</v>
      </c>
      <c r="B33" s="32">
        <v>10306172.84</v>
      </c>
      <c r="C33" s="32">
        <v>6852433</v>
      </c>
      <c r="D33" s="21">
        <f t="shared" si="12"/>
        <v>66.488628770173037</v>
      </c>
      <c r="E33" s="32">
        <v>29545951.989999998</v>
      </c>
      <c r="F33" s="32">
        <v>22895324.800000001</v>
      </c>
      <c r="G33" s="21">
        <f t="shared" si="13"/>
        <v>77.490563877410551</v>
      </c>
      <c r="H33" s="28">
        <v>32385785.559999999</v>
      </c>
      <c r="I33" s="22">
        <v>23050612.5</v>
      </c>
      <c r="J33" s="21">
        <f t="shared" si="14"/>
        <v>71.175091483561346</v>
      </c>
      <c r="K33" s="28">
        <v>16154662.1</v>
      </c>
      <c r="L33" s="22">
        <v>5188712.34</v>
      </c>
      <c r="M33" s="21">
        <f t="shared" si="15"/>
        <v>32.118977839839808</v>
      </c>
      <c r="N33" s="28">
        <v>51365503.479999997</v>
      </c>
      <c r="O33" s="22">
        <v>47337778.57</v>
      </c>
      <c r="P33" s="21">
        <f t="shared" si="16"/>
        <v>92.158696718375865</v>
      </c>
      <c r="Q33" s="1">
        <v>49397140.049999997</v>
      </c>
      <c r="R33" s="1">
        <v>42658213.579999998</v>
      </c>
      <c r="S33" s="21">
        <f t="shared" si="17"/>
        <v>86.357658635340371</v>
      </c>
      <c r="T33" s="1">
        <v>84504125.340000004</v>
      </c>
      <c r="U33" s="1">
        <v>73705701.519999996</v>
      </c>
      <c r="V33" s="21">
        <f t="shared" si="18"/>
        <v>87.2214240706559</v>
      </c>
      <c r="W33" s="14">
        <f t="shared" si="7"/>
        <v>71.070886400436478</v>
      </c>
      <c r="X33" s="14">
        <f t="shared" si="7"/>
        <v>72.781969366284926</v>
      </c>
    </row>
    <row r="34" spans="1:24" x14ac:dyDescent="0.3">
      <c r="A34" s="5" t="s">
        <v>50</v>
      </c>
      <c r="B34" s="32">
        <v>387121.54</v>
      </c>
      <c r="C34" s="32">
        <v>387121.51</v>
      </c>
      <c r="D34" s="21">
        <f t="shared" si="12"/>
        <v>99.999992250495808</v>
      </c>
      <c r="E34" s="32">
        <v>0</v>
      </c>
      <c r="F34" s="32">
        <v>0</v>
      </c>
      <c r="G34" s="21" t="str">
        <f t="shared" si="13"/>
        <v>-</v>
      </c>
      <c r="H34" s="28">
        <v>0</v>
      </c>
      <c r="I34" s="22">
        <v>0</v>
      </c>
      <c r="J34" s="21" t="str">
        <f t="shared" si="14"/>
        <v>-</v>
      </c>
      <c r="K34" s="28">
        <v>0</v>
      </c>
      <c r="L34" s="22">
        <v>0</v>
      </c>
      <c r="M34" s="21" t="str">
        <f t="shared" si="15"/>
        <v>-</v>
      </c>
      <c r="N34" s="28">
        <v>40000</v>
      </c>
      <c r="O34" s="22">
        <v>40000</v>
      </c>
      <c r="P34" s="21">
        <f t="shared" si="16"/>
        <v>100</v>
      </c>
      <c r="Q34" s="1">
        <v>146960.98000000001</v>
      </c>
      <c r="R34" s="1">
        <v>146960.98000000001</v>
      </c>
      <c r="S34" s="21">
        <f t="shared" si="17"/>
        <v>100</v>
      </c>
      <c r="T34" s="1">
        <v>30670.799999999999</v>
      </c>
      <c r="U34" s="1">
        <v>0</v>
      </c>
      <c r="V34" s="21">
        <f t="shared" si="18"/>
        <v>0</v>
      </c>
      <c r="W34" s="14">
        <f t="shared" si="7"/>
        <v>-79.129970417998038</v>
      </c>
      <c r="X34" s="14">
        <f t="shared" si="7"/>
        <v>-100</v>
      </c>
    </row>
    <row r="35" spans="1:24" x14ac:dyDescent="0.3">
      <c r="A35" s="5" t="s">
        <v>51</v>
      </c>
      <c r="B35" s="32">
        <v>99978.98</v>
      </c>
      <c r="C35" s="32">
        <v>0</v>
      </c>
      <c r="D35" s="21">
        <f t="shared" si="12"/>
        <v>0</v>
      </c>
      <c r="E35" s="32">
        <v>0</v>
      </c>
      <c r="F35" s="32">
        <v>0</v>
      </c>
      <c r="G35" s="21" t="str">
        <f t="shared" si="13"/>
        <v>-</v>
      </c>
      <c r="H35" s="28">
        <v>861368.5</v>
      </c>
      <c r="I35" s="22">
        <v>0</v>
      </c>
      <c r="J35" s="21">
        <f t="shared" si="14"/>
        <v>0</v>
      </c>
      <c r="K35" s="28">
        <v>5193009.38</v>
      </c>
      <c r="L35" s="22">
        <v>629825.68000000005</v>
      </c>
      <c r="M35" s="21">
        <f t="shared" si="15"/>
        <v>12.128337037588793</v>
      </c>
      <c r="N35" s="28">
        <v>1658893.03</v>
      </c>
      <c r="O35" s="22">
        <v>1292893.03</v>
      </c>
      <c r="P35" s="21">
        <f t="shared" si="16"/>
        <v>77.937094593736404</v>
      </c>
      <c r="Q35" s="27">
        <v>0</v>
      </c>
      <c r="R35" s="20">
        <v>0</v>
      </c>
      <c r="S35" s="21" t="str">
        <f t="shared" si="17"/>
        <v>-</v>
      </c>
      <c r="T35" s="27">
        <v>152457.82</v>
      </c>
      <c r="U35" s="20">
        <v>151941.82</v>
      </c>
      <c r="V35" s="21">
        <f t="shared" si="18"/>
        <v>99.661545731140592</v>
      </c>
      <c r="W35" s="14" t="str">
        <f t="shared" si="7"/>
        <v>-</v>
      </c>
      <c r="X35" s="14" t="str">
        <f t="shared" si="7"/>
        <v>-</v>
      </c>
    </row>
    <row r="36" spans="1:24" x14ac:dyDescent="0.3">
      <c r="A36" s="5" t="s">
        <v>52</v>
      </c>
      <c r="B36" s="32">
        <v>12088279</v>
      </c>
      <c r="C36" s="32">
        <v>0</v>
      </c>
      <c r="D36" s="21">
        <f t="shared" si="12"/>
        <v>0</v>
      </c>
      <c r="E36" s="32">
        <v>3801000</v>
      </c>
      <c r="F36" s="32">
        <v>0</v>
      </c>
      <c r="G36" s="21">
        <f t="shared" si="13"/>
        <v>0</v>
      </c>
      <c r="H36" s="28">
        <v>15000</v>
      </c>
      <c r="I36" s="22">
        <v>15000</v>
      </c>
      <c r="J36" s="21">
        <f t="shared" si="14"/>
        <v>100</v>
      </c>
      <c r="K36" s="28">
        <v>881171.47</v>
      </c>
      <c r="L36" s="22">
        <v>841171.47</v>
      </c>
      <c r="M36" s="21">
        <f t="shared" si="15"/>
        <v>95.4605883914966</v>
      </c>
      <c r="N36" s="28">
        <v>80000</v>
      </c>
      <c r="O36" s="22">
        <v>80000</v>
      </c>
      <c r="P36" s="21">
        <f t="shared" si="16"/>
        <v>100</v>
      </c>
      <c r="Q36" s="27">
        <v>0</v>
      </c>
      <c r="R36" s="20">
        <v>0</v>
      </c>
      <c r="S36" s="21" t="str">
        <f t="shared" si="17"/>
        <v>-</v>
      </c>
      <c r="T36" s="27">
        <v>0</v>
      </c>
      <c r="U36" s="20">
        <v>0</v>
      </c>
      <c r="V36" s="21" t="str">
        <f t="shared" si="18"/>
        <v>-</v>
      </c>
      <c r="W36" s="14" t="str">
        <f t="shared" si="7"/>
        <v>-</v>
      </c>
      <c r="X36" s="14" t="str">
        <f t="shared" si="7"/>
        <v>-</v>
      </c>
    </row>
    <row r="37" spans="1:24" x14ac:dyDescent="0.3">
      <c r="A37" s="5" t="s">
        <v>263</v>
      </c>
      <c r="B37" s="32">
        <v>0</v>
      </c>
      <c r="C37" s="32">
        <v>0</v>
      </c>
      <c r="D37" s="21" t="str">
        <f t="shared" si="12"/>
        <v>-</v>
      </c>
      <c r="E37" s="32">
        <v>0</v>
      </c>
      <c r="F37" s="32">
        <v>0</v>
      </c>
      <c r="G37" s="21" t="str">
        <f t="shared" si="13"/>
        <v>-</v>
      </c>
      <c r="H37" s="28">
        <v>0</v>
      </c>
      <c r="I37" s="22">
        <v>0</v>
      </c>
      <c r="J37" s="21" t="str">
        <f t="shared" si="14"/>
        <v>-</v>
      </c>
      <c r="K37" s="28">
        <v>0</v>
      </c>
      <c r="L37" s="22">
        <v>0</v>
      </c>
      <c r="M37" s="21" t="str">
        <f t="shared" si="15"/>
        <v>-</v>
      </c>
      <c r="N37" s="28">
        <v>0</v>
      </c>
      <c r="O37" s="22">
        <v>0</v>
      </c>
      <c r="P37" s="21" t="str">
        <f t="shared" si="16"/>
        <v>-</v>
      </c>
      <c r="Q37" s="27">
        <v>0</v>
      </c>
      <c r="R37" s="20">
        <v>0</v>
      </c>
      <c r="S37" s="21" t="str">
        <f t="shared" si="17"/>
        <v>-</v>
      </c>
      <c r="T37" s="27">
        <v>0</v>
      </c>
      <c r="U37" s="20">
        <v>0</v>
      </c>
      <c r="V37" s="21" t="str">
        <f t="shared" si="18"/>
        <v>-</v>
      </c>
      <c r="W37" s="14" t="str">
        <f t="shared" si="7"/>
        <v>-</v>
      </c>
      <c r="X37" s="14" t="str">
        <f t="shared" si="7"/>
        <v>-</v>
      </c>
    </row>
    <row r="38" spans="1:24" x14ac:dyDescent="0.3">
      <c r="A38" s="5" t="s">
        <v>53</v>
      </c>
      <c r="B38" s="32">
        <v>0</v>
      </c>
      <c r="C38" s="32">
        <v>0</v>
      </c>
      <c r="D38" s="21" t="str">
        <f t="shared" si="12"/>
        <v>-</v>
      </c>
      <c r="E38" s="32">
        <v>90616.69</v>
      </c>
      <c r="F38" s="32">
        <v>90616.69</v>
      </c>
      <c r="G38" s="21">
        <f t="shared" si="13"/>
        <v>100</v>
      </c>
      <c r="H38" s="28">
        <v>0</v>
      </c>
      <c r="I38" s="22">
        <v>0</v>
      </c>
      <c r="J38" s="21" t="str">
        <f t="shared" si="14"/>
        <v>-</v>
      </c>
      <c r="K38" s="28">
        <v>151233.38</v>
      </c>
      <c r="L38" s="22">
        <v>151233.38</v>
      </c>
      <c r="M38" s="21">
        <f t="shared" si="15"/>
        <v>100</v>
      </c>
      <c r="N38" s="28">
        <v>1723820.98</v>
      </c>
      <c r="O38" s="22">
        <v>1723820.98</v>
      </c>
      <c r="P38" s="21">
        <f t="shared" si="16"/>
        <v>100</v>
      </c>
      <c r="Q38" s="1">
        <v>235283.32</v>
      </c>
      <c r="R38" s="1">
        <v>235283.32</v>
      </c>
      <c r="S38" s="21">
        <f t="shared" si="17"/>
        <v>100</v>
      </c>
      <c r="T38" s="27">
        <v>0</v>
      </c>
      <c r="U38" s="20">
        <v>0</v>
      </c>
      <c r="V38" s="21" t="str">
        <f t="shared" si="18"/>
        <v>-</v>
      </c>
      <c r="W38" s="14">
        <f t="shared" si="7"/>
        <v>-100</v>
      </c>
      <c r="X38" s="14">
        <f t="shared" si="7"/>
        <v>-100</v>
      </c>
    </row>
    <row r="39" spans="1:24" x14ac:dyDescent="0.3">
      <c r="A39" s="5" t="s">
        <v>54</v>
      </c>
      <c r="B39" s="32">
        <v>32153805.690000001</v>
      </c>
      <c r="C39" s="32">
        <v>32153805.690000001</v>
      </c>
      <c r="D39" s="21">
        <f t="shared" si="12"/>
        <v>100</v>
      </c>
      <c r="E39" s="32">
        <v>17416034.52</v>
      </c>
      <c r="F39" s="32">
        <v>17416034.52</v>
      </c>
      <c r="G39" s="21">
        <f t="shared" si="13"/>
        <v>100</v>
      </c>
      <c r="H39" s="28">
        <v>50419717.770000003</v>
      </c>
      <c r="I39" s="22">
        <v>49891100.969999999</v>
      </c>
      <c r="J39" s="21">
        <f t="shared" si="14"/>
        <v>98.951567316557771</v>
      </c>
      <c r="K39" s="28">
        <v>20799833</v>
      </c>
      <c r="L39" s="22">
        <v>20799833</v>
      </c>
      <c r="M39" s="21">
        <f t="shared" si="15"/>
        <v>100</v>
      </c>
      <c r="N39" s="28">
        <v>29323842.16</v>
      </c>
      <c r="O39" s="22">
        <v>29323842.16</v>
      </c>
      <c r="P39" s="21">
        <f t="shared" si="16"/>
        <v>100</v>
      </c>
      <c r="Q39" s="1">
        <v>29866374.829999998</v>
      </c>
      <c r="R39" s="1">
        <v>29866374.829999998</v>
      </c>
      <c r="S39" s="21">
        <f t="shared" si="17"/>
        <v>100</v>
      </c>
      <c r="T39" s="1">
        <v>10500000</v>
      </c>
      <c r="U39" s="1">
        <v>10500000</v>
      </c>
      <c r="V39" s="21">
        <f t="shared" si="18"/>
        <v>100</v>
      </c>
      <c r="W39" s="14">
        <f t="shared" si="7"/>
        <v>-64.843406473781272</v>
      </c>
      <c r="X39" s="14">
        <f t="shared" si="7"/>
        <v>-64.843406473781272</v>
      </c>
    </row>
    <row r="40" spans="1:24" x14ac:dyDescent="0.3">
      <c r="A40" s="5" t="s">
        <v>55</v>
      </c>
      <c r="B40" s="32">
        <v>43014226.189999998</v>
      </c>
      <c r="C40" s="32">
        <v>0</v>
      </c>
      <c r="D40" s="21">
        <f t="shared" si="12"/>
        <v>0</v>
      </c>
      <c r="E40" s="32">
        <v>45590937.119999997</v>
      </c>
      <c r="F40" s="32">
        <v>0</v>
      </c>
      <c r="G40" s="21">
        <f t="shared" si="13"/>
        <v>0</v>
      </c>
      <c r="H40" s="28">
        <v>43439032.229999997</v>
      </c>
      <c r="I40" s="22">
        <v>43439032.229999997</v>
      </c>
      <c r="J40" s="21">
        <f t="shared" si="14"/>
        <v>100</v>
      </c>
      <c r="K40" s="28">
        <v>46001131.240000002</v>
      </c>
      <c r="L40" s="22">
        <v>0</v>
      </c>
      <c r="M40" s="21">
        <f t="shared" si="15"/>
        <v>0</v>
      </c>
      <c r="N40" s="28">
        <v>37518667.909999996</v>
      </c>
      <c r="O40" s="22">
        <v>37518667.909999996</v>
      </c>
      <c r="P40" s="21">
        <f t="shared" si="16"/>
        <v>100</v>
      </c>
      <c r="Q40" s="28">
        <v>30275945.399999999</v>
      </c>
      <c r="R40" s="22">
        <v>30275945.399999999</v>
      </c>
      <c r="S40" s="21">
        <f t="shared" si="17"/>
        <v>100</v>
      </c>
      <c r="T40" s="28">
        <v>33349220.329999998</v>
      </c>
      <c r="U40" s="22">
        <v>0</v>
      </c>
      <c r="V40" s="21">
        <f t="shared" si="18"/>
        <v>0</v>
      </c>
      <c r="W40" s="14">
        <f t="shared" si="7"/>
        <v>10.150880143944249</v>
      </c>
      <c r="X40" s="14">
        <f t="shared" si="7"/>
        <v>-100</v>
      </c>
    </row>
    <row r="41" spans="1:24" x14ac:dyDescent="0.3">
      <c r="A41" s="5" t="s">
        <v>56</v>
      </c>
      <c r="B41" s="32">
        <v>13277762.380000001</v>
      </c>
      <c r="C41" s="32">
        <v>0</v>
      </c>
      <c r="D41" s="21">
        <f t="shared" si="12"/>
        <v>0</v>
      </c>
      <c r="E41" s="32">
        <v>13292728.93</v>
      </c>
      <c r="F41" s="32">
        <v>0</v>
      </c>
      <c r="G41" s="21">
        <f t="shared" si="13"/>
        <v>0</v>
      </c>
      <c r="H41" s="28">
        <v>13587239.02</v>
      </c>
      <c r="I41" s="22">
        <v>13587239.02</v>
      </c>
      <c r="J41" s="21">
        <f t="shared" si="14"/>
        <v>100</v>
      </c>
      <c r="K41" s="28">
        <v>170490214.84</v>
      </c>
      <c r="L41" s="22">
        <v>0</v>
      </c>
      <c r="M41" s="21">
        <f t="shared" si="15"/>
        <v>0</v>
      </c>
      <c r="N41" s="28">
        <v>142398689.83000001</v>
      </c>
      <c r="O41" s="22">
        <v>142398689.83000001</v>
      </c>
      <c r="P41" s="21">
        <f t="shared" si="16"/>
        <v>100</v>
      </c>
      <c r="Q41" s="28">
        <v>0</v>
      </c>
      <c r="R41" s="22">
        <v>0</v>
      </c>
      <c r="S41" s="21" t="str">
        <f t="shared" si="17"/>
        <v>-</v>
      </c>
      <c r="T41" s="28">
        <v>0</v>
      </c>
      <c r="U41" s="22">
        <v>0</v>
      </c>
      <c r="V41" s="21" t="str">
        <f t="shared" si="18"/>
        <v>-</v>
      </c>
      <c r="W41" s="14" t="str">
        <f t="shared" si="7"/>
        <v>-</v>
      </c>
      <c r="X41" s="14" t="str">
        <f t="shared" si="7"/>
        <v>-</v>
      </c>
    </row>
    <row r="42" spans="1:24" x14ac:dyDescent="0.3">
      <c r="A42" s="5" t="s">
        <v>57</v>
      </c>
      <c r="B42" s="32">
        <v>83838925.180000007</v>
      </c>
      <c r="C42" s="32">
        <v>0</v>
      </c>
      <c r="D42" s="21">
        <f t="shared" si="12"/>
        <v>0</v>
      </c>
      <c r="E42" s="32">
        <v>75238249.469999999</v>
      </c>
      <c r="F42" s="32">
        <v>0</v>
      </c>
      <c r="G42" s="21">
        <f t="shared" si="13"/>
        <v>0</v>
      </c>
      <c r="H42" s="28">
        <v>78577134.189999998</v>
      </c>
      <c r="I42" s="22">
        <v>78577134.189999998</v>
      </c>
      <c r="J42" s="21">
        <f t="shared" si="14"/>
        <v>100</v>
      </c>
      <c r="K42" s="28">
        <v>82341302.609999999</v>
      </c>
      <c r="L42" s="22">
        <v>0</v>
      </c>
      <c r="M42" s="21">
        <f t="shared" si="15"/>
        <v>0</v>
      </c>
      <c r="N42" s="28">
        <v>47277630.82</v>
      </c>
      <c r="O42" s="22">
        <v>47277630.82</v>
      </c>
      <c r="P42" s="21">
        <f t="shared" si="16"/>
        <v>100</v>
      </c>
      <c r="Q42" s="28">
        <v>79350009.989999995</v>
      </c>
      <c r="R42" s="22">
        <v>79350009.989999995</v>
      </c>
      <c r="S42" s="21">
        <f t="shared" si="17"/>
        <v>100</v>
      </c>
      <c r="T42" s="28">
        <v>103598010.62</v>
      </c>
      <c r="U42" s="22">
        <v>0</v>
      </c>
      <c r="V42" s="21">
        <f t="shared" si="18"/>
        <v>0</v>
      </c>
      <c r="W42" s="14">
        <f t="shared" si="7"/>
        <v>30.558283021080712</v>
      </c>
      <c r="X42" s="14">
        <f t="shared" si="7"/>
        <v>-100</v>
      </c>
    </row>
    <row r="43" spans="1:24" x14ac:dyDescent="0.3">
      <c r="A43" s="5" t="s">
        <v>58</v>
      </c>
      <c r="B43" s="32">
        <v>0</v>
      </c>
      <c r="C43" s="32">
        <v>0</v>
      </c>
      <c r="D43" s="21" t="str">
        <f t="shared" si="12"/>
        <v>-</v>
      </c>
      <c r="E43" s="32">
        <v>0</v>
      </c>
      <c r="F43" s="32">
        <v>0</v>
      </c>
      <c r="G43" s="21" t="str">
        <f t="shared" si="13"/>
        <v>-</v>
      </c>
      <c r="H43" s="28">
        <v>0</v>
      </c>
      <c r="I43" s="22">
        <v>0</v>
      </c>
      <c r="J43" s="21" t="str">
        <f t="shared" si="14"/>
        <v>-</v>
      </c>
      <c r="K43" s="28">
        <v>0</v>
      </c>
      <c r="L43" s="22">
        <v>0</v>
      </c>
      <c r="M43" s="21" t="str">
        <f t="shared" si="15"/>
        <v>-</v>
      </c>
      <c r="N43" s="28">
        <v>0</v>
      </c>
      <c r="O43" s="22">
        <v>0</v>
      </c>
      <c r="P43" s="21" t="str">
        <f t="shared" si="16"/>
        <v>-</v>
      </c>
      <c r="Q43" s="28">
        <v>0</v>
      </c>
      <c r="R43" s="22">
        <v>0</v>
      </c>
      <c r="S43" s="21" t="str">
        <f t="shared" si="17"/>
        <v>-</v>
      </c>
      <c r="T43" s="28">
        <v>0</v>
      </c>
      <c r="U43" s="22">
        <v>0</v>
      </c>
      <c r="V43" s="21" t="str">
        <f t="shared" si="18"/>
        <v>-</v>
      </c>
      <c r="W43" s="14" t="str">
        <f t="shared" si="7"/>
        <v>-</v>
      </c>
      <c r="X43" s="14" t="str">
        <f t="shared" si="7"/>
        <v>-</v>
      </c>
    </row>
    <row r="44" spans="1:24" x14ac:dyDescent="0.3">
      <c r="A44" s="5" t="s">
        <v>59</v>
      </c>
      <c r="B44" s="32">
        <v>0</v>
      </c>
      <c r="C44" s="32">
        <v>0</v>
      </c>
      <c r="D44" s="21" t="str">
        <f t="shared" si="12"/>
        <v>-</v>
      </c>
      <c r="E44" s="32">
        <v>0</v>
      </c>
      <c r="F44" s="32">
        <v>0</v>
      </c>
      <c r="G44" s="21" t="str">
        <f t="shared" si="13"/>
        <v>-</v>
      </c>
      <c r="H44" s="28">
        <v>0</v>
      </c>
      <c r="I44" s="22">
        <v>0</v>
      </c>
      <c r="J44" s="21" t="str">
        <f t="shared" si="14"/>
        <v>-</v>
      </c>
      <c r="K44" s="28">
        <v>0</v>
      </c>
      <c r="L44" s="22">
        <v>0</v>
      </c>
      <c r="M44" s="21" t="str">
        <f t="shared" si="15"/>
        <v>-</v>
      </c>
      <c r="N44" s="28">
        <v>0</v>
      </c>
      <c r="O44" s="22">
        <v>0</v>
      </c>
      <c r="P44" s="21" t="str">
        <f t="shared" si="16"/>
        <v>-</v>
      </c>
      <c r="Q44" s="28">
        <v>0</v>
      </c>
      <c r="R44" s="22">
        <v>0</v>
      </c>
      <c r="S44" s="21" t="str">
        <f t="shared" si="17"/>
        <v>-</v>
      </c>
      <c r="T44" s="28">
        <v>0</v>
      </c>
      <c r="U44" s="22">
        <v>0</v>
      </c>
      <c r="V44" s="21" t="str">
        <f t="shared" si="18"/>
        <v>-</v>
      </c>
      <c r="W44" s="14" t="str">
        <f t="shared" si="7"/>
        <v>-</v>
      </c>
      <c r="X44" s="14" t="str">
        <f t="shared" si="7"/>
        <v>-</v>
      </c>
    </row>
    <row r="45" spans="1:24" x14ac:dyDescent="0.3">
      <c r="A45" s="5" t="s">
        <v>60</v>
      </c>
      <c r="B45" s="31">
        <v>823694743.57000005</v>
      </c>
      <c r="C45" s="31">
        <v>672216566.19000006</v>
      </c>
      <c r="D45" s="21">
        <f t="shared" si="12"/>
        <v>81.609913312852541</v>
      </c>
      <c r="E45" s="31">
        <v>750499922.92999995</v>
      </c>
      <c r="F45" s="31">
        <v>750499922.92999995</v>
      </c>
      <c r="G45" s="21">
        <f t="shared" si="13"/>
        <v>100</v>
      </c>
      <c r="H45" s="28">
        <v>1168125709.5</v>
      </c>
      <c r="I45" s="22">
        <v>918409190.62</v>
      </c>
      <c r="J45" s="21">
        <f t="shared" si="14"/>
        <v>78.622461876394482</v>
      </c>
      <c r="K45" s="28">
        <v>1310565170.21</v>
      </c>
      <c r="L45" s="22">
        <v>1014286699.98</v>
      </c>
      <c r="M45" s="21">
        <f t="shared" si="15"/>
        <v>77.393076135044439</v>
      </c>
      <c r="N45" s="28">
        <v>1139059874.55</v>
      </c>
      <c r="O45" s="22">
        <v>1022520453.46</v>
      </c>
      <c r="P45" s="21">
        <f t="shared" si="16"/>
        <v>89.768806390793088</v>
      </c>
      <c r="Q45" s="28">
        <v>1139059874.55</v>
      </c>
      <c r="R45" s="22">
        <v>1022520453.46</v>
      </c>
      <c r="S45" s="21">
        <f t="shared" si="17"/>
        <v>89.768806390793088</v>
      </c>
      <c r="T45" s="31">
        <v>0</v>
      </c>
      <c r="U45" s="31">
        <v>0</v>
      </c>
      <c r="V45" s="21" t="str">
        <f t="shared" si="18"/>
        <v>-</v>
      </c>
      <c r="W45" s="14">
        <f t="shared" si="7"/>
        <v>-100</v>
      </c>
      <c r="X45" s="14">
        <f t="shared" si="7"/>
        <v>-100</v>
      </c>
    </row>
    <row r="46" spans="1:24" x14ac:dyDescent="0.3">
      <c r="A46" s="5" t="s">
        <v>61</v>
      </c>
      <c r="B46" s="32">
        <v>91007494.760000005</v>
      </c>
      <c r="C46" s="32">
        <v>0</v>
      </c>
      <c r="D46" s="21">
        <f t="shared" si="12"/>
        <v>0</v>
      </c>
      <c r="E46" s="32">
        <v>86634555.620000005</v>
      </c>
      <c r="F46" s="32">
        <v>0</v>
      </c>
      <c r="G46" s="21">
        <f t="shared" si="13"/>
        <v>0</v>
      </c>
      <c r="H46" s="28">
        <v>142171547.81</v>
      </c>
      <c r="I46" s="22">
        <v>0</v>
      </c>
      <c r="J46" s="21">
        <f t="shared" si="14"/>
        <v>0</v>
      </c>
      <c r="K46" s="28">
        <v>141049403.59999999</v>
      </c>
      <c r="L46" s="22">
        <v>0</v>
      </c>
      <c r="M46" s="21">
        <f t="shared" si="15"/>
        <v>0</v>
      </c>
      <c r="N46" s="28">
        <v>180830544.59999999</v>
      </c>
      <c r="O46" s="22">
        <v>0</v>
      </c>
      <c r="P46" s="21">
        <f t="shared" si="16"/>
        <v>0</v>
      </c>
      <c r="Q46" s="28">
        <v>776930709.65999997</v>
      </c>
      <c r="R46" s="22">
        <v>0</v>
      </c>
      <c r="S46" s="21">
        <f t="shared" si="17"/>
        <v>0</v>
      </c>
      <c r="T46" s="28">
        <v>1004181130.15</v>
      </c>
      <c r="U46" s="22">
        <v>0</v>
      </c>
      <c r="V46" s="21">
        <f t="shared" si="18"/>
        <v>0</v>
      </c>
      <c r="W46" s="14">
        <f t="shared" si="7"/>
        <v>29.249766763557233</v>
      </c>
      <c r="X46" s="14" t="str">
        <f t="shared" si="7"/>
        <v>-</v>
      </c>
    </row>
    <row r="47" spans="1:24" x14ac:dyDescent="0.3">
      <c r="A47" s="5" t="s">
        <v>62</v>
      </c>
      <c r="B47" s="32">
        <v>102252163.65000001</v>
      </c>
      <c r="C47" s="32">
        <v>0</v>
      </c>
      <c r="D47" s="21">
        <f t="shared" si="12"/>
        <v>0</v>
      </c>
      <c r="E47" s="32">
        <v>151896330.41999999</v>
      </c>
      <c r="F47" s="32">
        <v>0</v>
      </c>
      <c r="G47" s="21">
        <f t="shared" si="13"/>
        <v>0</v>
      </c>
      <c r="H47" s="28">
        <v>108405287.01000001</v>
      </c>
      <c r="I47" s="22">
        <v>0</v>
      </c>
      <c r="J47" s="21">
        <f t="shared" si="14"/>
        <v>0</v>
      </c>
      <c r="K47" s="28">
        <v>83770347.739999995</v>
      </c>
      <c r="L47" s="22">
        <v>0</v>
      </c>
      <c r="M47" s="21">
        <f t="shared" si="15"/>
        <v>0</v>
      </c>
      <c r="N47" s="28">
        <v>9011840.5700000003</v>
      </c>
      <c r="O47" s="22">
        <v>0</v>
      </c>
      <c r="P47" s="21">
        <f t="shared" si="16"/>
        <v>0</v>
      </c>
      <c r="Q47" s="28">
        <v>5274292.78</v>
      </c>
      <c r="R47" s="22">
        <v>0</v>
      </c>
      <c r="S47" s="21">
        <f t="shared" si="17"/>
        <v>0</v>
      </c>
      <c r="T47" s="28">
        <v>4371501.17</v>
      </c>
      <c r="U47" s="22">
        <v>0</v>
      </c>
      <c r="V47" s="21">
        <f t="shared" si="18"/>
        <v>0</v>
      </c>
      <c r="W47" s="14">
        <f t="shared" si="7"/>
        <v>-17.116827746524905</v>
      </c>
      <c r="X47" s="14" t="str">
        <f t="shared" si="7"/>
        <v>-</v>
      </c>
    </row>
    <row r="48" spans="1:24" x14ac:dyDescent="0.3">
      <c r="A48" s="5" t="s">
        <v>63</v>
      </c>
      <c r="B48" s="31">
        <f>SUM(B23:B30)</f>
        <v>1074098760.6099999</v>
      </c>
      <c r="C48" s="31">
        <f>SUM(C23:C30)</f>
        <v>718898081.93000007</v>
      </c>
      <c r="D48" s="21">
        <f t="shared" si="12"/>
        <v>66.93035205828977</v>
      </c>
      <c r="E48" s="31">
        <f>SUM(E23:E30)</f>
        <v>1032279743.7800001</v>
      </c>
      <c r="F48" s="31">
        <f>SUM(F23:F30)</f>
        <v>688524148.91999996</v>
      </c>
      <c r="G48" s="21">
        <f t="shared" si="13"/>
        <v>66.699376120543008</v>
      </c>
      <c r="H48" s="28">
        <f>SUM(H23:H30)</f>
        <v>1136103349.4300001</v>
      </c>
      <c r="I48" s="22">
        <f>SUM(I23:I30)</f>
        <v>793875378.40999997</v>
      </c>
      <c r="J48" s="21">
        <f t="shared" si="14"/>
        <v>69.877038810623972</v>
      </c>
      <c r="K48" s="28">
        <f>SUM(K23:K30)</f>
        <v>1055177700.4300001</v>
      </c>
      <c r="L48" s="22">
        <f>SUM(L23:L30)</f>
        <v>763021087.20000005</v>
      </c>
      <c r="M48" s="21">
        <f t="shared" si="15"/>
        <v>72.312093677591747</v>
      </c>
      <c r="N48" s="28">
        <f>SUM(N23:N30)</f>
        <v>1041760459.27</v>
      </c>
      <c r="O48" s="22">
        <f>SUM(O23:O30)</f>
        <v>736592947.06000006</v>
      </c>
      <c r="P48" s="21">
        <f t="shared" si="16"/>
        <v>70.70655643583919</v>
      </c>
      <c r="Q48" s="28">
        <f>SUM(Q23:Q30)</f>
        <v>1068105243.0100001</v>
      </c>
      <c r="R48" s="22">
        <f>SUM(R23:R30)</f>
        <v>827292960.51000011</v>
      </c>
      <c r="S48" s="21">
        <f t="shared" si="17"/>
        <v>77.454255179819825</v>
      </c>
      <c r="T48" s="28">
        <f>SUM(T23:T30)</f>
        <v>1157995259.9699998</v>
      </c>
      <c r="U48" s="22">
        <f>SUM(U23:U30)</f>
        <v>891382672.81000006</v>
      </c>
      <c r="V48" s="21">
        <f t="shared" si="18"/>
        <v>76.976366279175707</v>
      </c>
      <c r="W48" s="14">
        <f t="shared" si="7"/>
        <v>8.4158389398672853</v>
      </c>
      <c r="X48" s="14">
        <f t="shared" si="7"/>
        <v>7.7469186079488281</v>
      </c>
    </row>
    <row r="49" spans="1:24" x14ac:dyDescent="0.3">
      <c r="A49" s="5" t="s">
        <v>64</v>
      </c>
      <c r="B49" s="31">
        <f>SUM(B31:B35)</f>
        <v>70171855.24000001</v>
      </c>
      <c r="C49" s="31">
        <f>SUM(C31:C35)</f>
        <v>37402456.240000002</v>
      </c>
      <c r="D49" s="21">
        <f t="shared" si="12"/>
        <v>53.301221853230288</v>
      </c>
      <c r="E49" s="31">
        <f>SUM(E31:E35)</f>
        <v>80175864.359999999</v>
      </c>
      <c r="F49" s="31">
        <f>SUM(F31:F35)</f>
        <v>51867834.530000001</v>
      </c>
      <c r="G49" s="21">
        <f t="shared" si="13"/>
        <v>64.692579174583912</v>
      </c>
      <c r="H49" s="28">
        <f>SUM(H31:H35)</f>
        <v>196060608</v>
      </c>
      <c r="I49" s="22">
        <f>SUM(I31:I35)</f>
        <v>110681467.73999999</v>
      </c>
      <c r="J49" s="21">
        <f t="shared" si="14"/>
        <v>56.452680050854475</v>
      </c>
      <c r="K49" s="28">
        <f>SUM(K31:K35)</f>
        <v>77238187.36999999</v>
      </c>
      <c r="L49" s="22">
        <f>SUM(L31:L35)</f>
        <v>29068513.149999999</v>
      </c>
      <c r="M49" s="21">
        <f t="shared" si="15"/>
        <v>37.634898150510551</v>
      </c>
      <c r="N49" s="28">
        <f>SUM(N31:N35)</f>
        <v>141358606.03999999</v>
      </c>
      <c r="O49" s="22">
        <f>SUM(O31:O35)</f>
        <v>121851294.15000001</v>
      </c>
      <c r="P49" s="21">
        <f t="shared" si="16"/>
        <v>86.200124324598931</v>
      </c>
      <c r="Q49" s="28">
        <f>SUM(Q31:Q35)</f>
        <v>136555425.97999999</v>
      </c>
      <c r="R49" s="22">
        <f>SUM(R31:R35)</f>
        <v>102996821.92</v>
      </c>
      <c r="S49" s="21">
        <f t="shared" si="17"/>
        <v>75.424920819393137</v>
      </c>
      <c r="T49" s="28">
        <f>SUM(T31:T35)</f>
        <v>189601079.30000001</v>
      </c>
      <c r="U49" s="22">
        <f>SUM(U31:U35)</f>
        <v>149576372.63</v>
      </c>
      <c r="V49" s="21">
        <f t="shared" si="18"/>
        <v>78.890042811059033</v>
      </c>
      <c r="W49" s="14">
        <f t="shared" si="7"/>
        <v>38.845511219575513</v>
      </c>
      <c r="X49" s="14">
        <f t="shared" si="7"/>
        <v>45.224260168123806</v>
      </c>
    </row>
    <row r="50" spans="1:24" x14ac:dyDescent="0.3">
      <c r="A50" s="5" t="s">
        <v>65</v>
      </c>
      <c r="B50" s="31">
        <f>SUM(B36:B39)</f>
        <v>44242084.689999998</v>
      </c>
      <c r="C50" s="31">
        <f>SUM(C36:C39)</f>
        <v>32153805.690000001</v>
      </c>
      <c r="D50" s="21">
        <f t="shared" si="12"/>
        <v>72.676967903521287</v>
      </c>
      <c r="E50" s="31">
        <f>SUM(E36:E39)</f>
        <v>21307651.210000001</v>
      </c>
      <c r="F50" s="31">
        <f>SUM(F36:F39)</f>
        <v>17506651.210000001</v>
      </c>
      <c r="G50" s="21">
        <f t="shared" si="13"/>
        <v>82.161337434432312</v>
      </c>
      <c r="H50" s="28">
        <f>SUM(H36:H39)</f>
        <v>50434717.770000003</v>
      </c>
      <c r="I50" s="22">
        <f>SUM(I36:I39)</f>
        <v>49906100.969999999</v>
      </c>
      <c r="J50" s="21">
        <f t="shared" si="14"/>
        <v>98.951879135299848</v>
      </c>
      <c r="K50" s="28">
        <f>SUM(K36:K39)</f>
        <v>21832237.850000001</v>
      </c>
      <c r="L50" s="22">
        <f>SUM(L36:L39)</f>
        <v>21792237.850000001</v>
      </c>
      <c r="M50" s="21">
        <f t="shared" si="15"/>
        <v>99.816784700337081</v>
      </c>
      <c r="N50" s="28">
        <f>SUM(N36:N39)</f>
        <v>31127663.140000001</v>
      </c>
      <c r="O50" s="22">
        <f>SUM(O36:O39)</f>
        <v>31127663.140000001</v>
      </c>
      <c r="P50" s="21">
        <f t="shared" si="16"/>
        <v>100</v>
      </c>
      <c r="Q50" s="28">
        <f>SUM(Q36:Q39)</f>
        <v>30101658.149999999</v>
      </c>
      <c r="R50" s="22">
        <f>SUM(R36:R39)</f>
        <v>30101658.149999999</v>
      </c>
      <c r="S50" s="21">
        <f t="shared" si="17"/>
        <v>100</v>
      </c>
      <c r="T50" s="28">
        <f>SUM(T36:T39)</f>
        <v>10500000</v>
      </c>
      <c r="U50" s="22">
        <f>SUM(U36:U39)</f>
        <v>10500000</v>
      </c>
      <c r="V50" s="21">
        <f t="shared" si="18"/>
        <v>100</v>
      </c>
      <c r="W50" s="14">
        <f t="shared" si="7"/>
        <v>-65.118200639721238</v>
      </c>
      <c r="X50" s="14">
        <f t="shared" si="7"/>
        <v>-65.118200639721238</v>
      </c>
    </row>
    <row r="51" spans="1:24" x14ac:dyDescent="0.3">
      <c r="A51" s="5" t="s">
        <v>66</v>
      </c>
      <c r="B51" s="31">
        <f>SUM(B40:B44)</f>
        <v>140130913.75</v>
      </c>
      <c r="C51" s="33">
        <v>124901584.95</v>
      </c>
      <c r="D51" s="21">
        <f t="shared" si="12"/>
        <v>89.132070581392327</v>
      </c>
      <c r="E51" s="31">
        <f>SUM(E40:E44)</f>
        <v>134121915.52</v>
      </c>
      <c r="F51" s="33">
        <v>128241544.01000001</v>
      </c>
      <c r="G51" s="21">
        <f t="shared" si="13"/>
        <v>95.615652007950089</v>
      </c>
      <c r="H51" s="28">
        <f>SUM(H40:H44)</f>
        <v>135603405.44</v>
      </c>
      <c r="I51" s="22">
        <f>SUM(I40:I44)</f>
        <v>135603405.44</v>
      </c>
      <c r="J51" s="21">
        <f t="shared" si="14"/>
        <v>100</v>
      </c>
      <c r="K51" s="28">
        <f>SUM(K40:K44)</f>
        <v>298832648.69</v>
      </c>
      <c r="L51" s="23">
        <v>294653725.11000001</v>
      </c>
      <c r="M51" s="21">
        <f t="shared" si="15"/>
        <v>98.601583997491829</v>
      </c>
      <c r="N51" s="28">
        <f>SUM(N40:N44)</f>
        <v>227194988.56</v>
      </c>
      <c r="O51" s="31">
        <f>SUM(O40:O44)</f>
        <v>227194988.56</v>
      </c>
      <c r="P51" s="21">
        <f t="shared" si="16"/>
        <v>100</v>
      </c>
      <c r="Q51" s="28">
        <f>SUM(Q40:Q44)</f>
        <v>109625955.38999999</v>
      </c>
      <c r="R51" s="31">
        <f>SUM(R40:R44)</f>
        <v>109625955.38999999</v>
      </c>
      <c r="S51" s="21">
        <f t="shared" si="17"/>
        <v>100</v>
      </c>
      <c r="T51" s="28">
        <f>SUM(T40:T44)</f>
        <v>136947230.94999999</v>
      </c>
      <c r="U51" s="33">
        <v>129507948.91</v>
      </c>
      <c r="V51" s="21">
        <f t="shared" si="18"/>
        <v>94.567774763758379</v>
      </c>
      <c r="W51" s="14">
        <f t="shared" si="7"/>
        <v>24.922269058274708</v>
      </c>
      <c r="X51" s="14">
        <f t="shared" si="7"/>
        <v>18.136210032805451</v>
      </c>
    </row>
    <row r="52" spans="1:24" x14ac:dyDescent="0.3">
      <c r="A52" s="5" t="s">
        <v>67</v>
      </c>
      <c r="B52" s="31">
        <f>B45</f>
        <v>823694743.57000005</v>
      </c>
      <c r="C52" s="31">
        <f>C45</f>
        <v>672216566.19000006</v>
      </c>
      <c r="D52" s="21">
        <f t="shared" si="12"/>
        <v>81.609913312852541</v>
      </c>
      <c r="E52" s="31">
        <f>E45</f>
        <v>750499922.92999995</v>
      </c>
      <c r="F52" s="31">
        <f>F45</f>
        <v>750499922.92999995</v>
      </c>
      <c r="G52" s="21">
        <f t="shared" si="13"/>
        <v>100</v>
      </c>
      <c r="H52" s="28">
        <f>H45</f>
        <v>1168125709.5</v>
      </c>
      <c r="I52" s="22">
        <f>I45</f>
        <v>918409190.62</v>
      </c>
      <c r="J52" s="21">
        <f t="shared" si="14"/>
        <v>78.622461876394482</v>
      </c>
      <c r="K52" s="28">
        <f>K45</f>
        <v>1310565170.21</v>
      </c>
      <c r="L52" s="22">
        <f>L45</f>
        <v>1014286699.98</v>
      </c>
      <c r="M52" s="21">
        <f t="shared" si="15"/>
        <v>77.393076135044439</v>
      </c>
      <c r="N52" s="28">
        <f>N45</f>
        <v>1139059874.55</v>
      </c>
      <c r="O52" s="22">
        <f>O45</f>
        <v>1022520453.46</v>
      </c>
      <c r="P52" s="21">
        <f t="shared" si="16"/>
        <v>89.768806390793088</v>
      </c>
      <c r="Q52" s="28">
        <v>700491748.45000005</v>
      </c>
      <c r="R52" s="22">
        <v>700491748.45000005</v>
      </c>
      <c r="S52" s="21">
        <f t="shared" si="17"/>
        <v>100</v>
      </c>
      <c r="T52" s="31">
        <f>T45</f>
        <v>0</v>
      </c>
      <c r="U52" s="31">
        <f>U45</f>
        <v>0</v>
      </c>
      <c r="V52" s="21" t="str">
        <f t="shared" si="18"/>
        <v>-</v>
      </c>
      <c r="W52" s="14">
        <f t="shared" si="7"/>
        <v>-100</v>
      </c>
      <c r="X52" s="14">
        <f t="shared" si="7"/>
        <v>-100</v>
      </c>
    </row>
    <row r="53" spans="1:24" x14ac:dyDescent="0.3">
      <c r="A53" s="5" t="s">
        <v>68</v>
      </c>
      <c r="B53" s="31">
        <f>SUM(B46:B47)</f>
        <v>193259658.41000003</v>
      </c>
      <c r="C53" s="33">
        <v>171051555.25999999</v>
      </c>
      <c r="D53" s="21">
        <f t="shared" si="12"/>
        <v>88.508671011471222</v>
      </c>
      <c r="E53" s="31">
        <f>SUM(E46:E47)</f>
        <v>238530886.03999999</v>
      </c>
      <c r="F53" s="33">
        <v>216937877.41</v>
      </c>
      <c r="G53" s="21">
        <f t="shared" si="13"/>
        <v>90.947499928215166</v>
      </c>
      <c r="H53" s="28">
        <f>SUM(H46:H47)</f>
        <v>250576834.81999999</v>
      </c>
      <c r="I53" s="23">
        <v>223908437.77000001</v>
      </c>
      <c r="J53" s="21">
        <f t="shared" si="14"/>
        <v>89.357197735713669</v>
      </c>
      <c r="K53" s="28">
        <f>SUM(K46:K47)</f>
        <v>224819751.33999997</v>
      </c>
      <c r="L53" s="23">
        <v>200412068.09</v>
      </c>
      <c r="M53" s="21">
        <f t="shared" si="15"/>
        <v>89.143443534421635</v>
      </c>
      <c r="N53" s="28">
        <f>SUM(N46:N47)</f>
        <v>189842385.16999999</v>
      </c>
      <c r="O53" s="23">
        <v>168810517.97</v>
      </c>
      <c r="P53" s="21">
        <f t="shared" si="16"/>
        <v>88.921405943585057</v>
      </c>
      <c r="Q53" s="28">
        <f>SUM(Q46:Q47)</f>
        <v>782205002.43999994</v>
      </c>
      <c r="R53" s="23">
        <v>760045777.35000002</v>
      </c>
      <c r="S53" s="21">
        <f t="shared" si="17"/>
        <v>97.167082156100165</v>
      </c>
      <c r="T53" s="28">
        <f>SUM(T46:T47)</f>
        <v>1008552631.3199999</v>
      </c>
      <c r="U53" s="23">
        <v>992374261.99000001</v>
      </c>
      <c r="V53" s="21">
        <f t="shared" si="18"/>
        <v>98.39588249263447</v>
      </c>
      <c r="W53" s="14">
        <f t="shared" si="7"/>
        <v>28.9371236662939</v>
      </c>
      <c r="X53" s="14">
        <f t="shared" si="7"/>
        <v>30.567696257723298</v>
      </c>
    </row>
    <row r="54" spans="1:24" x14ac:dyDescent="0.3">
      <c r="A54" s="5" t="s">
        <v>69</v>
      </c>
      <c r="B54" s="20">
        <f>SUM(B48:B53)</f>
        <v>2345598016.27</v>
      </c>
      <c r="C54" s="20">
        <f>SUM(C48:C53)</f>
        <v>1756624050.2600002</v>
      </c>
      <c r="D54" s="21">
        <f t="shared" si="12"/>
        <v>74.890242832546662</v>
      </c>
      <c r="E54" s="27">
        <f>SUM(E48:E53)</f>
        <v>2256915983.8400002</v>
      </c>
      <c r="F54" s="20">
        <f>SUM(F48:F53)</f>
        <v>1853577979.01</v>
      </c>
      <c r="G54" s="21">
        <f t="shared" si="13"/>
        <v>82.128798425905686</v>
      </c>
      <c r="H54" s="27">
        <f>SUM(H48:H53)</f>
        <v>2936904624.9600005</v>
      </c>
      <c r="I54" s="20">
        <f>SUM(I48:I53)</f>
        <v>2232383980.9499998</v>
      </c>
      <c r="J54" s="21">
        <f t="shared" si="14"/>
        <v>76.011456483044753</v>
      </c>
      <c r="K54" s="27">
        <f>SUM(K48:K53)</f>
        <v>2988465695.8900003</v>
      </c>
      <c r="L54" s="20">
        <f>SUM(L48:L53)</f>
        <v>2323234331.3800001</v>
      </c>
      <c r="M54" s="21">
        <f t="shared" si="15"/>
        <v>77.740036787944916</v>
      </c>
      <c r="N54" s="27">
        <f>SUM(N48:N53)</f>
        <v>2770343976.73</v>
      </c>
      <c r="O54" s="20">
        <f>SUM(O48:O53)</f>
        <v>2308097864.3400002</v>
      </c>
      <c r="P54" s="21">
        <f t="shared" si="16"/>
        <v>83.314486710938468</v>
      </c>
      <c r="Q54" s="27">
        <f>SUM(Q48:Q53)</f>
        <v>2827085033.4200001</v>
      </c>
      <c r="R54" s="20">
        <f>SUM(R48:R53)</f>
        <v>2530554921.77</v>
      </c>
      <c r="S54" s="21">
        <f t="shared" si="17"/>
        <v>89.511100368591329</v>
      </c>
      <c r="T54" s="27">
        <f>SUM(T48:T53)</f>
        <v>2503596201.54</v>
      </c>
      <c r="U54" s="20">
        <f>SUM(U48:U53)</f>
        <v>2173341256.3400002</v>
      </c>
      <c r="V54" s="21">
        <f t="shared" si="18"/>
        <v>86.808777509853428</v>
      </c>
      <c r="W54" s="14">
        <f t="shared" si="7"/>
        <v>-11.442486803754434</v>
      </c>
      <c r="X54" s="14">
        <f t="shared" si="7"/>
        <v>-14.116021049649703</v>
      </c>
    </row>
    <row r="55" spans="1:24" x14ac:dyDescent="0.3">
      <c r="A55" s="15" t="s">
        <v>70</v>
      </c>
      <c r="B55" s="16">
        <f>B54-B53</f>
        <v>2152338357.8600001</v>
      </c>
      <c r="C55" s="16">
        <f>C54-C53</f>
        <v>1585572495.0000002</v>
      </c>
      <c r="D55" s="24">
        <f t="shared" si="12"/>
        <v>73.667436590986711</v>
      </c>
      <c r="E55" s="29">
        <f>E54-E53</f>
        <v>2018385097.8000002</v>
      </c>
      <c r="F55" s="16">
        <f>F54-F53</f>
        <v>1636640101.5999999</v>
      </c>
      <c r="G55" s="24">
        <f t="shared" si="13"/>
        <v>81.086612430100928</v>
      </c>
      <c r="H55" s="29">
        <f>H54-H53</f>
        <v>2686327790.1400003</v>
      </c>
      <c r="I55" s="16">
        <f>I54-I53</f>
        <v>2008475543.1799998</v>
      </c>
      <c r="J55" s="24">
        <f t="shared" si="14"/>
        <v>74.766584724023062</v>
      </c>
      <c r="K55" s="29">
        <f>K54-K53</f>
        <v>2763645944.5500002</v>
      </c>
      <c r="L55" s="16">
        <f>L54-L53</f>
        <v>2122822263.2900002</v>
      </c>
      <c r="M55" s="24">
        <f t="shared" si="15"/>
        <v>76.812381393364618</v>
      </c>
      <c r="N55" s="29">
        <f>N54-N53</f>
        <v>2580501591.5599999</v>
      </c>
      <c r="O55" s="16">
        <f>O54-O53</f>
        <v>2139287346.3700001</v>
      </c>
      <c r="P55" s="24">
        <f t="shared" si="16"/>
        <v>82.901996781049419</v>
      </c>
      <c r="Q55" s="29">
        <f>Q54-Q53</f>
        <v>2044880030.98</v>
      </c>
      <c r="R55" s="16">
        <f>R54-R53</f>
        <v>1770509144.4200001</v>
      </c>
      <c r="S55" s="24">
        <f t="shared" si="17"/>
        <v>86.582543601420525</v>
      </c>
      <c r="T55" s="29">
        <f>T54-T53</f>
        <v>1495043570.22</v>
      </c>
      <c r="U55" s="16">
        <f>U54-U53</f>
        <v>1180966994.3500001</v>
      </c>
      <c r="V55" s="24">
        <f t="shared" si="18"/>
        <v>78.992145638686466</v>
      </c>
      <c r="W55" s="17">
        <f t="shared" si="7"/>
        <v>-26.888445895600682</v>
      </c>
      <c r="X55" s="17">
        <f t="shared" si="7"/>
        <v>-33.297887894452387</v>
      </c>
    </row>
    <row r="56" spans="1:24" x14ac:dyDescent="0.3">
      <c r="A56" s="5" t="s">
        <v>71</v>
      </c>
      <c r="B56" s="32">
        <f>B14-B48</f>
        <v>176149427.1099999</v>
      </c>
      <c r="C56" s="32">
        <f>C14-C48</f>
        <v>147036982.18999994</v>
      </c>
      <c r="D56" s="25"/>
      <c r="E56" s="32">
        <f>E14-E48</f>
        <v>234400563.08999979</v>
      </c>
      <c r="F56" s="32">
        <f>F14-F48</f>
        <v>194431277.74000001</v>
      </c>
      <c r="G56" s="25"/>
      <c r="H56" s="32">
        <f>H14-H48</f>
        <v>241623238.21000004</v>
      </c>
      <c r="I56" s="32">
        <f>I14-I48</f>
        <v>223811652.73000014</v>
      </c>
      <c r="J56" s="25"/>
      <c r="K56" s="32">
        <f>K14-K48</f>
        <v>226069154.39999986</v>
      </c>
      <c r="L56" s="32">
        <f>L14-L48</f>
        <v>174873649.75</v>
      </c>
      <c r="M56" s="25"/>
      <c r="N56" s="32">
        <f>N14-N48</f>
        <v>238938063.75</v>
      </c>
      <c r="O56" s="32">
        <f>O14-O48</f>
        <v>232604450.12</v>
      </c>
      <c r="P56" s="25"/>
      <c r="Q56" s="32">
        <f>Q14-Q48</f>
        <v>459738154.23999989</v>
      </c>
      <c r="R56" s="32">
        <f>R14-R48</f>
        <v>337694985.45999992</v>
      </c>
      <c r="S56" s="25"/>
      <c r="T56" s="32">
        <f>T14-T48</f>
        <v>247611671.13000011</v>
      </c>
      <c r="U56" s="32">
        <f>U14-U48</f>
        <v>157154872.17999995</v>
      </c>
      <c r="V56" s="25"/>
      <c r="W56" s="14">
        <f t="shared" si="7"/>
        <v>-46.140717526625409</v>
      </c>
      <c r="X56" s="14">
        <f t="shared" si="7"/>
        <v>-53.462479768265617</v>
      </c>
    </row>
    <row r="57" spans="1:24" x14ac:dyDescent="0.3">
      <c r="A57" s="5" t="s">
        <v>72</v>
      </c>
      <c r="B57" s="32">
        <f>B15-B49</f>
        <v>-2705236.3600000143</v>
      </c>
      <c r="C57" s="32">
        <f>C15-C49</f>
        <v>7309642.049999997</v>
      </c>
      <c r="D57" s="25"/>
      <c r="E57" s="32">
        <f>E15-E49</f>
        <v>-11588035</v>
      </c>
      <c r="F57" s="32">
        <f>F15-F49</f>
        <v>-11437873.200000003</v>
      </c>
      <c r="G57" s="25"/>
      <c r="H57" s="32">
        <f>H15-H49</f>
        <v>-29470730.900000006</v>
      </c>
      <c r="I57" s="32">
        <f>I15-I49</f>
        <v>-4978012.5899999887</v>
      </c>
      <c r="J57" s="25"/>
      <c r="K57" s="32">
        <f>K15-K49</f>
        <v>-17786495.979999989</v>
      </c>
      <c r="L57" s="32">
        <f>L15-L49</f>
        <v>3242015.2400000021</v>
      </c>
      <c r="M57" s="25"/>
      <c r="N57" s="32">
        <f>N15-N49</f>
        <v>-27583997.819999993</v>
      </c>
      <c r="O57" s="32">
        <f>O15-O49</f>
        <v>-23340026.240000024</v>
      </c>
      <c r="P57" s="25"/>
      <c r="Q57" s="32">
        <f>Q15-Q49</f>
        <v>26534136.979999989</v>
      </c>
      <c r="R57" s="32">
        <f>R15-R49</f>
        <v>45836050.959999993</v>
      </c>
      <c r="S57" s="25"/>
      <c r="T57" s="32">
        <f>T15-T49</f>
        <v>-31940294.380000025</v>
      </c>
      <c r="U57" s="32">
        <f>U15-U49</f>
        <v>-10494221.289999992</v>
      </c>
      <c r="V57" s="25"/>
      <c r="W57" s="14">
        <f t="shared" si="7"/>
        <v>-220.37434797323505</v>
      </c>
      <c r="X57" s="14">
        <f t="shared" si="7"/>
        <v>-122.89512527848012</v>
      </c>
    </row>
    <row r="58" spans="1:24" x14ac:dyDescent="0.3">
      <c r="A58" s="5" t="s">
        <v>357</v>
      </c>
      <c r="B58" s="32">
        <f>SUM(B14:B16)-SUM(B48:B50)</f>
        <v>162516911.75</v>
      </c>
      <c r="C58" s="32">
        <f>SUM(C14:C16)-SUM(C48:C50)</f>
        <v>123353818.54999983</v>
      </c>
      <c r="D58" s="25"/>
      <c r="E58" s="32">
        <f>SUM(E14:E16)-SUM(E48:E50)</f>
        <v>233322528.08999968</v>
      </c>
      <c r="F58" s="32">
        <f>SUM(F14:F16)-SUM(F48:F50)</f>
        <v>179797753.33000004</v>
      </c>
      <c r="G58" s="25"/>
      <c r="H58" s="32">
        <f>SUM(H14:H16)-SUM(H48:H50)</f>
        <v>218669890.50999999</v>
      </c>
      <c r="I58" s="32">
        <f>SUM(I14:I16)-SUM(I48:I50)</f>
        <v>176971818.65000021</v>
      </c>
      <c r="J58" s="25"/>
      <c r="K58" s="32">
        <f>SUM(K14:K16)-SUM(K48:K50)</f>
        <v>224402505.0400002</v>
      </c>
      <c r="L58" s="32">
        <f>SUM(L14:L16)-SUM(L48:L50)</f>
        <v>173284445.23000002</v>
      </c>
      <c r="M58" s="25"/>
      <c r="N58" s="32">
        <f>SUM(N14:N16)-SUM(N48:N50)</f>
        <v>221500749.52999997</v>
      </c>
      <c r="O58" s="32">
        <f>SUM(O14:O16)-SUM(O48:O50)</f>
        <v>180336376.66999996</v>
      </c>
      <c r="P58" s="25"/>
      <c r="Q58" s="32">
        <f>SUM(Q14:Q16)-SUM(Q48:Q50)</f>
        <v>489622891.75</v>
      </c>
      <c r="R58" s="32">
        <f>SUM(R14:R16)-SUM(R48:R50)</f>
        <v>356779978.79999983</v>
      </c>
      <c r="S58" s="25"/>
      <c r="T58" s="32">
        <f>SUM(T14:T16)-SUM(T48:T50)</f>
        <v>216459376.75000024</v>
      </c>
      <c r="U58" s="32">
        <f>SUM(U14:U16)-SUM(U48:U50)</f>
        <v>136948650.88999987</v>
      </c>
      <c r="V58" s="25"/>
      <c r="W58" s="14">
        <f t="shared" si="7"/>
        <v>-55.790593046755717</v>
      </c>
      <c r="X58" s="14">
        <f t="shared" si="7"/>
        <v>-61.615376695010909</v>
      </c>
    </row>
    <row r="59" spans="1:24" x14ac:dyDescent="0.3">
      <c r="A59" s="5" t="s">
        <v>358</v>
      </c>
      <c r="B59" s="32">
        <f>B21-B55</f>
        <v>67479948.139999866</v>
      </c>
      <c r="C59" s="32">
        <f>C21-C55</f>
        <v>182084216.66999984</v>
      </c>
      <c r="D59" s="106"/>
      <c r="E59" s="32">
        <f>E21-E55</f>
        <v>123932441.13999939</v>
      </c>
      <c r="F59" s="32">
        <f>F21-F55</f>
        <v>70059709.440000057</v>
      </c>
      <c r="G59" s="106"/>
      <c r="H59" s="32">
        <f>H21-H55</f>
        <v>99705094.460000038</v>
      </c>
      <c r="I59" s="32">
        <f>I21-I55</f>
        <v>307723541.4800005</v>
      </c>
      <c r="J59" s="106"/>
      <c r="K59" s="32">
        <f>K21-K55</f>
        <v>103570189.38000011</v>
      </c>
      <c r="L59" s="32">
        <f>L21-L55</f>
        <v>352309523.37999988</v>
      </c>
      <c r="M59" s="106"/>
      <c r="N59" s="32">
        <f>N21-N55</f>
        <v>372941794.91000032</v>
      </c>
      <c r="O59" s="32">
        <f>O21-O55</f>
        <v>448316843.1400001</v>
      </c>
      <c r="P59" s="106"/>
      <c r="Q59" s="32">
        <f>Q21-Q55</f>
        <v>409863311.19000006</v>
      </c>
      <c r="R59" s="32">
        <f>R21-R55</f>
        <v>277020398.23999977</v>
      </c>
      <c r="S59" s="106"/>
      <c r="T59" s="32">
        <f>T21-T55</f>
        <v>90012145.799999952</v>
      </c>
      <c r="U59" s="32">
        <f>U21-U55</f>
        <v>17940701.979999781</v>
      </c>
      <c r="V59" s="106"/>
    </row>
    <row r="60" spans="1:24" x14ac:dyDescent="0.3">
      <c r="A60" s="5" t="s">
        <v>359</v>
      </c>
      <c r="C60" s="6">
        <f>SUM(C14:C16)/SUM(B14:B16)*100</f>
        <v>67.489872473222988</v>
      </c>
      <c r="D60" s="106"/>
      <c r="F60" s="6">
        <f>SUM(F14:F16)/SUM(E14:E16)*100</f>
        <v>68.590895802225191</v>
      </c>
      <c r="G60" s="106"/>
      <c r="I60" s="6">
        <f>SUM(I14:I16)/SUM(H14:H16)*100</f>
        <v>70.658650897098184</v>
      </c>
      <c r="J60" s="106"/>
      <c r="L60" s="6">
        <f>SUM(L14:L16)/SUM(K14:K16)*100</f>
        <v>71.603803128565929</v>
      </c>
      <c r="M60" s="106"/>
      <c r="O60" s="6">
        <f>SUM(O14:O16)/SUM(N14:N16)*100</f>
        <v>74.519251987493575</v>
      </c>
      <c r="P60" s="106"/>
      <c r="R60" s="6">
        <f>SUM(R14:R16)/SUM(Q14:Q16)*100</f>
        <v>76.384986657904264</v>
      </c>
      <c r="S60" s="106"/>
      <c r="U60" s="6">
        <f>SUM(U14:U16)/SUM(T14:T16)*100</f>
        <v>75.475747491104002</v>
      </c>
      <c r="V60" s="106"/>
    </row>
    <row r="61" spans="1:24" x14ac:dyDescent="0.3">
      <c r="A61" s="5" t="s">
        <v>360</v>
      </c>
      <c r="C61" s="6">
        <f>SUM(C48:C50)/SUM(B48:B50)*100</f>
        <v>66.339580847707097</v>
      </c>
      <c r="D61" s="106"/>
      <c r="F61" s="6">
        <f>SUM(F48:F50)/SUM(E48:E50)*100</f>
        <v>66.848050367632496</v>
      </c>
      <c r="G61" s="106"/>
      <c r="I61" s="6">
        <f>SUM(I48:I50)/SUM(H48:H50)*100</f>
        <v>69.033983920310931</v>
      </c>
      <c r="J61" s="106"/>
      <c r="L61" s="6">
        <f>SUM(L48:L50)/SUM(K48:K50)*100</f>
        <v>70.511861367907628</v>
      </c>
      <c r="M61" s="106"/>
      <c r="O61" s="6">
        <f>SUM(O48:O50)/SUM(N48:N50)*100</f>
        <v>73.261214834447102</v>
      </c>
      <c r="P61" s="106"/>
      <c r="R61" s="6">
        <f>SUM(R48:R50)/SUM(Q48:Q50)*100</f>
        <v>77.779457590392511</v>
      </c>
      <c r="S61" s="106"/>
      <c r="U61" s="6">
        <f>SUM(U48:U50)/SUM(T48:T50)*100</f>
        <v>77.421535942374859</v>
      </c>
      <c r="V61" s="106"/>
    </row>
    <row r="62" spans="1:24" x14ac:dyDescent="0.3">
      <c r="A62" s="5" t="s">
        <v>362</v>
      </c>
      <c r="B62" s="116">
        <f>(B3+B5+B6+B9+B10+B16)/(B14+B15+B16)*100</f>
        <v>89.506117759351696</v>
      </c>
      <c r="C62" s="116">
        <f>(C3+C5+C6+C9+C10+C16)/(C14+C15+C16)*100</f>
        <v>90.290519811096942</v>
      </c>
      <c r="E62" s="116">
        <f>(E3+E5+E6+E9+E10+E16)/(E14+E15+E16)*100</f>
        <v>88.816932606966361</v>
      </c>
      <c r="F62" s="116">
        <f>(F3+F5+F6+F9+F10+F16)/(F14+F15+F16)*100</f>
        <v>90.915508160098781</v>
      </c>
      <c r="H62" s="116">
        <f>(H3+H5+H6+H9+H10+H16)/(H14+H15+H16)*100</f>
        <v>82.851094826916622</v>
      </c>
      <c r="I62" s="116">
        <f>(I3+I5+I6+I9+I10+I16)/(I14+I15+I16)*100</f>
        <v>86.585934277288018</v>
      </c>
      <c r="K62" s="116">
        <f>(K3+K5+K6+K9+K10+K16)/(K14+K15+K16)*100</f>
        <v>87.664225192071825</v>
      </c>
      <c r="L62" s="116">
        <f>(L3+L5+L6+L9+L10+L16)/(L14+L15+L16)*100</f>
        <v>89.11640700321604</v>
      </c>
      <c r="N62" s="116">
        <f>(N3+N5+N6+N9+N10+N16)/(N14+N15+N16)*100</f>
        <v>74.791555457286222</v>
      </c>
      <c r="O62" s="116">
        <f>(O3+O5+O6+O9+O10+O16)/(O14+O15+O16)*100</f>
        <v>73.292549537275846</v>
      </c>
      <c r="Q62" s="116">
        <f>(Q3+Q5+Q6+Q9+Q10+Q16)/(Q14+Q15+Q16)*100</f>
        <v>68.300910737807186</v>
      </c>
      <c r="R62" s="116">
        <f>(R3+R5+R6+R9+R10+R16)/(R14+R15+R16)*100</f>
        <v>66.389764422736746</v>
      </c>
      <c r="T62" s="116">
        <f>(T3+T5+T6+T9+T10+T16)/(T14+T15+T16)*100</f>
        <v>73.994599366415898</v>
      </c>
      <c r="U62" s="116">
        <f>(U3+U5+U6+U9+U10+U16)/(U14+U15+U16)*100</f>
        <v>74.440555142984039</v>
      </c>
    </row>
    <row r="63" spans="1:24" x14ac:dyDescent="0.3">
      <c r="A63" s="5" t="s">
        <v>363</v>
      </c>
      <c r="B63" s="116">
        <f>(B4+B7+B8)/(B14+B15+B16)*100</f>
        <v>10.493882240648309</v>
      </c>
      <c r="C63" s="116">
        <f>(C4+C7+C8)/(C14+C15+C16)*100</f>
        <v>9.7094801889030613</v>
      </c>
      <c r="E63" s="116">
        <f>(E4+E7+E8)/(E14+E15+E16)*100</f>
        <v>11.183067393033655</v>
      </c>
      <c r="F63" s="116">
        <f>(F4+F7+F8)/(F14+F15+F16)*100</f>
        <v>9.0844918399012151</v>
      </c>
      <c r="H63" s="116">
        <f>(H4+H7+H8)/(H14+H15+H16)*100</f>
        <v>17.148905173083364</v>
      </c>
      <c r="I63" s="116">
        <f>(I4+I7+I8)/(I14+I15+I16)*100</f>
        <v>13.414065722711966</v>
      </c>
      <c r="K63" s="116">
        <f>(K4+K7+K8)/(K14+K15+K16)*100</f>
        <v>12.33577480792818</v>
      </c>
      <c r="L63" s="116">
        <f>(L4+L7+L8)/(L14+L15+L16)*100</f>
        <v>10.88359299678396</v>
      </c>
      <c r="N63" s="116">
        <f>(N4+N7+N8)/(N14+N15+N16)*100</f>
        <v>25.208444542713774</v>
      </c>
      <c r="O63" s="116">
        <f>(O4+O7+O8)/(O14+O15+O16)*100</f>
        <v>26.707450462724147</v>
      </c>
      <c r="Q63" s="116">
        <f>(Q4+Q7+Q8)/(Q14+Q15+Q16)*100</f>
        <v>31.69908926219281</v>
      </c>
      <c r="R63" s="116">
        <f>(R4+R7+R8)/(R14+R15+R16)*100</f>
        <v>33.610235577263246</v>
      </c>
      <c r="T63" s="116">
        <f>(T4+T7+T8)/(T14+T15+T16)*100</f>
        <v>26.005400633584113</v>
      </c>
      <c r="U63" s="116">
        <f>(U4+U7+U8)/(U14+U15+U16)*100</f>
        <v>25.559444857015954</v>
      </c>
    </row>
  </sheetData>
  <mergeCells count="8">
    <mergeCell ref="W1:X1"/>
    <mergeCell ref="B1:D1"/>
    <mergeCell ref="E1:G1"/>
    <mergeCell ref="H1:J1"/>
    <mergeCell ref="T1:V1"/>
    <mergeCell ref="K1:M1"/>
    <mergeCell ref="N1:P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A7" workbookViewId="0">
      <selection activeCell="I28" sqref="I28"/>
    </sheetView>
  </sheetViews>
  <sheetFormatPr defaultRowHeight="14.4" x14ac:dyDescent="0.3"/>
  <cols>
    <col min="1" max="1" width="51.6640625" style="36" bestFit="1" customWidth="1"/>
    <col min="2" max="9" width="13.88671875" bestFit="1" customWidth="1"/>
    <col min="10" max="11" width="12.6640625" bestFit="1" customWidth="1"/>
  </cols>
  <sheetData>
    <row r="1" spans="1:9" x14ac:dyDescent="0.3">
      <c r="A1" s="77"/>
      <c r="B1" s="73">
        <v>2015</v>
      </c>
      <c r="C1" s="73">
        <v>2016</v>
      </c>
      <c r="D1" s="73">
        <v>2017</v>
      </c>
      <c r="E1" s="73">
        <v>2018</v>
      </c>
      <c r="F1" s="73">
        <v>2019</v>
      </c>
      <c r="G1" s="73">
        <v>2020</v>
      </c>
      <c r="H1" s="73">
        <v>2021</v>
      </c>
      <c r="I1" s="73">
        <v>2022</v>
      </c>
    </row>
    <row r="2" spans="1:9" x14ac:dyDescent="0.3">
      <c r="A2" s="36" t="s">
        <v>212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</row>
    <row r="3" spans="1:9" x14ac:dyDescent="0.3">
      <c r="A3" s="36" t="s">
        <v>213</v>
      </c>
      <c r="B3" s="1">
        <v>5341357.5599999996</v>
      </c>
      <c r="C3" s="1">
        <v>3328486.66</v>
      </c>
      <c r="D3" s="1">
        <v>5579011.7199999997</v>
      </c>
      <c r="E3" s="1">
        <v>4330070.07</v>
      </c>
      <c r="F3" s="1">
        <v>3091502.35</v>
      </c>
      <c r="G3" s="1">
        <v>1963269.86</v>
      </c>
      <c r="H3" s="1">
        <v>3909434.44</v>
      </c>
      <c r="I3" s="1">
        <v>3036960.6</v>
      </c>
    </row>
    <row r="4" spans="1:9" x14ac:dyDescent="0.3">
      <c r="A4" s="36" t="s">
        <v>214</v>
      </c>
      <c r="B4" s="1">
        <v>6289893778.0299997</v>
      </c>
      <c r="C4" s="1">
        <v>5924365045.6000004</v>
      </c>
      <c r="D4" s="1">
        <v>5905252398.5299997</v>
      </c>
      <c r="E4" s="1">
        <v>8089820170.6400003</v>
      </c>
      <c r="F4" s="1">
        <v>8036845232.6000004</v>
      </c>
      <c r="G4" s="1">
        <v>8035730658.9499998</v>
      </c>
      <c r="H4" s="1">
        <v>8031812778.9700003</v>
      </c>
      <c r="I4" s="1">
        <v>8055157665.2299995</v>
      </c>
    </row>
    <row r="5" spans="1:9" x14ac:dyDescent="0.3">
      <c r="A5" s="36" t="s">
        <v>228</v>
      </c>
      <c r="B5" s="1">
        <v>992927380.56000006</v>
      </c>
      <c r="C5" s="1">
        <v>1098171907.8199999</v>
      </c>
      <c r="D5" s="1">
        <v>1179654937.3499999</v>
      </c>
      <c r="E5" s="1">
        <v>1294982463.3</v>
      </c>
      <c r="F5" s="1">
        <v>1349581946.02</v>
      </c>
      <c r="G5" s="1">
        <v>1334581426.9000001</v>
      </c>
      <c r="H5" s="1">
        <v>1407826509.0799999</v>
      </c>
      <c r="I5" s="1">
        <v>1389118697.8199999</v>
      </c>
    </row>
    <row r="6" spans="1:9" x14ac:dyDescent="0.3">
      <c r="A6" s="36" t="s">
        <v>229</v>
      </c>
      <c r="B6" s="1"/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36" t="s">
        <v>230</v>
      </c>
      <c r="B7" s="1">
        <v>3050099.67</v>
      </c>
      <c r="C7" s="1">
        <v>3017944.73</v>
      </c>
      <c r="D7" s="1">
        <v>3017944.73</v>
      </c>
      <c r="E7" s="1">
        <v>2975900.28</v>
      </c>
      <c r="F7" s="1">
        <v>2889000</v>
      </c>
      <c r="G7" s="1">
        <v>2889000</v>
      </c>
      <c r="H7" s="1">
        <v>2889000</v>
      </c>
      <c r="I7" s="1">
        <v>2893000</v>
      </c>
    </row>
    <row r="8" spans="1:9" x14ac:dyDescent="0.3">
      <c r="A8" s="36" t="s">
        <v>231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 x14ac:dyDescent="0.3">
      <c r="A9" s="36" t="s">
        <v>215</v>
      </c>
      <c r="B9" s="1">
        <v>681257178.75999999</v>
      </c>
      <c r="C9" s="1">
        <v>839633519.73000002</v>
      </c>
      <c r="D9" s="1">
        <v>767202942.00999999</v>
      </c>
      <c r="E9" s="1">
        <v>771753373.63999999</v>
      </c>
      <c r="F9" s="1">
        <v>534208182.37</v>
      </c>
      <c r="G9" s="1">
        <v>504898417.83999997</v>
      </c>
      <c r="H9" s="1">
        <v>426691221.10000002</v>
      </c>
      <c r="I9" s="1">
        <v>455947495.69999999</v>
      </c>
    </row>
    <row r="10" spans="1:9" x14ac:dyDescent="0.3">
      <c r="A10" s="36" t="s">
        <v>232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36" t="s">
        <v>216</v>
      </c>
      <c r="B11" s="1">
        <v>1835230.29</v>
      </c>
      <c r="C11" s="1">
        <v>2104802.52</v>
      </c>
      <c r="D11" s="1">
        <v>10779564.380000001</v>
      </c>
      <c r="E11" s="1">
        <v>94972048.439999998</v>
      </c>
      <c r="F11" s="1">
        <v>77262323.859999999</v>
      </c>
      <c r="G11" s="1">
        <v>89811519.739999995</v>
      </c>
      <c r="H11" s="1">
        <v>220836141.02000001</v>
      </c>
      <c r="I11" s="1">
        <v>256403382.94999999</v>
      </c>
    </row>
    <row r="12" spans="1:9" x14ac:dyDescent="0.3">
      <c r="A12" s="36" t="s">
        <v>217</v>
      </c>
      <c r="B12" s="1">
        <v>764493.41</v>
      </c>
      <c r="C12" s="1">
        <v>374122.45</v>
      </c>
      <c r="D12" s="1">
        <v>453893.3</v>
      </c>
      <c r="E12" s="1">
        <v>1354347.63</v>
      </c>
      <c r="F12" s="1">
        <v>3601429.83</v>
      </c>
      <c r="G12" s="1">
        <v>799837.2</v>
      </c>
      <c r="H12" s="1">
        <v>88064489.859999999</v>
      </c>
      <c r="I12" s="1">
        <v>82400286.900000006</v>
      </c>
    </row>
    <row r="13" spans="1:9" x14ac:dyDescent="0.3">
      <c r="A13" s="11" t="s">
        <v>218</v>
      </c>
      <c r="B13" s="12">
        <f t="shared" ref="B13:I13" si="0">SUM(B2:B12)</f>
        <v>7975069518.2800007</v>
      </c>
      <c r="C13" s="12">
        <f t="shared" si="0"/>
        <v>7870995829.5099993</v>
      </c>
      <c r="D13" s="12">
        <f t="shared" si="0"/>
        <v>7871940692.0200005</v>
      </c>
      <c r="E13" s="12">
        <f t="shared" si="0"/>
        <v>10260188374</v>
      </c>
      <c r="F13" s="12">
        <f t="shared" si="0"/>
        <v>10007479617.030003</v>
      </c>
      <c r="G13" s="12">
        <f>SUM(G2:G12)</f>
        <v>9970674130.4899998</v>
      </c>
      <c r="H13" s="12">
        <f>SUM(H2:H12)</f>
        <v>10182029574.470001</v>
      </c>
      <c r="I13" s="12">
        <f t="shared" si="0"/>
        <v>10244957489.200001</v>
      </c>
    </row>
    <row r="14" spans="1:9" x14ac:dyDescent="0.3">
      <c r="A14" s="36" t="s">
        <v>219</v>
      </c>
      <c r="B14" s="1">
        <v>3130253268.46</v>
      </c>
      <c r="C14" s="1">
        <v>3130253268.46</v>
      </c>
      <c r="D14" s="1">
        <v>475873923.25999999</v>
      </c>
      <c r="E14" s="1">
        <v>496254121.69</v>
      </c>
      <c r="F14" s="1">
        <v>498167140.60000002</v>
      </c>
      <c r="G14" s="1">
        <v>498167140.60000002</v>
      </c>
      <c r="H14" s="1">
        <v>498167140.60000002</v>
      </c>
      <c r="I14" s="1">
        <v>498167140.60000002</v>
      </c>
    </row>
    <row r="15" spans="1:9" x14ac:dyDescent="0.3">
      <c r="A15" s="36" t="s">
        <v>220</v>
      </c>
      <c r="B15" s="1">
        <v>391721971.71999979</v>
      </c>
      <c r="C15" s="1">
        <v>371214370.58999997</v>
      </c>
      <c r="D15" s="1">
        <v>2960043613.5100002</v>
      </c>
      <c r="E15" s="1">
        <v>5260860742.6700001</v>
      </c>
      <c r="F15" s="1">
        <v>5497822772.8400002</v>
      </c>
      <c r="G15" s="1">
        <v>5111346077.25</v>
      </c>
      <c r="H15" s="1">
        <v>5193643456.0900002</v>
      </c>
      <c r="I15" s="1">
        <v>5186366862.5</v>
      </c>
    </row>
    <row r="16" spans="1:9" x14ac:dyDescent="0.3">
      <c r="A16" s="36" t="s">
        <v>235</v>
      </c>
      <c r="B16" s="1">
        <v>41433930.969999999</v>
      </c>
      <c r="C16" s="1">
        <v>20926329.84</v>
      </c>
      <c r="D16" s="1">
        <v>24640014.969999999</v>
      </c>
      <c r="E16" s="1">
        <v>85580260.859999999</v>
      </c>
      <c r="F16" s="1">
        <v>100021704.41</v>
      </c>
      <c r="G16" s="1">
        <v>100153066.56</v>
      </c>
      <c r="H16" s="1">
        <v>107882017.17</v>
      </c>
      <c r="I16" s="1">
        <v>117135732.84</v>
      </c>
    </row>
    <row r="17" spans="1:11" x14ac:dyDescent="0.3">
      <c r="A17" s="36" t="s">
        <v>221</v>
      </c>
      <c r="B17" s="1">
        <v>0</v>
      </c>
      <c r="C17" s="1">
        <v>30869279.68</v>
      </c>
      <c r="D17" s="1">
        <v>117409638.95</v>
      </c>
      <c r="E17" s="1">
        <v>196680418.16999999</v>
      </c>
      <c r="F17" s="1">
        <v>-524326080.75</v>
      </c>
      <c r="G17" s="1">
        <v>41400199</v>
      </c>
      <c r="H17" s="1">
        <v>292886566.92000002</v>
      </c>
      <c r="I17" s="1">
        <v>13223649.98</v>
      </c>
    </row>
    <row r="18" spans="1:11" x14ac:dyDescent="0.3">
      <c r="A18" s="36" t="s">
        <v>364</v>
      </c>
      <c r="B18" s="1"/>
      <c r="C18" s="1"/>
      <c r="D18" s="1"/>
      <c r="E18" s="1"/>
      <c r="F18" s="1"/>
      <c r="G18" s="1">
        <v>253916678.75999999</v>
      </c>
      <c r="H18" s="1">
        <v>295316877.75999999</v>
      </c>
      <c r="I18" s="1">
        <v>588203444.67999995</v>
      </c>
    </row>
    <row r="19" spans="1:11" x14ac:dyDescent="0.3">
      <c r="A19" s="36" t="s">
        <v>365</v>
      </c>
      <c r="B19" s="1"/>
      <c r="C19" s="1"/>
      <c r="D19" s="1"/>
      <c r="E19" s="1"/>
      <c r="F19" s="1"/>
      <c r="G19" s="1">
        <v>0</v>
      </c>
      <c r="H19" s="1">
        <v>0</v>
      </c>
      <c r="I19" s="1">
        <v>0</v>
      </c>
    </row>
    <row r="20" spans="1:11" x14ac:dyDescent="0.3">
      <c r="A20" s="36" t="s">
        <v>222</v>
      </c>
      <c r="B20" s="1">
        <f>1293674.29+4256</f>
        <v>1297930.29</v>
      </c>
      <c r="C20" s="1">
        <v>7134011.2300000004</v>
      </c>
      <c r="D20" s="1">
        <v>71296439.760000005</v>
      </c>
      <c r="E20" s="1">
        <v>77871700.290000007</v>
      </c>
      <c r="F20" s="1">
        <v>532639617.06</v>
      </c>
      <c r="G20" s="1">
        <v>106495074.61</v>
      </c>
      <c r="H20" s="1">
        <v>44928319.420000002</v>
      </c>
      <c r="I20" s="1">
        <v>71557425.019999996</v>
      </c>
    </row>
    <row r="21" spans="1:11" x14ac:dyDescent="0.3">
      <c r="A21" s="36" t="s">
        <v>209</v>
      </c>
      <c r="B21" s="1">
        <f>779633304.76+2862474000.65</f>
        <v>3642107305.4099998</v>
      </c>
      <c r="C21" s="1">
        <v>3691357918.0799999</v>
      </c>
      <c r="D21" s="1">
        <v>3555341782.5500002</v>
      </c>
      <c r="E21" s="1">
        <v>3429496059.1500001</v>
      </c>
      <c r="F21" s="1">
        <v>3360910301.0100002</v>
      </c>
      <c r="G21" s="1">
        <v>3325654823.8699999</v>
      </c>
      <c r="H21" s="1">
        <v>3129027825.3400002</v>
      </c>
      <c r="I21" s="1">
        <v>3009032249.3600001</v>
      </c>
    </row>
    <row r="22" spans="1:11" x14ac:dyDescent="0.3">
      <c r="A22" s="36" t="s">
        <v>223</v>
      </c>
      <c r="B22" s="1">
        <v>122560032.76000001</v>
      </c>
      <c r="C22" s="1">
        <v>366810113.72000003</v>
      </c>
      <c r="D22" s="1">
        <v>434777318.48000002</v>
      </c>
      <c r="E22" s="1">
        <v>436459705.22000003</v>
      </c>
      <c r="F22" s="1">
        <v>304880370.38</v>
      </c>
      <c r="G22" s="1">
        <v>216393167.43000001</v>
      </c>
      <c r="H22" s="1">
        <v>174435082.22</v>
      </c>
      <c r="I22" s="1">
        <v>176535700.12</v>
      </c>
    </row>
    <row r="23" spans="1:11" x14ac:dyDescent="0.3">
      <c r="A23" s="36" t="s">
        <v>224</v>
      </c>
      <c r="B23" s="1">
        <f>43953111.59+177233108.59+67139016.56</f>
        <v>288325236.74000001</v>
      </c>
      <c r="C23" s="1">
        <v>48702400.490000002</v>
      </c>
      <c r="D23" s="1">
        <v>62922557.630000003</v>
      </c>
      <c r="E23" s="1">
        <v>85120414.180000007</v>
      </c>
      <c r="F23" s="1">
        <v>64463989.890000001</v>
      </c>
      <c r="G23" s="1">
        <v>59307918.890000001</v>
      </c>
      <c r="H23" s="1">
        <v>64035892.869999997</v>
      </c>
      <c r="I23" s="1">
        <v>76008288.670000002</v>
      </c>
    </row>
    <row r="24" spans="1:11" x14ac:dyDescent="0.3">
      <c r="A24" s="36" t="s">
        <v>225</v>
      </c>
      <c r="B24" s="1">
        <f>7970457.08+1454369.28+23328194.19+279822957.23</f>
        <v>312575977.78000003</v>
      </c>
      <c r="C24" s="1">
        <v>189629094.31</v>
      </c>
      <c r="D24" s="1">
        <v>86536420.819999993</v>
      </c>
      <c r="E24" s="1">
        <v>100807706.03</v>
      </c>
      <c r="F24" s="1">
        <v>113108757.40000001</v>
      </c>
      <c r="G24" s="1">
        <v>112400956.75</v>
      </c>
      <c r="H24" s="1">
        <v>85757810.579999998</v>
      </c>
      <c r="I24" s="1">
        <v>96924224.120000005</v>
      </c>
      <c r="J24" s="1"/>
      <c r="K24" s="1"/>
    </row>
    <row r="25" spans="1:11" x14ac:dyDescent="0.3">
      <c r="A25" s="36" t="s">
        <v>226</v>
      </c>
      <c r="B25" s="1">
        <v>86227795.120000005</v>
      </c>
      <c r="C25" s="1">
        <v>35025372.950000003</v>
      </c>
      <c r="D25" s="1">
        <v>107738997.26000001</v>
      </c>
      <c r="E25" s="1">
        <v>176627506.59999999</v>
      </c>
      <c r="F25" s="1">
        <v>159812748.59999999</v>
      </c>
      <c r="G25" s="1">
        <v>245592093.33000001</v>
      </c>
      <c r="H25" s="1">
        <v>403830602.67000002</v>
      </c>
      <c r="I25" s="1">
        <v>528938504.14999998</v>
      </c>
    </row>
    <row r="26" spans="1:11" x14ac:dyDescent="0.3">
      <c r="A26" s="76" t="s">
        <v>227</v>
      </c>
      <c r="B26" s="3">
        <f t="shared" ref="B26:I26" si="1">SUM(B14:B25)-B16</f>
        <v>7975069518.2799988</v>
      </c>
      <c r="C26" s="3">
        <f t="shared" si="1"/>
        <v>7870995829.5100002</v>
      </c>
      <c r="D26" s="3">
        <f t="shared" si="1"/>
        <v>7871940692.2199993</v>
      </c>
      <c r="E26" s="3">
        <f t="shared" si="1"/>
        <v>10260178374</v>
      </c>
      <c r="F26" s="3">
        <f t="shared" si="1"/>
        <v>10007479617.030001</v>
      </c>
      <c r="G26" s="3">
        <f>SUM(G14:G25)-G16</f>
        <v>9970674130.4900017</v>
      </c>
      <c r="H26" s="3">
        <f>SUM(H14:H25)-H16</f>
        <v>10182029574.470001</v>
      </c>
      <c r="I26" s="3">
        <f t="shared" si="1"/>
        <v>10244957489.200003</v>
      </c>
    </row>
    <row r="27" spans="1:11" x14ac:dyDescent="0.3">
      <c r="A27" s="11" t="s">
        <v>267</v>
      </c>
      <c r="B27" s="12">
        <f t="shared" ref="B27:G27" si="2">B14+B15+B17+B18+B19</f>
        <v>3521975240.1799998</v>
      </c>
      <c r="C27" s="12">
        <f t="shared" si="2"/>
        <v>3532336918.73</v>
      </c>
      <c r="D27" s="12">
        <f t="shared" si="2"/>
        <v>3553327175.7200003</v>
      </c>
      <c r="E27" s="12">
        <f t="shared" si="2"/>
        <v>5953795282.5299997</v>
      </c>
      <c r="F27" s="12">
        <f t="shared" si="2"/>
        <v>5471663832.6900005</v>
      </c>
      <c r="G27" s="12">
        <f t="shared" si="2"/>
        <v>5904830095.6100006</v>
      </c>
      <c r="H27" s="12">
        <f>H14+H15+H17+H18+H19</f>
        <v>6280014041.3700008</v>
      </c>
      <c r="I27" s="12">
        <f>I14+I15+I17+I18+I19</f>
        <v>6285961097.7600002</v>
      </c>
      <c r="J27" s="102"/>
    </row>
    <row r="28" spans="1:11" x14ac:dyDescent="0.3">
      <c r="I28" s="6">
        <f>I27/I26*100</f>
        <v>61.356634269947094</v>
      </c>
    </row>
    <row r="29" spans="1:11" x14ac:dyDescent="0.3">
      <c r="B29" s="1"/>
    </row>
    <row r="30" spans="1:11" x14ac:dyDescent="0.3">
      <c r="B30" s="1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topLeftCell="A143" workbookViewId="0">
      <selection activeCell="E103" sqref="E103"/>
    </sheetView>
  </sheetViews>
  <sheetFormatPr defaultRowHeight="14.4" x14ac:dyDescent="0.3"/>
  <cols>
    <col min="2" max="2" width="83.33203125" bestFit="1" customWidth="1"/>
    <col min="3" max="3" width="11.88671875" customWidth="1"/>
  </cols>
  <sheetData>
    <row r="1" spans="1:10" x14ac:dyDescent="0.3">
      <c r="A1" s="142" t="s">
        <v>210</v>
      </c>
      <c r="B1" s="142"/>
      <c r="C1" s="2" t="s">
        <v>211</v>
      </c>
      <c r="D1" s="2">
        <v>2016</v>
      </c>
      <c r="E1" s="2">
        <v>2017</v>
      </c>
      <c r="F1" s="2">
        <v>2018</v>
      </c>
      <c r="G1" s="109">
        <v>2019</v>
      </c>
      <c r="H1" s="119">
        <v>2020</v>
      </c>
      <c r="I1" s="122">
        <v>2021</v>
      </c>
      <c r="J1" s="109">
        <v>2022</v>
      </c>
    </row>
    <row r="2" spans="1:10" x14ac:dyDescent="0.3">
      <c r="A2" t="s">
        <v>77</v>
      </c>
    </row>
    <row r="3" spans="1:10" x14ac:dyDescent="0.3">
      <c r="A3" s="8" t="s">
        <v>78</v>
      </c>
      <c r="B3" s="8" t="s">
        <v>79</v>
      </c>
      <c r="C3" s="9">
        <v>48</v>
      </c>
      <c r="D3" s="7">
        <v>54.6</v>
      </c>
      <c r="E3" s="7">
        <v>51.34</v>
      </c>
      <c r="F3" s="7">
        <v>47.67</v>
      </c>
      <c r="G3" s="7">
        <v>62.93</v>
      </c>
      <c r="H3" s="7">
        <v>44.67</v>
      </c>
      <c r="I3" s="7">
        <v>49.02</v>
      </c>
      <c r="J3" s="7">
        <v>44.277999999999999</v>
      </c>
    </row>
    <row r="4" spans="1:10" x14ac:dyDescent="0.3">
      <c r="A4" t="s">
        <v>80</v>
      </c>
      <c r="D4" s="7"/>
      <c r="E4" s="7"/>
      <c r="F4" s="7"/>
      <c r="G4" s="7"/>
      <c r="H4" s="7"/>
      <c r="I4" s="7"/>
      <c r="J4" s="7"/>
    </row>
    <row r="5" spans="1:10" x14ac:dyDescent="0.3">
      <c r="A5" t="s">
        <v>81</v>
      </c>
      <c r="B5" t="s">
        <v>82</v>
      </c>
      <c r="D5" s="7">
        <v>97.89</v>
      </c>
      <c r="E5" s="7">
        <v>99.25</v>
      </c>
      <c r="F5" s="7">
        <v>102.27</v>
      </c>
      <c r="G5" s="7">
        <v>98.02</v>
      </c>
      <c r="H5" s="7">
        <v>100.65</v>
      </c>
      <c r="I5" s="7">
        <v>116.84</v>
      </c>
      <c r="J5" s="7">
        <v>97.584999999999994</v>
      </c>
    </row>
    <row r="6" spans="1:10" x14ac:dyDescent="0.3">
      <c r="A6" t="s">
        <v>83</v>
      </c>
      <c r="B6" t="s">
        <v>84</v>
      </c>
      <c r="D6" s="7">
        <v>98.32</v>
      </c>
      <c r="E6" s="7">
        <v>98.32</v>
      </c>
      <c r="F6" s="7">
        <v>97.94</v>
      </c>
      <c r="G6" s="7">
        <v>99.14</v>
      </c>
      <c r="H6" s="7">
        <v>96.72</v>
      </c>
      <c r="I6" s="7">
        <v>97.92</v>
      </c>
      <c r="J6" s="7">
        <v>94.301000000000002</v>
      </c>
    </row>
    <row r="7" spans="1:10" x14ac:dyDescent="0.3">
      <c r="A7" t="s">
        <v>85</v>
      </c>
      <c r="B7" t="s">
        <v>86</v>
      </c>
      <c r="D7" s="7">
        <v>88.11</v>
      </c>
      <c r="E7" s="7">
        <v>75.650000000000006</v>
      </c>
      <c r="F7" s="7">
        <v>73.790000000000006</v>
      </c>
      <c r="G7" s="7">
        <v>72.73</v>
      </c>
      <c r="H7" s="7">
        <v>65.2</v>
      </c>
      <c r="I7" s="7">
        <v>70.760000000000005</v>
      </c>
      <c r="J7" s="7">
        <v>65.293000000000006</v>
      </c>
    </row>
    <row r="8" spans="1:10" x14ac:dyDescent="0.3">
      <c r="A8" t="s">
        <v>87</v>
      </c>
      <c r="B8" t="s">
        <v>88</v>
      </c>
      <c r="D8" s="7">
        <v>88.49</v>
      </c>
      <c r="E8" s="7">
        <v>74.95</v>
      </c>
      <c r="F8" s="7">
        <v>70.67</v>
      </c>
      <c r="G8" s="7">
        <v>73.56</v>
      </c>
      <c r="H8" s="7">
        <v>62.65</v>
      </c>
      <c r="I8" s="7">
        <v>59.3</v>
      </c>
      <c r="J8" s="7">
        <v>63.095999999999997</v>
      </c>
    </row>
    <row r="9" spans="1:10" x14ac:dyDescent="0.3">
      <c r="A9" t="s">
        <v>89</v>
      </c>
      <c r="B9" t="s">
        <v>90</v>
      </c>
      <c r="D9" s="7">
        <v>62.88</v>
      </c>
      <c r="E9" s="7">
        <v>82.27</v>
      </c>
      <c r="F9" s="7">
        <v>95.24</v>
      </c>
      <c r="G9" s="7">
        <v>62.67</v>
      </c>
      <c r="H9" s="7">
        <v>67.84</v>
      </c>
      <c r="I9" s="7">
        <v>81.819999999999993</v>
      </c>
      <c r="J9" s="7">
        <v>73.694000000000003</v>
      </c>
    </row>
    <row r="10" spans="1:10" x14ac:dyDescent="0.3">
      <c r="A10" t="s">
        <v>91</v>
      </c>
      <c r="B10" t="s">
        <v>92</v>
      </c>
      <c r="D10" s="7">
        <v>62.88</v>
      </c>
      <c r="E10" s="7">
        <v>80.209999999999994</v>
      </c>
      <c r="F10" s="7">
        <v>85.12</v>
      </c>
      <c r="G10" s="7">
        <v>63.16</v>
      </c>
      <c r="H10" s="7">
        <v>69.400000000000006</v>
      </c>
      <c r="I10" s="7">
        <v>74.650000000000006</v>
      </c>
      <c r="J10" s="7">
        <v>75.305000000000007</v>
      </c>
    </row>
    <row r="11" spans="1:10" x14ac:dyDescent="0.3">
      <c r="A11" t="s">
        <v>93</v>
      </c>
      <c r="B11" t="s">
        <v>94</v>
      </c>
      <c r="D11" s="7">
        <v>55.92</v>
      </c>
      <c r="E11" s="7">
        <v>58.77</v>
      </c>
      <c r="F11" s="7">
        <v>66.62</v>
      </c>
      <c r="G11" s="7">
        <v>44.48</v>
      </c>
      <c r="H11" s="7">
        <v>44.45</v>
      </c>
      <c r="I11" s="7">
        <v>48.66</v>
      </c>
      <c r="J11" s="7">
        <v>47.563000000000002</v>
      </c>
    </row>
    <row r="12" spans="1:10" x14ac:dyDescent="0.3">
      <c r="A12" s="8" t="s">
        <v>95</v>
      </c>
      <c r="B12" s="8" t="s">
        <v>96</v>
      </c>
      <c r="C12" s="9">
        <v>22</v>
      </c>
      <c r="D12" s="7">
        <v>55.92</v>
      </c>
      <c r="E12" s="7">
        <v>57.31</v>
      </c>
      <c r="F12" s="7">
        <v>59.54</v>
      </c>
      <c r="G12" s="7">
        <v>44.83</v>
      </c>
      <c r="H12" s="7">
        <v>45.47</v>
      </c>
      <c r="I12" s="7">
        <v>44.4</v>
      </c>
      <c r="J12" s="7">
        <v>48.603000000000002</v>
      </c>
    </row>
    <row r="13" spans="1:10" x14ac:dyDescent="0.3">
      <c r="A13" t="s">
        <v>97</v>
      </c>
      <c r="D13" s="7"/>
      <c r="E13" s="7"/>
      <c r="F13" s="7"/>
      <c r="G13" s="7"/>
      <c r="H13" s="7"/>
      <c r="I13" s="7"/>
      <c r="J13" s="7"/>
    </row>
    <row r="14" spans="1:10" x14ac:dyDescent="0.3">
      <c r="A14" t="s">
        <v>98</v>
      </c>
      <c r="B14" t="s">
        <v>99</v>
      </c>
      <c r="D14" s="7">
        <v>7.78</v>
      </c>
      <c r="E14" s="7">
        <v>7.78</v>
      </c>
      <c r="F14" s="7">
        <v>62.1</v>
      </c>
      <c r="G14" s="7">
        <v>51.61</v>
      </c>
      <c r="H14" s="7">
        <v>45.05</v>
      </c>
      <c r="I14" s="7">
        <v>20.05</v>
      </c>
      <c r="J14" s="7">
        <v>0</v>
      </c>
    </row>
    <row r="15" spans="1:10" x14ac:dyDescent="0.3">
      <c r="A15" s="8" t="s">
        <v>100</v>
      </c>
      <c r="B15" s="8" t="s">
        <v>101</v>
      </c>
      <c r="C15" s="9">
        <v>0</v>
      </c>
      <c r="D15" s="7">
        <v>50.84</v>
      </c>
      <c r="E15" s="7">
        <v>48.95</v>
      </c>
      <c r="F15" s="7">
        <v>47.94</v>
      </c>
      <c r="G15" s="7">
        <v>70.17</v>
      </c>
      <c r="H15" s="7">
        <v>20.3</v>
      </c>
      <c r="I15" s="7">
        <v>0</v>
      </c>
      <c r="J15" s="7">
        <v>0</v>
      </c>
    </row>
    <row r="16" spans="1:10" x14ac:dyDescent="0.3">
      <c r="A16" t="s">
        <v>102</v>
      </c>
      <c r="D16" s="7"/>
      <c r="E16" s="7"/>
      <c r="F16" s="7"/>
      <c r="G16" s="7"/>
      <c r="H16" s="7"/>
      <c r="I16" s="7"/>
      <c r="J16" s="7"/>
    </row>
    <row r="17" spans="1:10" x14ac:dyDescent="0.3">
      <c r="A17" t="s">
        <v>103</v>
      </c>
      <c r="B17" t="s">
        <v>104</v>
      </c>
      <c r="D17" s="7">
        <v>40.24</v>
      </c>
      <c r="E17" s="7">
        <v>38.15</v>
      </c>
      <c r="F17" s="7">
        <v>37.569000000000003</v>
      </c>
      <c r="G17" s="7">
        <v>39.479999999999997</v>
      </c>
      <c r="H17" s="7">
        <v>37.82</v>
      </c>
      <c r="I17" s="7">
        <v>36.94</v>
      </c>
      <c r="J17" s="7">
        <v>34.542999999999999</v>
      </c>
    </row>
    <row r="18" spans="1:10" x14ac:dyDescent="0.3">
      <c r="A18" t="s">
        <v>105</v>
      </c>
      <c r="B18" t="s">
        <v>106</v>
      </c>
      <c r="D18" s="7">
        <v>18.079999999999998</v>
      </c>
      <c r="E18" s="7">
        <v>17.059999999999999</v>
      </c>
      <c r="F18" s="7">
        <v>17.167000000000002</v>
      </c>
      <c r="G18" s="7">
        <v>18.32</v>
      </c>
      <c r="H18" s="7">
        <v>19.57</v>
      </c>
      <c r="I18" s="7">
        <v>20.52</v>
      </c>
      <c r="J18" s="7">
        <v>20.731999999999999</v>
      </c>
    </row>
    <row r="19" spans="1:10" x14ac:dyDescent="0.3">
      <c r="A19" t="s">
        <v>107</v>
      </c>
      <c r="B19" t="s">
        <v>108</v>
      </c>
      <c r="D19" s="7">
        <v>0.42</v>
      </c>
      <c r="E19" s="7">
        <v>0.9</v>
      </c>
      <c r="F19" s="7">
        <v>2.2829999999999999</v>
      </c>
      <c r="G19" s="7">
        <v>2.4500000000000002</v>
      </c>
      <c r="H19" s="7">
        <v>1.21</v>
      </c>
      <c r="I19" s="7">
        <v>1.93</v>
      </c>
      <c r="J19" s="7">
        <v>3.2450000000000001</v>
      </c>
    </row>
    <row r="20" spans="1:10" x14ac:dyDescent="0.3">
      <c r="A20" t="s">
        <v>109</v>
      </c>
      <c r="B20" t="s">
        <v>110</v>
      </c>
      <c r="D20" s="7">
        <v>458.94</v>
      </c>
      <c r="E20" s="7">
        <v>443.96</v>
      </c>
      <c r="F20" s="7">
        <v>444.72699999999998</v>
      </c>
      <c r="G20" s="7">
        <v>436.77600000000001</v>
      </c>
      <c r="H20" s="7">
        <v>422.23</v>
      </c>
      <c r="I20" s="7">
        <v>406.77600000000001</v>
      </c>
      <c r="J20" s="7">
        <v>424.05</v>
      </c>
    </row>
    <row r="21" spans="1:10" x14ac:dyDescent="0.3">
      <c r="A21" t="s">
        <v>111</v>
      </c>
      <c r="D21" s="7"/>
      <c r="E21" s="7"/>
      <c r="F21" s="7"/>
      <c r="G21" s="7"/>
      <c r="H21" s="7"/>
      <c r="I21" s="7"/>
      <c r="J21" s="7"/>
    </row>
    <row r="22" spans="1:10" x14ac:dyDescent="0.3">
      <c r="A22" t="s">
        <v>112</v>
      </c>
      <c r="B22" t="s">
        <v>113</v>
      </c>
      <c r="D22" s="7">
        <v>19.39</v>
      </c>
      <c r="E22" s="7">
        <v>19.63</v>
      </c>
      <c r="F22" s="7">
        <v>22.25</v>
      </c>
      <c r="G22" s="7">
        <v>20.59</v>
      </c>
      <c r="H22" s="7">
        <v>20.74</v>
      </c>
      <c r="I22" s="7">
        <v>20.83</v>
      </c>
      <c r="J22" s="7">
        <v>20.001999999999999</v>
      </c>
    </row>
    <row r="23" spans="1:10" x14ac:dyDescent="0.3">
      <c r="A23" t="s">
        <v>114</v>
      </c>
      <c r="D23" s="7"/>
      <c r="E23" s="7"/>
      <c r="F23" s="7"/>
      <c r="G23" s="7"/>
      <c r="H23" s="7"/>
      <c r="I23" s="7"/>
      <c r="J23" s="7"/>
    </row>
    <row r="24" spans="1:10" x14ac:dyDescent="0.3">
      <c r="A24" t="s">
        <v>115</v>
      </c>
      <c r="B24" t="s">
        <v>116</v>
      </c>
      <c r="D24" s="7">
        <v>9.74</v>
      </c>
      <c r="E24" s="7">
        <v>8.7100000000000009</v>
      </c>
      <c r="F24" s="7">
        <v>8.4499999999999993</v>
      </c>
      <c r="G24" s="7">
        <v>8.77</v>
      </c>
      <c r="H24" s="7">
        <v>8.15</v>
      </c>
      <c r="I24" s="7">
        <v>6.72</v>
      </c>
      <c r="J24" s="7">
        <v>6.8650000000000002</v>
      </c>
    </row>
    <row r="25" spans="1:10" x14ac:dyDescent="0.3">
      <c r="A25" t="s">
        <v>117</v>
      </c>
      <c r="B25" t="s">
        <v>118</v>
      </c>
      <c r="D25" s="7">
        <v>8.9600000000000009</v>
      </c>
      <c r="E25" s="7">
        <v>3.16</v>
      </c>
      <c r="F25" s="7">
        <v>11.13</v>
      </c>
      <c r="G25" s="7">
        <v>10.43</v>
      </c>
      <c r="H25" s="7">
        <v>6.13</v>
      </c>
      <c r="I25" s="7">
        <v>6.52</v>
      </c>
      <c r="J25" s="7">
        <v>2.7360000000000002</v>
      </c>
    </row>
    <row r="26" spans="1:10" x14ac:dyDescent="0.3">
      <c r="A26" t="s">
        <v>119</v>
      </c>
      <c r="B26" t="s">
        <v>120</v>
      </c>
      <c r="D26" s="7">
        <v>0</v>
      </c>
      <c r="E26" s="7">
        <v>0.01</v>
      </c>
      <c r="F26" s="7">
        <v>0</v>
      </c>
      <c r="G26" s="7">
        <v>0.02</v>
      </c>
      <c r="H26" s="7">
        <v>0.01</v>
      </c>
      <c r="I26" s="7">
        <v>0.01</v>
      </c>
      <c r="J26" s="7">
        <v>0</v>
      </c>
    </row>
    <row r="27" spans="1:10" x14ac:dyDescent="0.3">
      <c r="A27" t="s">
        <v>121</v>
      </c>
      <c r="D27" s="7"/>
      <c r="E27" s="7"/>
      <c r="F27" s="7"/>
      <c r="G27" s="7"/>
      <c r="H27" s="7"/>
      <c r="I27" s="7"/>
      <c r="J27" s="7"/>
    </row>
    <row r="28" spans="1:10" x14ac:dyDescent="0.3">
      <c r="A28" t="s">
        <v>122</v>
      </c>
      <c r="B28" t="s">
        <v>123</v>
      </c>
      <c r="D28" s="7">
        <v>6.09</v>
      </c>
      <c r="E28" s="7">
        <v>7.21</v>
      </c>
      <c r="F28" s="7">
        <v>14.65</v>
      </c>
      <c r="G28" s="7">
        <v>6.36</v>
      </c>
      <c r="H28" s="7">
        <v>11.8</v>
      </c>
      <c r="I28" s="7">
        <v>11.32</v>
      </c>
      <c r="J28" s="7">
        <v>14.055999999999999</v>
      </c>
    </row>
    <row r="29" spans="1:10" x14ac:dyDescent="0.3">
      <c r="A29" t="s">
        <v>124</v>
      </c>
      <c r="B29" t="s">
        <v>125</v>
      </c>
      <c r="D29" s="7">
        <v>66.55</v>
      </c>
      <c r="E29" s="7">
        <v>56.96</v>
      </c>
      <c r="F29" s="7">
        <v>184.02600000000001</v>
      </c>
      <c r="G29" s="7">
        <v>63.584000000000003</v>
      </c>
      <c r="H29" s="7">
        <v>101.218</v>
      </c>
      <c r="I29" s="7">
        <v>100.416</v>
      </c>
      <c r="J29" s="7">
        <v>121.761</v>
      </c>
    </row>
    <row r="30" spans="1:10" x14ac:dyDescent="0.3">
      <c r="A30" t="s">
        <v>126</v>
      </c>
      <c r="B30" t="s">
        <v>127</v>
      </c>
      <c r="D30" s="7">
        <v>11.55</v>
      </c>
      <c r="E30" s="7">
        <v>33.24</v>
      </c>
      <c r="F30" s="7">
        <v>36.604999999999997</v>
      </c>
      <c r="G30" s="7">
        <v>18.378</v>
      </c>
      <c r="H30" s="7">
        <v>58.884</v>
      </c>
      <c r="I30" s="7">
        <v>57.006999999999998</v>
      </c>
      <c r="J30" s="7">
        <v>98.073999999999998</v>
      </c>
    </row>
    <row r="31" spans="1:10" x14ac:dyDescent="0.3">
      <c r="A31" t="s">
        <v>128</v>
      </c>
      <c r="B31" t="s">
        <v>129</v>
      </c>
      <c r="D31" s="7">
        <v>78.099999999999994</v>
      </c>
      <c r="E31" s="7">
        <v>90.19</v>
      </c>
      <c r="F31" s="7">
        <v>220.631</v>
      </c>
      <c r="G31" s="7">
        <v>81.962000000000003</v>
      </c>
      <c r="H31" s="7">
        <v>160.102</v>
      </c>
      <c r="I31" s="7">
        <v>157.423</v>
      </c>
      <c r="J31" s="7">
        <v>219.83499999999998</v>
      </c>
    </row>
    <row r="32" spans="1:10" x14ac:dyDescent="0.3">
      <c r="A32" t="s">
        <v>130</v>
      </c>
      <c r="B32" t="s">
        <v>131</v>
      </c>
      <c r="D32" s="7">
        <v>0</v>
      </c>
      <c r="E32" s="7">
        <v>18.71</v>
      </c>
      <c r="F32" s="7">
        <v>123.78</v>
      </c>
      <c r="G32" s="7">
        <v>313.79000000000002</v>
      </c>
      <c r="H32" s="7">
        <v>171.09</v>
      </c>
      <c r="I32" s="7">
        <v>337.03</v>
      </c>
      <c r="J32" s="7">
        <v>130.72200000000001</v>
      </c>
    </row>
    <row r="33" spans="1:10" x14ac:dyDescent="0.3">
      <c r="A33" t="s">
        <v>132</v>
      </c>
      <c r="B33" t="s">
        <v>133</v>
      </c>
      <c r="D33" s="7">
        <v>0</v>
      </c>
      <c r="E33" s="7">
        <v>13.11</v>
      </c>
      <c r="F33" s="7">
        <v>3.34</v>
      </c>
      <c r="G33" s="7">
        <v>22.37</v>
      </c>
      <c r="H33" s="7">
        <v>7.27</v>
      </c>
      <c r="I33" s="7">
        <v>2.46</v>
      </c>
      <c r="J33" s="7">
        <v>0.41599999999999998</v>
      </c>
    </row>
    <row r="34" spans="1:10" x14ac:dyDescent="0.3">
      <c r="A34" t="s">
        <v>134</v>
      </c>
      <c r="B34" t="s">
        <v>135</v>
      </c>
      <c r="D34" s="7">
        <v>29.22</v>
      </c>
      <c r="E34" s="7">
        <v>30.85</v>
      </c>
      <c r="F34" s="7">
        <v>8.17</v>
      </c>
      <c r="G34" s="7">
        <v>29.7</v>
      </c>
      <c r="H34" s="7">
        <v>178.25</v>
      </c>
      <c r="I34" s="7">
        <v>21.89</v>
      </c>
      <c r="J34" s="7">
        <v>5.5430000000000001</v>
      </c>
    </row>
    <row r="35" spans="1:10" x14ac:dyDescent="0.3">
      <c r="A35" t="s">
        <v>136</v>
      </c>
      <c r="D35" s="7"/>
      <c r="E35" s="7"/>
      <c r="F35" s="7"/>
      <c r="G35" s="7"/>
      <c r="H35" s="7"/>
      <c r="I35" s="7"/>
      <c r="J35" s="7"/>
    </row>
    <row r="36" spans="1:10" x14ac:dyDescent="0.3">
      <c r="A36" t="s">
        <v>137</v>
      </c>
      <c r="B36" t="s">
        <v>138</v>
      </c>
      <c r="D36" s="7">
        <v>68.260000000000005</v>
      </c>
      <c r="E36" s="7">
        <v>74.17</v>
      </c>
      <c r="F36" s="7">
        <v>75.209999999999994</v>
      </c>
      <c r="G36" s="7">
        <v>74.95</v>
      </c>
      <c r="H36" s="7">
        <v>92.73</v>
      </c>
      <c r="I36" s="7">
        <v>92.62</v>
      </c>
      <c r="J36" s="7">
        <v>93.891000000000005</v>
      </c>
    </row>
    <row r="37" spans="1:10" x14ac:dyDescent="0.3">
      <c r="A37" t="s">
        <v>139</v>
      </c>
      <c r="B37" t="s">
        <v>140</v>
      </c>
      <c r="D37" s="7">
        <v>32.49</v>
      </c>
      <c r="E37" s="7">
        <v>31.18</v>
      </c>
      <c r="F37" s="7">
        <v>61.48</v>
      </c>
      <c r="G37" s="7">
        <v>70.489999999999995</v>
      </c>
      <c r="H37" s="7">
        <v>58.02</v>
      </c>
      <c r="I37" s="7">
        <v>88.86</v>
      </c>
      <c r="J37" s="7">
        <v>88.765000000000001</v>
      </c>
    </row>
    <row r="38" spans="1:10" x14ac:dyDescent="0.3">
      <c r="A38" t="s">
        <v>141</v>
      </c>
      <c r="B38" t="s">
        <v>142</v>
      </c>
      <c r="D38" s="7">
        <v>66.569999999999993</v>
      </c>
      <c r="E38" s="7">
        <v>32.28</v>
      </c>
      <c r="F38" s="7">
        <v>15.56</v>
      </c>
      <c r="G38" s="7">
        <v>17.96</v>
      </c>
      <c r="H38" s="7">
        <v>0</v>
      </c>
      <c r="I38" s="7">
        <v>0</v>
      </c>
      <c r="J38" s="7">
        <v>0</v>
      </c>
    </row>
    <row r="39" spans="1:10" x14ac:dyDescent="0.3">
      <c r="A39" t="s">
        <v>143</v>
      </c>
      <c r="B39" t="s">
        <v>144</v>
      </c>
      <c r="D39" s="7">
        <v>31.84</v>
      </c>
      <c r="E39" s="7">
        <v>30.74</v>
      </c>
      <c r="F39" s="7">
        <v>27.01</v>
      </c>
      <c r="G39" s="7">
        <v>25.52</v>
      </c>
      <c r="H39" s="7">
        <v>26.12</v>
      </c>
      <c r="I39" s="7">
        <v>32.76</v>
      </c>
      <c r="J39" s="7">
        <v>32.197000000000003</v>
      </c>
    </row>
    <row r="40" spans="1:10" x14ac:dyDescent="0.3">
      <c r="A40" t="s">
        <v>145</v>
      </c>
      <c r="B40" t="s">
        <v>146</v>
      </c>
      <c r="D40" s="7">
        <v>54.15</v>
      </c>
      <c r="E40" s="7">
        <v>49.08</v>
      </c>
      <c r="F40" s="7">
        <v>63</v>
      </c>
      <c r="G40" s="7">
        <v>55.11</v>
      </c>
      <c r="H40" s="7">
        <v>37.159999999999997</v>
      </c>
      <c r="I40" s="7">
        <v>40.6</v>
      </c>
      <c r="J40" s="7">
        <v>46.569000000000003</v>
      </c>
    </row>
    <row r="41" spans="1:10" x14ac:dyDescent="0.3">
      <c r="A41" t="s">
        <v>147</v>
      </c>
      <c r="B41" t="s">
        <v>148</v>
      </c>
      <c r="D41" s="7">
        <v>49.87</v>
      </c>
      <c r="E41" s="7">
        <v>24.35</v>
      </c>
      <c r="F41" s="7">
        <v>52.012999999999998</v>
      </c>
      <c r="G41" s="7">
        <v>31.01</v>
      </c>
      <c r="H41" s="7">
        <v>43.21</v>
      </c>
      <c r="I41" s="7">
        <v>33.81</v>
      </c>
      <c r="J41" s="7">
        <v>14.234</v>
      </c>
    </row>
    <row r="42" spans="1:10" x14ac:dyDescent="0.3">
      <c r="A42" t="s">
        <v>149</v>
      </c>
      <c r="D42" s="7"/>
      <c r="E42" s="7"/>
      <c r="F42" s="7"/>
      <c r="G42" s="7"/>
      <c r="H42" s="7"/>
      <c r="I42" s="7"/>
      <c r="J42" s="7"/>
    </row>
    <row r="43" spans="1:10" x14ac:dyDescent="0.3">
      <c r="A43" t="s">
        <v>150</v>
      </c>
      <c r="B43" t="s">
        <v>151</v>
      </c>
      <c r="D43" s="7">
        <v>41.02</v>
      </c>
      <c r="E43" s="7">
        <v>39.6</v>
      </c>
      <c r="F43" s="7">
        <v>46.22</v>
      </c>
      <c r="G43" s="7">
        <v>50.33</v>
      </c>
      <c r="H43" s="7">
        <v>55.91</v>
      </c>
      <c r="I43" s="7">
        <v>65.55</v>
      </c>
      <c r="J43" s="7">
        <v>70.748000000000005</v>
      </c>
    </row>
    <row r="44" spans="1:10" x14ac:dyDescent="0.3">
      <c r="A44" t="s">
        <v>152</v>
      </c>
      <c r="B44" t="s">
        <v>153</v>
      </c>
      <c r="D44" s="7">
        <v>70.25</v>
      </c>
      <c r="E44" s="7">
        <v>61.51</v>
      </c>
      <c r="F44" s="7">
        <v>67.25</v>
      </c>
      <c r="G44" s="7">
        <v>67.010000000000005</v>
      </c>
      <c r="H44" s="7">
        <v>86.5</v>
      </c>
      <c r="I44" s="7">
        <v>91.99</v>
      </c>
      <c r="J44" s="7">
        <v>91.695999999999998</v>
      </c>
    </row>
    <row r="45" spans="1:10" x14ac:dyDescent="0.3">
      <c r="A45" t="s">
        <v>154</v>
      </c>
      <c r="B45" t="s">
        <v>155</v>
      </c>
      <c r="D45" s="7">
        <v>14.22</v>
      </c>
      <c r="E45" s="7">
        <v>13.54</v>
      </c>
      <c r="F45" s="7">
        <v>21.76</v>
      </c>
      <c r="G45" s="7">
        <v>26.99</v>
      </c>
      <c r="H45" s="7">
        <v>65.260000000000005</v>
      </c>
      <c r="I45" s="7">
        <v>51.7</v>
      </c>
      <c r="J45" s="7">
        <v>56.98</v>
      </c>
    </row>
    <row r="46" spans="1:10" x14ac:dyDescent="0.3">
      <c r="A46" t="s">
        <v>156</v>
      </c>
      <c r="B46" t="s">
        <v>157</v>
      </c>
      <c r="D46" s="7">
        <v>62.3</v>
      </c>
      <c r="E46" s="7">
        <v>56.03</v>
      </c>
      <c r="F46" s="7">
        <v>57.09</v>
      </c>
      <c r="G46" s="7">
        <v>72.599999999999994</v>
      </c>
      <c r="H46" s="7">
        <v>85.52</v>
      </c>
      <c r="I46" s="7">
        <v>87.06</v>
      </c>
      <c r="J46" s="7">
        <v>93.399000000000001</v>
      </c>
    </row>
    <row r="47" spans="1:10" x14ac:dyDescent="0.3">
      <c r="A47" t="s">
        <v>158</v>
      </c>
      <c r="B47" t="s">
        <v>159</v>
      </c>
      <c r="D47" s="7">
        <v>42</v>
      </c>
      <c r="E47" s="7">
        <v>81</v>
      </c>
      <c r="F47" s="7">
        <v>112.89</v>
      </c>
      <c r="G47" s="7">
        <v>48.58</v>
      </c>
      <c r="H47" s="7">
        <v>58</v>
      </c>
      <c r="I47" s="7">
        <v>46</v>
      </c>
      <c r="J47" s="7">
        <v>-12.9</v>
      </c>
    </row>
    <row r="48" spans="1:10" x14ac:dyDescent="0.3">
      <c r="A48" t="s">
        <v>160</v>
      </c>
      <c r="D48" s="7"/>
      <c r="E48" s="7"/>
      <c r="F48" s="7"/>
      <c r="G48" s="7"/>
      <c r="H48" s="7"/>
      <c r="I48" s="7"/>
      <c r="J48" s="7"/>
    </row>
    <row r="49" spans="1:10" x14ac:dyDescent="0.3">
      <c r="A49" t="s">
        <v>161</v>
      </c>
      <c r="B49" t="s">
        <v>162</v>
      </c>
      <c r="D49" s="7">
        <v>0.04</v>
      </c>
      <c r="E49" s="7">
        <v>0.04</v>
      </c>
      <c r="F49" s="7">
        <v>0</v>
      </c>
      <c r="G49" s="7">
        <v>4.6900000000000004</v>
      </c>
      <c r="H49" s="7">
        <v>0.74</v>
      </c>
      <c r="I49" s="7">
        <v>0</v>
      </c>
      <c r="J49" s="7">
        <v>0</v>
      </c>
    </row>
    <row r="50" spans="1:10" x14ac:dyDescent="0.3">
      <c r="A50" t="s">
        <v>163</v>
      </c>
      <c r="B50" t="s">
        <v>164</v>
      </c>
      <c r="D50" s="7">
        <v>3.8</v>
      </c>
      <c r="E50" s="7">
        <v>3.77</v>
      </c>
      <c r="F50" s="7">
        <v>3.81</v>
      </c>
      <c r="G50" s="7">
        <v>4.03</v>
      </c>
      <c r="H50" s="7">
        <v>1.46</v>
      </c>
      <c r="I50" s="7">
        <v>3.3</v>
      </c>
      <c r="J50" s="7">
        <v>4.3769999999999998</v>
      </c>
    </row>
    <row r="51" spans="1:10" x14ac:dyDescent="0.3">
      <c r="A51" s="8" t="s">
        <v>165</v>
      </c>
      <c r="B51" s="8" t="s">
        <v>166</v>
      </c>
      <c r="C51" s="9">
        <v>16</v>
      </c>
      <c r="D51" s="7">
        <v>19.95</v>
      </c>
      <c r="E51" s="7">
        <v>19.02</v>
      </c>
      <c r="F51" s="7">
        <v>17.350000000000001</v>
      </c>
      <c r="G51" s="7">
        <v>18.63</v>
      </c>
      <c r="H51" s="7">
        <v>11.47</v>
      </c>
      <c r="I51" s="7">
        <v>13.46</v>
      </c>
      <c r="J51" s="7">
        <v>16.420000000000002</v>
      </c>
    </row>
    <row r="52" spans="1:10" x14ac:dyDescent="0.3">
      <c r="A52" t="s">
        <v>167</v>
      </c>
      <c r="B52" t="s">
        <v>168</v>
      </c>
      <c r="D52" s="7">
        <v>4081.82</v>
      </c>
      <c r="E52" s="7">
        <v>3999.62</v>
      </c>
      <c r="F52" s="7">
        <v>3876.306</v>
      </c>
      <c r="G52" s="7">
        <v>3823.5439999999999</v>
      </c>
      <c r="H52" s="7">
        <v>3812.4430000000002</v>
      </c>
      <c r="I52" s="7">
        <v>3611.07</v>
      </c>
      <c r="J52" s="7">
        <v>3492.2310000000002</v>
      </c>
    </row>
    <row r="53" spans="1:10" x14ac:dyDescent="0.3">
      <c r="A53" t="s">
        <v>169</v>
      </c>
      <c r="D53" s="7"/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x14ac:dyDescent="0.3">
      <c r="A54" t="s">
        <v>170</v>
      </c>
      <c r="B54" t="s">
        <v>171</v>
      </c>
      <c r="D54" s="7">
        <v>-78.529164347738103</v>
      </c>
      <c r="E54" s="7">
        <v>-72.281738447955036</v>
      </c>
      <c r="F54" s="7">
        <v>-58.231882371904874</v>
      </c>
      <c r="G54" s="7">
        <v>-171.1967811319922</v>
      </c>
      <c r="H54" s="7">
        <v>-137.95617187740382</v>
      </c>
      <c r="I54" s="7">
        <v>-91.903363398644984</v>
      </c>
      <c r="J54" s="7">
        <v>-87.585819877209175</v>
      </c>
    </row>
    <row r="55" spans="1:10" x14ac:dyDescent="0.3">
      <c r="A55" t="s">
        <v>172</v>
      </c>
      <c r="B55" t="s">
        <v>173</v>
      </c>
      <c r="D55" s="7">
        <v>4.1135121545426383</v>
      </c>
      <c r="E55" s="7">
        <v>0.43262071708473132</v>
      </c>
      <c r="F55" s="7">
        <v>0.15996733895011239</v>
      </c>
      <c r="G55" s="7">
        <v>0.14987893777880976</v>
      </c>
      <c r="H55" s="7">
        <v>9.162025581204819E-2</v>
      </c>
      <c r="I55" s="7">
        <v>7.6990125435072262E-2</v>
      </c>
      <c r="J55" s="7">
        <v>0.64971948062014484</v>
      </c>
    </row>
    <row r="56" spans="1:10" x14ac:dyDescent="0.3">
      <c r="A56" t="s">
        <v>174</v>
      </c>
      <c r="B56" t="s">
        <v>175</v>
      </c>
      <c r="D56" s="7">
        <v>152.53449604515924</v>
      </c>
      <c r="E56" s="7">
        <v>155.00910908856486</v>
      </c>
      <c r="F56" s="7">
        <v>147.86972799053828</v>
      </c>
      <c r="G56" s="7">
        <v>261.98700313898604</v>
      </c>
      <c r="H56" s="7">
        <v>228.61609655967277</v>
      </c>
      <c r="I56" s="7">
        <v>182.62407159703758</v>
      </c>
      <c r="J56" s="7">
        <v>178.33066860718688</v>
      </c>
    </row>
    <row r="57" spans="1:10" x14ac:dyDescent="0.3">
      <c r="A57" t="s">
        <v>176</v>
      </c>
      <c r="B57" t="s">
        <v>177</v>
      </c>
      <c r="D57" s="7">
        <v>21.881156148036197</v>
      </c>
      <c r="E57" s="7">
        <v>16.840008642305456</v>
      </c>
      <c r="F57" s="7">
        <v>10.202187042416465</v>
      </c>
      <c r="G57" s="7">
        <v>9.0598990552273371</v>
      </c>
      <c r="H57" s="7">
        <v>9.2484550619190067</v>
      </c>
      <c r="I57" s="7">
        <v>9.2023016761723113</v>
      </c>
      <c r="J57" s="7">
        <v>8.6054317894021448</v>
      </c>
    </row>
    <row r="58" spans="1:10" x14ac:dyDescent="0.3">
      <c r="A58" t="s">
        <v>178</v>
      </c>
      <c r="D58" s="7"/>
      <c r="E58" s="7"/>
      <c r="F58" s="7"/>
      <c r="G58" s="7"/>
      <c r="H58" s="7"/>
      <c r="I58" s="7"/>
      <c r="J58" s="7"/>
    </row>
    <row r="59" spans="1:10" x14ac:dyDescent="0.3">
      <c r="A59" t="s">
        <v>179</v>
      </c>
      <c r="B59" t="s">
        <v>180</v>
      </c>
      <c r="D59" s="7">
        <v>6.6666666722218411</v>
      </c>
      <c r="E59" s="7">
        <v>3.57</v>
      </c>
      <c r="F59" s="7">
        <v>3.7</v>
      </c>
      <c r="G59" s="7">
        <v>-213.78</v>
      </c>
      <c r="H59" s="7">
        <v>2.78</v>
      </c>
      <c r="I59" s="7">
        <v>20.723084603959268</v>
      </c>
      <c r="J59" s="7">
        <v>3.3444055650890023</v>
      </c>
    </row>
    <row r="60" spans="1:10" x14ac:dyDescent="0.3">
      <c r="A60" t="s">
        <v>181</v>
      </c>
      <c r="B60" t="s">
        <v>182</v>
      </c>
      <c r="D60" s="7">
        <v>-6.6666666722218411</v>
      </c>
      <c r="E60" s="7" t="s">
        <v>350</v>
      </c>
      <c r="F60" s="7" t="s">
        <v>350</v>
      </c>
      <c r="G60" s="7">
        <v>213.78015957915829</v>
      </c>
      <c r="H60" s="7">
        <v>-2.7797639791270781</v>
      </c>
      <c r="I60" s="7">
        <v>-20.723084603959268</v>
      </c>
      <c r="J60" s="7">
        <v>-3.3444055650890023</v>
      </c>
    </row>
    <row r="61" spans="1:10" x14ac:dyDescent="0.3">
      <c r="A61" t="s">
        <v>183</v>
      </c>
      <c r="B61" t="s">
        <v>184</v>
      </c>
      <c r="D61" s="7">
        <v>8.8785502837242856</v>
      </c>
      <c r="E61" s="7">
        <v>8.5108848472058263</v>
      </c>
      <c r="F61" s="7">
        <v>4.8913146153095468</v>
      </c>
      <c r="G61" s="7">
        <v>16.700349799829727</v>
      </c>
      <c r="H61" s="7">
        <v>15.045070961829682</v>
      </c>
      <c r="I61" s="7">
        <v>11.214702965637928</v>
      </c>
      <c r="J61" s="7">
        <v>10.829000000000001</v>
      </c>
    </row>
    <row r="62" spans="1:10" x14ac:dyDescent="0.3">
      <c r="A62" s="8" t="s">
        <v>185</v>
      </c>
      <c r="B62" s="8" t="s">
        <v>186</v>
      </c>
      <c r="C62" s="9">
        <v>1.2</v>
      </c>
      <c r="D62" s="7">
        <v>0.9</v>
      </c>
      <c r="E62" s="7">
        <v>0.9</v>
      </c>
      <c r="F62" s="7">
        <v>0.9</v>
      </c>
      <c r="G62" s="7">
        <v>0.9</v>
      </c>
      <c r="H62" s="7">
        <v>1.98</v>
      </c>
      <c r="I62" s="7">
        <v>12.05</v>
      </c>
      <c r="J62" s="7">
        <v>1.6759999999999999</v>
      </c>
    </row>
    <row r="63" spans="1:10" x14ac:dyDescent="0.3">
      <c r="A63" t="s">
        <v>187</v>
      </c>
      <c r="D63" s="7"/>
      <c r="E63" s="7"/>
      <c r="F63" s="7"/>
      <c r="G63" s="7"/>
      <c r="H63" s="7"/>
      <c r="I63" s="7"/>
      <c r="J63" s="7"/>
    </row>
    <row r="64" spans="1:10" x14ac:dyDescent="0.3">
      <c r="A64" s="8" t="s">
        <v>188</v>
      </c>
      <c r="B64" s="8" t="s">
        <v>189</v>
      </c>
      <c r="C64" s="9">
        <v>1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0.11</v>
      </c>
      <c r="J64" s="7">
        <v>2.1999999999999999E-2</v>
      </c>
    </row>
    <row r="65" spans="1:10" x14ac:dyDescent="0.3">
      <c r="A65" s="8" t="s">
        <v>190</v>
      </c>
      <c r="B65" s="8" t="s">
        <v>191</v>
      </c>
      <c r="C65" s="9"/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6.0000000000000001E-3</v>
      </c>
    </row>
    <row r="66" spans="1:10" x14ac:dyDescent="0.3">
      <c r="A66" s="8" t="s">
        <v>192</v>
      </c>
      <c r="B66" s="8" t="s">
        <v>193</v>
      </c>
      <c r="C66" s="9">
        <v>0.6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</row>
    <row r="67" spans="1:10" x14ac:dyDescent="0.3">
      <c r="A67" t="s">
        <v>194</v>
      </c>
      <c r="D67" s="7"/>
      <c r="E67" s="7"/>
      <c r="F67" s="7"/>
      <c r="G67" s="7"/>
      <c r="H67" s="7"/>
      <c r="I67" s="7"/>
      <c r="J67" s="7"/>
    </row>
    <row r="68" spans="1:10" x14ac:dyDescent="0.3">
      <c r="A68" t="s">
        <v>195</v>
      </c>
      <c r="B68" t="s">
        <v>196</v>
      </c>
      <c r="D68" s="7">
        <v>78.099999999999994</v>
      </c>
      <c r="E68" s="7">
        <v>86.86</v>
      </c>
      <c r="F68" s="34">
        <v>85.6</v>
      </c>
      <c r="G68" s="34">
        <v>55.07</v>
      </c>
      <c r="H68" s="34">
        <v>47.27</v>
      </c>
      <c r="I68" s="34">
        <v>45.46</v>
      </c>
      <c r="J68" s="34">
        <v>41.098999999999997</v>
      </c>
    </row>
    <row r="69" spans="1:10" x14ac:dyDescent="0.3">
      <c r="A69" t="s">
        <v>197</v>
      </c>
      <c r="D69" s="7"/>
      <c r="E69" s="7"/>
      <c r="F69" s="7"/>
      <c r="G69" s="7"/>
      <c r="H69" s="7"/>
      <c r="I69" s="7"/>
      <c r="J69" s="7"/>
    </row>
    <row r="70" spans="1:10" x14ac:dyDescent="0.3">
      <c r="A70" t="s">
        <v>198</v>
      </c>
      <c r="B70" t="s">
        <v>199</v>
      </c>
      <c r="D70" s="7">
        <v>12.52</v>
      </c>
      <c r="E70" s="34">
        <v>11.38</v>
      </c>
      <c r="F70" s="7">
        <v>18.187999999999999</v>
      </c>
      <c r="G70" s="7">
        <v>12.28</v>
      </c>
      <c r="H70" s="7">
        <v>12.19</v>
      </c>
      <c r="I70" s="7">
        <v>9.26</v>
      </c>
      <c r="J70" s="7">
        <v>9.8889999999999993</v>
      </c>
    </row>
    <row r="71" spans="1:10" x14ac:dyDescent="0.3">
      <c r="A71" t="s">
        <v>200</v>
      </c>
      <c r="B71" t="s">
        <v>201</v>
      </c>
      <c r="D71" s="7">
        <v>14.58</v>
      </c>
      <c r="E71" s="34">
        <v>13.96</v>
      </c>
      <c r="F71" s="7">
        <v>22.06</v>
      </c>
      <c r="G71" s="7">
        <v>21.31</v>
      </c>
      <c r="H71" s="7">
        <v>14.99</v>
      </c>
      <c r="I71" s="7">
        <v>13.24</v>
      </c>
      <c r="J71" s="7">
        <v>12.003</v>
      </c>
    </row>
    <row r="72" spans="1:10" x14ac:dyDescent="0.3">
      <c r="A72" t="s">
        <v>305</v>
      </c>
      <c r="D72" s="7"/>
      <c r="E72" s="7"/>
      <c r="F72" s="7"/>
      <c r="G72" s="7"/>
      <c r="H72" s="7"/>
      <c r="I72" s="7"/>
      <c r="J72" s="7"/>
    </row>
    <row r="73" spans="1:10" x14ac:dyDescent="0.3">
      <c r="B73" t="s">
        <v>202</v>
      </c>
      <c r="D73" s="7">
        <v>61.7</v>
      </c>
      <c r="E73" s="7">
        <v>62.294605372744982</v>
      </c>
      <c r="F73" s="7">
        <v>61.578265789194433</v>
      </c>
      <c r="G73" s="7">
        <v>61.62605934358217</v>
      </c>
      <c r="H73" s="7">
        <v>60.875339620360592</v>
      </c>
      <c r="I73" s="7">
        <v>62.127870575270563</v>
      </c>
      <c r="J73" s="7">
        <v>60.482999999999997</v>
      </c>
    </row>
    <row r="74" spans="1:10" x14ac:dyDescent="0.3">
      <c r="B74" t="s">
        <v>203</v>
      </c>
      <c r="D74" s="7">
        <v>78.400000000000006</v>
      </c>
      <c r="E74" s="7">
        <v>78.885696666864007</v>
      </c>
      <c r="F74" s="7">
        <v>80.205796889312325</v>
      </c>
      <c r="G74" s="7">
        <v>79.754080249121998</v>
      </c>
      <c r="H74" s="7">
        <v>79.46229775126335</v>
      </c>
      <c r="I74" s="7">
        <v>80.623000000000005</v>
      </c>
      <c r="J74" s="7">
        <v>79.356999999999999</v>
      </c>
    </row>
    <row r="75" spans="1:10" x14ac:dyDescent="0.3">
      <c r="B75" t="s">
        <v>204</v>
      </c>
      <c r="D75" s="7">
        <v>28.95</v>
      </c>
      <c r="E75" s="7">
        <v>30.608880335600496</v>
      </c>
      <c r="F75" s="7">
        <v>27.74681373804253</v>
      </c>
      <c r="G75" s="7">
        <v>27.977525652421008</v>
      </c>
      <c r="H75" s="7">
        <v>26.111518498946285</v>
      </c>
      <c r="I75" s="7">
        <v>27.923245086868015</v>
      </c>
      <c r="J75" s="7">
        <v>28.723799212649887</v>
      </c>
    </row>
    <row r="76" spans="1:10" x14ac:dyDescent="0.3">
      <c r="A76" s="8" t="s">
        <v>37</v>
      </c>
      <c r="B76" s="8"/>
      <c r="C76" s="9">
        <v>47</v>
      </c>
      <c r="D76" s="7">
        <v>61.549529630332458</v>
      </c>
      <c r="E76" s="7">
        <v>61.321030612273205</v>
      </c>
      <c r="F76" s="34">
        <v>65.464491540718939</v>
      </c>
      <c r="G76" s="34">
        <v>67.215517016568768</v>
      </c>
      <c r="H76" s="34">
        <v>69.453373304521932</v>
      </c>
      <c r="I76" s="34">
        <v>71.60508269166796</v>
      </c>
      <c r="J76" s="34">
        <v>67.166482376857971</v>
      </c>
    </row>
    <row r="77" spans="1:10" x14ac:dyDescent="0.3">
      <c r="A77" s="35" t="s">
        <v>338</v>
      </c>
      <c r="B77" s="35"/>
      <c r="C77" s="67"/>
      <c r="D77" s="34">
        <v>59.364108322017728</v>
      </c>
      <c r="E77" s="34">
        <v>58.641988937758818</v>
      </c>
      <c r="F77" s="34">
        <v>63.440234775775942</v>
      </c>
      <c r="G77" s="34">
        <v>65.547478962035967</v>
      </c>
      <c r="H77" s="34">
        <v>68.194885676403871</v>
      </c>
      <c r="I77" s="34">
        <v>65.580695486760078</v>
      </c>
      <c r="J77" s="34">
        <v>55.197532673940188</v>
      </c>
    </row>
    <row r="78" spans="1:10" x14ac:dyDescent="0.3">
      <c r="A78" t="s">
        <v>268</v>
      </c>
      <c r="D78" s="7"/>
      <c r="E78" s="7"/>
      <c r="F78" s="7"/>
      <c r="G78" s="7"/>
      <c r="H78" s="7"/>
      <c r="I78" s="7"/>
      <c r="J78" s="7"/>
    </row>
    <row r="79" spans="1:10" x14ac:dyDescent="0.3">
      <c r="A79">
        <v>4</v>
      </c>
      <c r="B79" t="s">
        <v>205</v>
      </c>
      <c r="D79" s="7">
        <v>6.9636458811282349</v>
      </c>
      <c r="E79" s="7">
        <v>6.5973387006597344</v>
      </c>
      <c r="F79" s="34">
        <v>5.1510600322145308</v>
      </c>
      <c r="G79" s="34">
        <v>4.8722948153095409</v>
      </c>
      <c r="H79" s="34">
        <v>4.8430758819050848</v>
      </c>
      <c r="I79" s="34">
        <v>6.3226685911314249</v>
      </c>
      <c r="J79" s="34">
        <v>9.9282991041310389</v>
      </c>
    </row>
    <row r="80" spans="1:10" x14ac:dyDescent="0.3">
      <c r="A80">
        <v>9</v>
      </c>
      <c r="B80" t="s">
        <v>361</v>
      </c>
      <c r="D80" s="7">
        <v>9.4879841202314008</v>
      </c>
      <c r="E80" s="7">
        <v>10.242647881024263</v>
      </c>
      <c r="F80" s="34">
        <v>7.7902572809194197</v>
      </c>
      <c r="G80" s="34">
        <v>7.6946278721547756</v>
      </c>
      <c r="H80" s="34">
        <v>8.0111665679722535</v>
      </c>
      <c r="I80" s="34">
        <v>9.7466121401651833</v>
      </c>
      <c r="J80" s="34">
        <v>12.852817045044478</v>
      </c>
    </row>
    <row r="81" spans="1:10" x14ac:dyDescent="0.3">
      <c r="A81">
        <v>10</v>
      </c>
      <c r="B81" t="s">
        <v>206</v>
      </c>
      <c r="D81" s="7">
        <v>5.9930528012671962</v>
      </c>
      <c r="E81" s="7">
        <v>5.4679637705467954</v>
      </c>
      <c r="F81" s="34">
        <v>7.7412824866135574</v>
      </c>
      <c r="G81" s="34">
        <v>3.8543159074016216</v>
      </c>
      <c r="H81" s="34">
        <v>7.2180864563065734</v>
      </c>
      <c r="I81" s="34">
        <v>11.369042846069549</v>
      </c>
      <c r="J81" s="34">
        <v>17.227042377269093</v>
      </c>
    </row>
    <row r="82" spans="1:10" x14ac:dyDescent="0.3">
      <c r="A82">
        <v>12</v>
      </c>
      <c r="B82" t="s">
        <v>207</v>
      </c>
      <c r="D82" s="7">
        <v>8.833471515973141</v>
      </c>
      <c r="E82" s="7">
        <v>9.2474561109247446</v>
      </c>
      <c r="F82" s="34">
        <v>9.5620565060293412</v>
      </c>
      <c r="G82" s="34">
        <v>7.8939147483060621</v>
      </c>
      <c r="H82" s="34">
        <v>8.6139074528381716</v>
      </c>
      <c r="I82" s="34">
        <v>11.185951407264854</v>
      </c>
      <c r="J82" s="34">
        <v>16.13819288639252</v>
      </c>
    </row>
    <row r="83" spans="1:10" x14ac:dyDescent="0.3">
      <c r="A83" t="s">
        <v>208</v>
      </c>
      <c r="D83" s="7"/>
      <c r="E83" s="7"/>
      <c r="F83" s="7"/>
      <c r="G83" s="7"/>
      <c r="H83" s="7"/>
      <c r="I83" s="7"/>
      <c r="J83" s="7"/>
    </row>
    <row r="84" spans="1:10" x14ac:dyDescent="0.3">
      <c r="A84">
        <v>4</v>
      </c>
      <c r="B84" t="s">
        <v>205</v>
      </c>
      <c r="D84" s="7">
        <v>71.489999999999995</v>
      </c>
      <c r="E84" s="7">
        <v>72.454229093179862</v>
      </c>
      <c r="F84" s="7">
        <v>79.08</v>
      </c>
      <c r="G84" s="7">
        <v>76.673000000000002</v>
      </c>
      <c r="H84" s="7">
        <v>77.269000000000005</v>
      </c>
      <c r="I84" s="7">
        <v>78.972999999999999</v>
      </c>
      <c r="J84" s="7">
        <v>75.338999999999999</v>
      </c>
    </row>
    <row r="85" spans="1:10" x14ac:dyDescent="0.3">
      <c r="A85">
        <v>9</v>
      </c>
      <c r="B85" t="s">
        <v>361</v>
      </c>
      <c r="D85" s="7">
        <v>55.05</v>
      </c>
      <c r="E85" s="7">
        <v>51.845395172653895</v>
      </c>
      <c r="F85" s="7">
        <v>56.652999999999999</v>
      </c>
      <c r="G85" s="7">
        <v>60.21</v>
      </c>
      <c r="H85" s="7">
        <v>65.364999999999995</v>
      </c>
      <c r="I85" s="7">
        <v>78.066000000000003</v>
      </c>
      <c r="J85" s="7">
        <v>80.149000000000001</v>
      </c>
    </row>
    <row r="86" spans="1:10" x14ac:dyDescent="0.3">
      <c r="A86">
        <v>10</v>
      </c>
      <c r="B86" t="s">
        <v>206</v>
      </c>
      <c r="D86" s="7">
        <v>58.44</v>
      </c>
      <c r="E86" s="7">
        <v>57.646828016560306</v>
      </c>
      <c r="F86" s="7">
        <v>50.284999999999997</v>
      </c>
      <c r="G86" s="7">
        <v>68.998162973534846</v>
      </c>
      <c r="H86" s="7">
        <v>88.090812321944497</v>
      </c>
      <c r="I86" s="7">
        <v>87.313000000000002</v>
      </c>
      <c r="J86" s="7">
        <v>87.518000000000001</v>
      </c>
    </row>
    <row r="87" spans="1:10" x14ac:dyDescent="0.3">
      <c r="A87">
        <v>12</v>
      </c>
      <c r="B87" t="s">
        <v>207</v>
      </c>
      <c r="D87" s="7">
        <v>70.86</v>
      </c>
      <c r="E87" s="7">
        <v>73.343620160251604</v>
      </c>
      <c r="F87" s="7">
        <v>65.661000000000001</v>
      </c>
      <c r="G87" s="7">
        <v>72.831000000000003</v>
      </c>
      <c r="H87" s="7">
        <v>70.182000000000002</v>
      </c>
      <c r="I87" s="7">
        <v>72.655000000000001</v>
      </c>
      <c r="J87" s="7">
        <v>72.921999999999997</v>
      </c>
    </row>
    <row r="88" spans="1:10" x14ac:dyDescent="0.3">
      <c r="B88" s="72" t="s">
        <v>306</v>
      </c>
      <c r="D88" s="7"/>
      <c r="E88" s="7"/>
      <c r="F88" s="7"/>
      <c r="G88" s="7"/>
      <c r="H88" s="7"/>
      <c r="I88" s="7"/>
      <c r="J88" s="7"/>
    </row>
    <row r="89" spans="1:10" x14ac:dyDescent="0.3">
      <c r="B89" t="s">
        <v>110</v>
      </c>
      <c r="D89" s="7">
        <v>367.13226833883101</v>
      </c>
      <c r="E89" s="7">
        <v>350.14826884227551</v>
      </c>
      <c r="F89" s="7">
        <v>362.58510068602214</v>
      </c>
      <c r="G89" s="7">
        <v>355.01394750014094</v>
      </c>
      <c r="H89" s="7">
        <v>354.72657825926274</v>
      </c>
      <c r="I89" s="7">
        <v>352.25227220007974</v>
      </c>
      <c r="J89" s="7">
        <v>369.77947768871218</v>
      </c>
    </row>
    <row r="90" spans="1:10" x14ac:dyDescent="0.3">
      <c r="B90" t="s">
        <v>129</v>
      </c>
      <c r="D90" s="7">
        <v>157.51675807997006</v>
      </c>
      <c r="E90" s="7">
        <v>150.44420956890005</v>
      </c>
      <c r="F90" s="7">
        <v>170.92035541980178</v>
      </c>
      <c r="G90" s="7">
        <v>180.492157874811</v>
      </c>
      <c r="H90" s="7">
        <v>204.57029658165237</v>
      </c>
      <c r="I90" s="7">
        <v>209.21258224469867</v>
      </c>
      <c r="J90" s="7">
        <v>229.38618194069946</v>
      </c>
    </row>
    <row r="91" spans="1:10" x14ac:dyDescent="0.3">
      <c r="B91" t="s">
        <v>159</v>
      </c>
      <c r="D91" s="7">
        <v>30.939403225806455</v>
      </c>
      <c r="E91" s="7">
        <v>36.337096774193533</v>
      </c>
      <c r="F91" s="7">
        <v>36.521612903225808</v>
      </c>
      <c r="G91" s="7">
        <v>24.474374999999998</v>
      </c>
      <c r="H91" s="7">
        <v>18.420312500000001</v>
      </c>
      <c r="I91" s="7">
        <v>10.619375</v>
      </c>
      <c r="J91" s="7">
        <v>3.849687499999999</v>
      </c>
    </row>
    <row r="92" spans="1:10" x14ac:dyDescent="0.3">
      <c r="B92" t="s">
        <v>168</v>
      </c>
      <c r="D92" s="7">
        <v>1806.715247780151</v>
      </c>
      <c r="E92" s="7">
        <v>1760.2223341478993</v>
      </c>
      <c r="F92" s="7">
        <v>1723.4313709635639</v>
      </c>
      <c r="G92" s="7">
        <v>1688.3834954123995</v>
      </c>
      <c r="H92" s="7">
        <v>1744.0187221199872</v>
      </c>
      <c r="I92" s="7">
        <v>1744.7789254873785</v>
      </c>
      <c r="J92" s="7">
        <v>1726.9557160967668</v>
      </c>
    </row>
    <row r="93" spans="1:10" x14ac:dyDescent="0.3">
      <c r="D93" s="7"/>
      <c r="E93" s="7"/>
      <c r="F93" s="7"/>
      <c r="G93" s="7"/>
      <c r="H93" s="7"/>
      <c r="I93" s="7"/>
      <c r="J93" s="7"/>
    </row>
    <row r="94" spans="1:10" x14ac:dyDescent="0.3">
      <c r="B94" s="43" t="s">
        <v>303</v>
      </c>
      <c r="D94" s="7"/>
      <c r="E94" s="7"/>
      <c r="F94" s="7"/>
      <c r="G94" s="7"/>
      <c r="H94" s="7"/>
      <c r="I94" s="7"/>
      <c r="J94" s="7"/>
    </row>
    <row r="95" spans="1:10" x14ac:dyDescent="0.3">
      <c r="D95" s="7"/>
      <c r="E95" s="7"/>
      <c r="F95" s="7"/>
      <c r="G95" s="7"/>
      <c r="H95" s="7"/>
      <c r="I95" s="7"/>
      <c r="J95" s="7"/>
    </row>
    <row r="96" spans="1:10" x14ac:dyDescent="0.3">
      <c r="D96" s="7"/>
      <c r="E96" s="7"/>
      <c r="F96" s="7"/>
      <c r="G96" s="7"/>
      <c r="H96" s="7"/>
      <c r="I96" s="7"/>
      <c r="J96" s="7"/>
    </row>
    <row r="97" spans="4:10" x14ac:dyDescent="0.3">
      <c r="D97" s="7"/>
      <c r="E97" s="7"/>
      <c r="F97" s="7"/>
      <c r="G97" s="7"/>
      <c r="H97" s="7"/>
      <c r="I97" s="7"/>
      <c r="J97" s="7"/>
    </row>
    <row r="98" spans="4:10" x14ac:dyDescent="0.3">
      <c r="D98" s="7"/>
      <c r="E98" s="7"/>
      <c r="F98" s="7"/>
      <c r="G98" s="7"/>
      <c r="H98" s="7"/>
      <c r="I98" s="7"/>
      <c r="J98" s="7"/>
    </row>
    <row r="99" spans="4:10" x14ac:dyDescent="0.3">
      <c r="D99" s="7"/>
      <c r="E99" s="7"/>
      <c r="F99" s="7"/>
      <c r="G99" s="7"/>
      <c r="H99" s="7"/>
      <c r="I99" s="7"/>
      <c r="J99" s="7"/>
    </row>
    <row r="100" spans="4:10" x14ac:dyDescent="0.3">
      <c r="D100" s="7"/>
      <c r="E100" s="7"/>
      <c r="F100" s="7"/>
      <c r="G100" s="7"/>
      <c r="H100" s="7"/>
      <c r="I100" s="7"/>
      <c r="J100" s="7"/>
    </row>
    <row r="101" spans="4:10" x14ac:dyDescent="0.3">
      <c r="D101" s="7"/>
      <c r="E101" s="7"/>
      <c r="F101" s="7"/>
      <c r="G101" s="7"/>
      <c r="H101" s="7"/>
      <c r="I101" s="7"/>
      <c r="J101" s="7"/>
    </row>
    <row r="102" spans="4:10" x14ac:dyDescent="0.3">
      <c r="D102" s="7"/>
      <c r="E102" s="7"/>
      <c r="F102" s="7"/>
      <c r="G102" s="7"/>
      <c r="H102" s="7"/>
      <c r="I102" s="7"/>
      <c r="J102" s="7"/>
    </row>
    <row r="103" spans="4:10" x14ac:dyDescent="0.3">
      <c r="D103" s="7"/>
      <c r="E103" s="7"/>
      <c r="F103" s="7"/>
      <c r="G103" s="7"/>
      <c r="H103" s="7"/>
      <c r="I103" s="7"/>
      <c r="J103" s="7"/>
    </row>
    <row r="104" spans="4:10" x14ac:dyDescent="0.3">
      <c r="D104" s="7"/>
      <c r="E104" s="7"/>
      <c r="F104" s="7"/>
      <c r="G104" s="7"/>
      <c r="H104" s="7"/>
      <c r="I104" s="7"/>
      <c r="J104" s="7"/>
    </row>
    <row r="105" spans="4:10" x14ac:dyDescent="0.3">
      <c r="D105" s="7"/>
      <c r="E105" s="7"/>
      <c r="F105" s="7"/>
      <c r="G105" s="7"/>
      <c r="H105" s="7"/>
      <c r="I105" s="7"/>
      <c r="J105" s="7"/>
    </row>
    <row r="106" spans="4:10" x14ac:dyDescent="0.3">
      <c r="D106" s="7"/>
      <c r="E106" s="7"/>
      <c r="F106" s="7"/>
      <c r="G106" s="7"/>
      <c r="H106" s="7"/>
      <c r="I106" s="7"/>
      <c r="J106" s="7"/>
    </row>
    <row r="107" spans="4:10" x14ac:dyDescent="0.3">
      <c r="D107" s="7"/>
      <c r="E107" s="7"/>
      <c r="F107" s="7"/>
      <c r="G107" s="7"/>
      <c r="H107" s="7"/>
      <c r="I107" s="7"/>
      <c r="J107" s="7"/>
    </row>
    <row r="108" spans="4:10" x14ac:dyDescent="0.3">
      <c r="D108" s="7"/>
      <c r="E108" s="7"/>
      <c r="F108" s="7"/>
      <c r="G108" s="7"/>
      <c r="H108" s="7"/>
      <c r="I108" s="7"/>
      <c r="J108" s="7"/>
    </row>
    <row r="109" spans="4:10" x14ac:dyDescent="0.3">
      <c r="D109" s="7"/>
      <c r="E109" s="7"/>
      <c r="F109" s="7"/>
      <c r="G109" s="7"/>
      <c r="H109" s="7"/>
      <c r="I109" s="7"/>
      <c r="J109" s="7"/>
    </row>
    <row r="110" spans="4:10" x14ac:dyDescent="0.3">
      <c r="D110" s="7"/>
      <c r="E110" s="7"/>
      <c r="F110" s="7"/>
      <c r="G110" s="7"/>
      <c r="H110" s="7"/>
      <c r="I110" s="7"/>
      <c r="J110" s="7"/>
    </row>
    <row r="111" spans="4:10" x14ac:dyDescent="0.3">
      <c r="D111" s="7"/>
      <c r="E111" s="7"/>
      <c r="F111" s="7"/>
      <c r="G111" s="7"/>
      <c r="H111" s="7"/>
      <c r="I111" s="7"/>
      <c r="J111" s="7"/>
    </row>
    <row r="112" spans="4:10" x14ac:dyDescent="0.3">
      <c r="D112" s="7"/>
      <c r="E112" s="7"/>
      <c r="F112" s="7"/>
      <c r="G112" s="7"/>
      <c r="H112" s="7"/>
      <c r="I112" s="7"/>
      <c r="J112" s="7"/>
    </row>
    <row r="113" spans="2:10" x14ac:dyDescent="0.3">
      <c r="D113" s="7"/>
      <c r="E113" s="7"/>
      <c r="F113" s="7"/>
      <c r="G113" s="7"/>
      <c r="H113" s="7"/>
      <c r="I113" s="7"/>
      <c r="J113" s="7"/>
    </row>
    <row r="114" spans="2:10" x14ac:dyDescent="0.3">
      <c r="D114" s="7"/>
      <c r="E114" s="7"/>
      <c r="F114" s="7"/>
      <c r="G114" s="7"/>
      <c r="H114" s="7"/>
      <c r="I114" s="7"/>
      <c r="J114" s="7"/>
    </row>
    <row r="115" spans="2:10" x14ac:dyDescent="0.3">
      <c r="B115" s="43" t="s">
        <v>304</v>
      </c>
      <c r="D115" s="7"/>
      <c r="E115" s="7"/>
      <c r="F115" s="7"/>
      <c r="G115" s="7"/>
      <c r="H115" s="7"/>
      <c r="I115" s="7"/>
      <c r="J115" s="7"/>
    </row>
    <row r="116" spans="2:10" x14ac:dyDescent="0.3">
      <c r="D116" s="7"/>
      <c r="E116" s="7"/>
      <c r="F116" s="7"/>
      <c r="G116" s="7"/>
      <c r="H116" s="7"/>
      <c r="I116" s="7"/>
      <c r="J116" s="7"/>
    </row>
    <row r="117" spans="2:10" x14ac:dyDescent="0.3">
      <c r="D117" s="7"/>
      <c r="E117" s="7"/>
      <c r="F117" s="7"/>
      <c r="G117" s="7"/>
      <c r="H117" s="7"/>
      <c r="I117" s="7"/>
      <c r="J117" s="7"/>
    </row>
    <row r="118" spans="2:10" x14ac:dyDescent="0.3">
      <c r="D118" s="7"/>
      <c r="E118" s="7"/>
      <c r="F118" s="7"/>
      <c r="G118" s="7"/>
      <c r="H118" s="7"/>
      <c r="I118" s="7"/>
      <c r="J118" s="7"/>
    </row>
    <row r="119" spans="2:10" x14ac:dyDescent="0.3">
      <c r="D119" s="7"/>
      <c r="E119" s="7"/>
      <c r="F119" s="7"/>
      <c r="G119" s="7"/>
      <c r="H119" s="7"/>
      <c r="I119" s="7"/>
      <c r="J119" s="7"/>
    </row>
    <row r="120" spans="2:10" x14ac:dyDescent="0.3">
      <c r="D120" s="7"/>
      <c r="E120" s="7"/>
      <c r="F120" s="7"/>
      <c r="G120" s="7"/>
      <c r="H120" s="7"/>
      <c r="I120" s="7"/>
      <c r="J120" s="7"/>
    </row>
    <row r="121" spans="2:10" x14ac:dyDescent="0.3">
      <c r="D121" s="7"/>
      <c r="E121" s="7"/>
      <c r="F121" s="7"/>
      <c r="G121" s="7"/>
      <c r="H121" s="7"/>
      <c r="I121" s="7"/>
      <c r="J121" s="7"/>
    </row>
    <row r="122" spans="2:10" x14ac:dyDescent="0.3">
      <c r="D122" s="7"/>
      <c r="E122" s="7"/>
      <c r="F122" s="7"/>
      <c r="G122" s="7"/>
      <c r="H122" s="7"/>
      <c r="I122" s="7"/>
      <c r="J122" s="7"/>
    </row>
    <row r="123" spans="2:10" x14ac:dyDescent="0.3">
      <c r="D123" s="7"/>
      <c r="E123" s="7"/>
      <c r="F123" s="7"/>
      <c r="G123" s="7"/>
      <c r="H123" s="7"/>
      <c r="I123" s="7"/>
      <c r="J123" s="7"/>
    </row>
    <row r="124" spans="2:10" x14ac:dyDescent="0.3">
      <c r="D124" s="7"/>
      <c r="E124" s="7"/>
      <c r="F124" s="7"/>
      <c r="G124" s="7"/>
      <c r="H124" s="7"/>
      <c r="I124" s="7"/>
      <c r="J124" s="7"/>
    </row>
    <row r="125" spans="2:10" x14ac:dyDescent="0.3">
      <c r="D125" s="7"/>
      <c r="E125" s="7"/>
      <c r="F125" s="7"/>
      <c r="G125" s="7"/>
      <c r="H125" s="7"/>
      <c r="I125" s="7"/>
      <c r="J125" s="7"/>
    </row>
    <row r="126" spans="2:10" x14ac:dyDescent="0.3">
      <c r="D126" s="7"/>
      <c r="E126" s="7"/>
      <c r="F126" s="7"/>
      <c r="G126" s="7"/>
      <c r="H126" s="7"/>
      <c r="I126" s="7"/>
      <c r="J126" s="7"/>
    </row>
    <row r="127" spans="2:10" x14ac:dyDescent="0.3">
      <c r="D127" s="7"/>
      <c r="E127" s="7"/>
      <c r="F127" s="7"/>
      <c r="G127" s="7"/>
      <c r="H127" s="7"/>
      <c r="I127" s="7"/>
      <c r="J127" s="7"/>
    </row>
    <row r="128" spans="2:10" x14ac:dyDescent="0.3">
      <c r="D128" s="7"/>
      <c r="E128" s="7"/>
      <c r="F128" s="7"/>
      <c r="G128" s="7"/>
      <c r="H128" s="7"/>
      <c r="I128" s="7"/>
      <c r="J128" s="7"/>
    </row>
    <row r="129" spans="2:10" x14ac:dyDescent="0.3">
      <c r="D129" s="7"/>
      <c r="E129" s="7"/>
      <c r="F129" s="7"/>
      <c r="G129" s="7"/>
      <c r="H129" s="7"/>
      <c r="I129" s="7"/>
      <c r="J129" s="7"/>
    </row>
    <row r="130" spans="2:10" x14ac:dyDescent="0.3">
      <c r="D130" s="7"/>
      <c r="E130" s="7"/>
      <c r="F130" s="7"/>
      <c r="G130" s="7"/>
      <c r="H130" s="7"/>
      <c r="I130" s="7"/>
      <c r="J130" s="7"/>
    </row>
    <row r="131" spans="2:10" x14ac:dyDescent="0.3">
      <c r="D131" s="7"/>
      <c r="E131" s="7"/>
      <c r="F131" s="7"/>
      <c r="G131" s="7"/>
      <c r="H131" s="7"/>
      <c r="I131" s="7"/>
      <c r="J131" s="7"/>
    </row>
    <row r="132" spans="2:10" x14ac:dyDescent="0.3">
      <c r="D132" s="7"/>
      <c r="E132" s="7"/>
      <c r="F132" s="7"/>
      <c r="G132" s="7"/>
      <c r="H132" s="7"/>
      <c r="I132" s="7"/>
      <c r="J132" s="7"/>
    </row>
    <row r="133" spans="2:10" x14ac:dyDescent="0.3">
      <c r="D133" s="7"/>
      <c r="E133" s="7"/>
      <c r="F133" s="7"/>
      <c r="G133" s="7"/>
      <c r="H133" s="7"/>
      <c r="I133" s="7"/>
      <c r="J133" s="7"/>
    </row>
    <row r="134" spans="2:10" x14ac:dyDescent="0.3">
      <c r="D134" s="7"/>
      <c r="E134" s="7"/>
      <c r="F134" s="7"/>
      <c r="G134" s="7"/>
      <c r="H134" s="7"/>
      <c r="I134" s="7"/>
      <c r="J134" s="7"/>
    </row>
    <row r="135" spans="2:10" x14ac:dyDescent="0.3">
      <c r="D135" s="7"/>
      <c r="E135" s="7"/>
      <c r="F135" s="7"/>
      <c r="G135" s="7"/>
      <c r="H135" s="7"/>
      <c r="I135" s="7"/>
      <c r="J135" s="7"/>
    </row>
    <row r="136" spans="2:10" x14ac:dyDescent="0.3">
      <c r="B136" s="43" t="s">
        <v>159</v>
      </c>
      <c r="D136" s="7"/>
      <c r="E136" s="7"/>
      <c r="F136" s="7"/>
      <c r="G136" s="7"/>
      <c r="H136" s="7"/>
      <c r="I136" s="7"/>
      <c r="J136" s="7"/>
    </row>
    <row r="137" spans="2:10" x14ac:dyDescent="0.3">
      <c r="D137" s="7"/>
      <c r="E137" s="7"/>
      <c r="F137" s="7"/>
      <c r="G137" s="7"/>
      <c r="H137" s="7"/>
      <c r="I137" s="7"/>
      <c r="J137" s="7"/>
    </row>
    <row r="138" spans="2:10" x14ac:dyDescent="0.3">
      <c r="D138" s="7"/>
      <c r="E138" s="7"/>
      <c r="F138" s="7"/>
      <c r="G138" s="7"/>
      <c r="H138" s="7"/>
      <c r="I138" s="7"/>
      <c r="J138" s="7"/>
    </row>
    <row r="139" spans="2:10" x14ac:dyDescent="0.3">
      <c r="D139" s="7"/>
      <c r="E139" s="7"/>
      <c r="F139" s="7"/>
      <c r="G139" s="7"/>
      <c r="H139" s="7"/>
      <c r="I139" s="7"/>
      <c r="J139" s="7"/>
    </row>
    <row r="140" spans="2:10" x14ac:dyDescent="0.3">
      <c r="D140" s="7"/>
      <c r="E140" s="7"/>
      <c r="F140" s="7"/>
      <c r="G140" s="7"/>
      <c r="H140" s="7"/>
      <c r="I140" s="7"/>
      <c r="J140" s="7"/>
    </row>
    <row r="141" spans="2:10" x14ac:dyDescent="0.3">
      <c r="D141" s="7"/>
      <c r="E141" s="7"/>
      <c r="F141" s="7"/>
      <c r="G141" s="7"/>
      <c r="H141" s="7"/>
      <c r="I141" s="7"/>
      <c r="J141" s="7"/>
    </row>
    <row r="142" spans="2:10" x14ac:dyDescent="0.3">
      <c r="D142" s="7"/>
      <c r="E142" s="7"/>
      <c r="F142" s="7"/>
      <c r="G142" s="7"/>
      <c r="H142" s="7"/>
      <c r="I142" s="7"/>
      <c r="J142" s="7"/>
    </row>
    <row r="143" spans="2:10" x14ac:dyDescent="0.3">
      <c r="D143" s="7"/>
      <c r="E143" s="7"/>
      <c r="F143" s="7"/>
      <c r="G143" s="7"/>
      <c r="H143" s="7"/>
      <c r="I143" s="7"/>
      <c r="J143" s="7"/>
    </row>
    <row r="144" spans="2:10" x14ac:dyDescent="0.3">
      <c r="D144" s="7"/>
      <c r="E144" s="7"/>
      <c r="F144" s="7"/>
      <c r="G144" s="7"/>
      <c r="H144" s="7"/>
      <c r="I144" s="7"/>
      <c r="J144" s="7"/>
    </row>
    <row r="145" spans="2:10" x14ac:dyDescent="0.3">
      <c r="D145" s="7"/>
      <c r="E145" s="7"/>
      <c r="F145" s="7"/>
      <c r="G145" s="7"/>
      <c r="H145" s="7"/>
      <c r="I145" s="7"/>
      <c r="J145" s="7"/>
    </row>
    <row r="146" spans="2:10" x14ac:dyDescent="0.3">
      <c r="D146" s="7"/>
      <c r="E146" s="7"/>
      <c r="F146" s="7"/>
      <c r="G146" s="7"/>
      <c r="H146" s="7"/>
      <c r="I146" s="7"/>
      <c r="J146" s="7"/>
    </row>
    <row r="147" spans="2:10" x14ac:dyDescent="0.3">
      <c r="D147" s="7"/>
      <c r="E147" s="7"/>
      <c r="F147" s="7"/>
      <c r="G147" s="7"/>
      <c r="H147" s="7"/>
      <c r="I147" s="7"/>
      <c r="J147" s="7"/>
    </row>
    <row r="148" spans="2:10" x14ac:dyDescent="0.3">
      <c r="D148" s="7"/>
      <c r="E148" s="7"/>
      <c r="F148" s="7"/>
      <c r="G148" s="7"/>
      <c r="H148" s="7"/>
      <c r="I148" s="7"/>
      <c r="J148" s="7"/>
    </row>
    <row r="149" spans="2:10" x14ac:dyDescent="0.3">
      <c r="D149" s="7"/>
      <c r="E149" s="7"/>
      <c r="F149" s="7"/>
      <c r="G149" s="7"/>
      <c r="H149" s="7"/>
      <c r="I149" s="7"/>
      <c r="J149" s="7"/>
    </row>
    <row r="150" spans="2:10" x14ac:dyDescent="0.3">
      <c r="D150" s="7"/>
      <c r="E150" s="7"/>
      <c r="F150" s="7"/>
      <c r="G150" s="7"/>
      <c r="H150" s="7"/>
      <c r="I150" s="7"/>
      <c r="J150" s="7"/>
    </row>
    <row r="151" spans="2:10" x14ac:dyDescent="0.3">
      <c r="D151" s="7"/>
      <c r="E151" s="7"/>
      <c r="F151" s="7"/>
      <c r="G151" s="7"/>
      <c r="H151" s="7"/>
      <c r="I151" s="7"/>
      <c r="J151" s="7"/>
    </row>
    <row r="152" spans="2:10" x14ac:dyDescent="0.3">
      <c r="D152" s="7"/>
      <c r="E152" s="7"/>
      <c r="F152" s="7"/>
      <c r="G152" s="7"/>
      <c r="H152" s="7"/>
      <c r="I152" s="7"/>
      <c r="J152" s="7"/>
    </row>
    <row r="153" spans="2:10" x14ac:dyDescent="0.3">
      <c r="D153" s="7"/>
      <c r="E153" s="7"/>
      <c r="F153" s="7"/>
      <c r="G153" s="7"/>
      <c r="H153" s="7"/>
      <c r="I153" s="7"/>
      <c r="J153" s="7"/>
    </row>
    <row r="154" spans="2:10" x14ac:dyDescent="0.3">
      <c r="D154" s="7"/>
      <c r="E154" s="7"/>
      <c r="F154" s="7"/>
      <c r="G154" s="7"/>
      <c r="H154" s="7"/>
      <c r="I154" s="7"/>
      <c r="J154" s="7"/>
    </row>
    <row r="155" spans="2:10" x14ac:dyDescent="0.3">
      <c r="D155" s="7"/>
      <c r="E155" s="7"/>
      <c r="F155" s="7"/>
      <c r="G155" s="7"/>
      <c r="H155" s="7"/>
      <c r="I155" s="7"/>
      <c r="J155" s="7"/>
    </row>
    <row r="156" spans="2:10" x14ac:dyDescent="0.3">
      <c r="D156" s="7"/>
      <c r="E156" s="7"/>
      <c r="F156" s="7"/>
      <c r="G156" s="7"/>
      <c r="H156" s="7"/>
      <c r="I156" s="7"/>
      <c r="J156" s="7"/>
    </row>
    <row r="157" spans="2:10" x14ac:dyDescent="0.3">
      <c r="B157" s="43" t="s">
        <v>168</v>
      </c>
      <c r="D157" s="7"/>
      <c r="E157" s="7"/>
      <c r="F157" s="7"/>
      <c r="G157" s="7"/>
      <c r="H157" s="7"/>
      <c r="I157" s="7"/>
      <c r="J157" s="7"/>
    </row>
    <row r="158" spans="2:10" x14ac:dyDescent="0.3">
      <c r="D158" s="7"/>
      <c r="E158" s="7"/>
      <c r="F158" s="7"/>
      <c r="G158" s="7"/>
      <c r="H158" s="7"/>
      <c r="I158" s="7"/>
      <c r="J158" s="7"/>
    </row>
    <row r="159" spans="2:10" x14ac:dyDescent="0.3">
      <c r="D159" s="7"/>
      <c r="E159" s="7"/>
      <c r="F159" s="7"/>
      <c r="G159" s="7"/>
      <c r="H159" s="7"/>
      <c r="I159" s="7"/>
      <c r="J159" s="7"/>
    </row>
    <row r="160" spans="2:10" x14ac:dyDescent="0.3">
      <c r="D160" s="7"/>
      <c r="E160" s="7"/>
      <c r="F160" s="7"/>
      <c r="G160" s="7"/>
      <c r="H160" s="7"/>
      <c r="I160" s="7"/>
      <c r="J160" s="7"/>
    </row>
    <row r="161" spans="4:10" x14ac:dyDescent="0.3">
      <c r="D161" s="7"/>
      <c r="E161" s="7"/>
      <c r="F161" s="7"/>
      <c r="G161" s="7"/>
      <c r="H161" s="7"/>
      <c r="I161" s="7"/>
      <c r="J161" s="7"/>
    </row>
    <row r="162" spans="4:10" x14ac:dyDescent="0.3">
      <c r="D162" s="7"/>
      <c r="E162" s="7"/>
      <c r="F162" s="7"/>
      <c r="G162" s="7"/>
      <c r="H162" s="7"/>
      <c r="I162" s="7"/>
      <c r="J162" s="7"/>
    </row>
    <row r="163" spans="4:10" x14ac:dyDescent="0.3">
      <c r="D163" s="7"/>
      <c r="E163" s="7"/>
      <c r="F163" s="7"/>
      <c r="G163" s="7"/>
      <c r="H163" s="7"/>
      <c r="I163" s="7"/>
      <c r="J163" s="7"/>
    </row>
    <row r="164" spans="4:10" x14ac:dyDescent="0.3">
      <c r="D164" s="7"/>
      <c r="E164" s="7"/>
      <c r="F164" s="7"/>
      <c r="G164" s="7"/>
      <c r="H164" s="7"/>
      <c r="I164" s="7"/>
      <c r="J164" s="7"/>
    </row>
    <row r="165" spans="4:10" x14ac:dyDescent="0.3">
      <c r="D165" s="7"/>
      <c r="E165" s="7"/>
      <c r="F165" s="7"/>
      <c r="G165" s="7"/>
      <c r="H165" s="7"/>
      <c r="I165" s="7"/>
      <c r="J165" s="7"/>
    </row>
    <row r="166" spans="4:10" x14ac:dyDescent="0.3">
      <c r="D166" s="7"/>
      <c r="E166" s="7"/>
      <c r="F166" s="7"/>
      <c r="G166" s="7"/>
      <c r="H166" s="7"/>
      <c r="I166" s="7"/>
      <c r="J166" s="7"/>
    </row>
    <row r="167" spans="4:10" x14ac:dyDescent="0.3">
      <c r="D167" s="7"/>
      <c r="E167" s="7"/>
      <c r="F167" s="7"/>
      <c r="G167" s="7"/>
      <c r="H167" s="7"/>
      <c r="I167" s="7"/>
      <c r="J167" s="7"/>
    </row>
    <row r="168" spans="4:10" x14ac:dyDescent="0.3">
      <c r="D168" s="7"/>
      <c r="E168" s="7"/>
      <c r="F168" s="7"/>
      <c r="G168" s="7"/>
      <c r="H168" s="7"/>
      <c r="I168" s="7"/>
      <c r="J168" s="7"/>
    </row>
    <row r="169" spans="4:10" x14ac:dyDescent="0.3">
      <c r="D169" s="7"/>
      <c r="E169" s="7"/>
      <c r="F169" s="7"/>
      <c r="G169" s="7"/>
      <c r="H169" s="7"/>
      <c r="I169" s="7"/>
      <c r="J169" s="7"/>
    </row>
    <row r="170" spans="4:10" x14ac:dyDescent="0.3">
      <c r="D170" s="7"/>
      <c r="E170" s="7"/>
      <c r="F170" s="7"/>
      <c r="G170" s="7"/>
      <c r="H170" s="7"/>
      <c r="I170" s="7"/>
      <c r="J170" s="7"/>
    </row>
    <row r="171" spans="4:10" x14ac:dyDescent="0.3">
      <c r="D171" s="7"/>
      <c r="E171" s="7"/>
      <c r="F171" s="7"/>
      <c r="G171" s="7"/>
      <c r="H171" s="7"/>
      <c r="I171" s="7"/>
      <c r="J171" s="7"/>
    </row>
    <row r="172" spans="4:10" x14ac:dyDescent="0.3">
      <c r="D172" s="7"/>
      <c r="E172" s="7"/>
      <c r="F172" s="7"/>
      <c r="G172" s="7"/>
      <c r="H172" s="7"/>
      <c r="I172" s="7"/>
      <c r="J172" s="7"/>
    </row>
    <row r="173" spans="4:10" x14ac:dyDescent="0.3">
      <c r="D173" s="7"/>
      <c r="E173" s="7"/>
      <c r="F173" s="7"/>
      <c r="G173" s="7"/>
      <c r="H173" s="7"/>
      <c r="I173" s="7"/>
      <c r="J173" s="7"/>
    </row>
    <row r="174" spans="4:10" x14ac:dyDescent="0.3">
      <c r="D174" s="7"/>
      <c r="E174" s="7"/>
      <c r="F174" s="7"/>
      <c r="G174" s="7"/>
      <c r="H174" s="7"/>
      <c r="I174" s="7"/>
      <c r="J174" s="7"/>
    </row>
    <row r="175" spans="4:10" x14ac:dyDescent="0.3">
      <c r="D175" s="7"/>
      <c r="E175" s="7"/>
      <c r="F175" s="7"/>
      <c r="G175" s="7"/>
      <c r="H175" s="7"/>
      <c r="I175" s="7"/>
      <c r="J175" s="7"/>
    </row>
    <row r="176" spans="4:10" x14ac:dyDescent="0.3">
      <c r="D176" s="7"/>
      <c r="E176" s="7"/>
      <c r="F176" s="7"/>
      <c r="G176" s="7"/>
      <c r="H176" s="7"/>
      <c r="I176" s="7"/>
      <c r="J176" s="7"/>
    </row>
    <row r="177" spans="2:10" x14ac:dyDescent="0.3">
      <c r="D177" s="7"/>
      <c r="E177" s="7"/>
      <c r="F177" s="7"/>
      <c r="G177" s="7"/>
      <c r="H177" s="7"/>
      <c r="I177" s="7"/>
      <c r="J177" s="7"/>
    </row>
    <row r="178" spans="2:10" x14ac:dyDescent="0.3">
      <c r="B178" s="43" t="s">
        <v>302</v>
      </c>
    </row>
    <row r="179" spans="2:10" x14ac:dyDescent="0.3">
      <c r="E179" s="35"/>
    </row>
    <row r="199" spans="2:2" x14ac:dyDescent="0.3">
      <c r="B199" s="43" t="s">
        <v>268</v>
      </c>
    </row>
    <row r="218" spans="2:2" x14ac:dyDescent="0.3">
      <c r="B218" s="43" t="s">
        <v>208</v>
      </c>
    </row>
  </sheetData>
  <mergeCells count="1">
    <mergeCell ref="A1:B1"/>
  </mergeCells>
  <conditionalFormatting sqref="D3">
    <cfRule type="cellIs" dxfId="63" priority="45" operator="greaterThan">
      <formula>$C3</formula>
    </cfRule>
  </conditionalFormatting>
  <conditionalFormatting sqref="D12">
    <cfRule type="cellIs" dxfId="62" priority="43" operator="lessThan">
      <formula>$C12</formula>
    </cfRule>
  </conditionalFormatting>
  <conditionalFormatting sqref="D15:G15 J15">
    <cfRule type="cellIs" dxfId="61" priority="41" operator="greaterThan">
      <formula>$C$15</formula>
    </cfRule>
  </conditionalFormatting>
  <conditionalFormatting sqref="E3:G3 J3">
    <cfRule type="cellIs" dxfId="60" priority="37" operator="greaterThan">
      <formula>$C3</formula>
    </cfRule>
  </conditionalFormatting>
  <conditionalFormatting sqref="D51:G51 J51">
    <cfRule type="cellIs" dxfId="59" priority="36" operator="greaterThan">
      <formula>$C51</formula>
    </cfRule>
  </conditionalFormatting>
  <conditionalFormatting sqref="D62:G62 J62">
    <cfRule type="cellIs" dxfId="58" priority="35" operator="greaterThan">
      <formula>$C62</formula>
    </cfRule>
  </conditionalFormatting>
  <conditionalFormatting sqref="D64:G64 J64">
    <cfRule type="cellIs" dxfId="57" priority="34" operator="greaterThan">
      <formula>$C64</formula>
    </cfRule>
  </conditionalFormatting>
  <conditionalFormatting sqref="E12:G12 J12">
    <cfRule type="cellIs" dxfId="56" priority="33" operator="lessThan">
      <formula>$C12</formula>
    </cfRule>
  </conditionalFormatting>
  <conditionalFormatting sqref="D76:E77">
    <cfRule type="cellIs" dxfId="55" priority="32" operator="lessThan">
      <formula>$C76</formula>
    </cfRule>
  </conditionalFormatting>
  <conditionalFormatting sqref="E76:G77 J76:J77">
    <cfRule type="cellIs" dxfId="54" priority="31" operator="lessThan">
      <formula>$C76</formula>
    </cfRule>
  </conditionalFormatting>
  <conditionalFormatting sqref="D65">
    <cfRule type="expression" dxfId="53" priority="30">
      <formula>$D65+$D66&gt;$C66</formula>
    </cfRule>
  </conditionalFormatting>
  <conditionalFormatting sqref="D66">
    <cfRule type="expression" dxfId="52" priority="29">
      <formula>$D65+$D66&gt;$C66</formula>
    </cfRule>
  </conditionalFormatting>
  <conditionalFormatting sqref="E65:G65 J65">
    <cfRule type="expression" dxfId="51" priority="28">
      <formula>$D65+$D66&gt;$C66</formula>
    </cfRule>
  </conditionalFormatting>
  <conditionalFormatting sqref="E66:G66 J66">
    <cfRule type="expression" dxfId="50" priority="27">
      <formula>$D65+$D66&gt;$C66</formula>
    </cfRule>
  </conditionalFormatting>
  <conditionalFormatting sqref="D65">
    <cfRule type="expression" dxfId="49" priority="26">
      <formula>D$65+D$66&gt;=$C$66</formula>
    </cfRule>
  </conditionalFormatting>
  <conditionalFormatting sqref="E65:G65 J65">
    <cfRule type="expression" dxfId="48" priority="25">
      <formula>E$65+E$66&gt;=$C$66</formula>
    </cfRule>
  </conditionalFormatting>
  <conditionalFormatting sqref="D66">
    <cfRule type="expression" dxfId="47" priority="24">
      <formula>D$65+D$66&gt;=$C$66</formula>
    </cfRule>
  </conditionalFormatting>
  <conditionalFormatting sqref="E66:G66 J66">
    <cfRule type="expression" dxfId="46" priority="23">
      <formula>E$65+E$66&gt;=$C$66</formula>
    </cfRule>
  </conditionalFormatting>
  <conditionalFormatting sqref="H15">
    <cfRule type="cellIs" dxfId="45" priority="22" operator="greaterThan">
      <formula>$C$15</formula>
    </cfRule>
  </conditionalFormatting>
  <conditionalFormatting sqref="H3">
    <cfRule type="cellIs" dxfId="44" priority="21" operator="greaterThan">
      <formula>$C3</formula>
    </cfRule>
  </conditionalFormatting>
  <conditionalFormatting sqref="H51">
    <cfRule type="cellIs" dxfId="43" priority="20" operator="greaterThan">
      <formula>$C51</formula>
    </cfRule>
  </conditionalFormatting>
  <conditionalFormatting sqref="H62">
    <cfRule type="cellIs" dxfId="42" priority="19" operator="greaterThan">
      <formula>$C62</formula>
    </cfRule>
  </conditionalFormatting>
  <conditionalFormatting sqref="H64">
    <cfRule type="cellIs" dxfId="41" priority="18" operator="greaterThan">
      <formula>$C64</formula>
    </cfRule>
  </conditionalFormatting>
  <conditionalFormatting sqref="H12">
    <cfRule type="cellIs" dxfId="40" priority="17" operator="lessThan">
      <formula>$C12</formula>
    </cfRule>
  </conditionalFormatting>
  <conditionalFormatting sqref="H76:H77">
    <cfRule type="cellIs" dxfId="39" priority="16" operator="lessThan">
      <formula>$C76</formula>
    </cfRule>
  </conditionalFormatting>
  <conditionalFormatting sqref="H65">
    <cfRule type="expression" dxfId="38" priority="15">
      <formula>$D65+$D66&gt;$C66</formula>
    </cfRule>
  </conditionalFormatting>
  <conditionalFormatting sqref="H66">
    <cfRule type="expression" dxfId="37" priority="14">
      <formula>$D65+$D66&gt;$C66</formula>
    </cfRule>
  </conditionalFormatting>
  <conditionalFormatting sqref="H65">
    <cfRule type="expression" dxfId="36" priority="13">
      <formula>H$65+H$66&gt;=$C$66</formula>
    </cfRule>
  </conditionalFormatting>
  <conditionalFormatting sqref="H66">
    <cfRule type="expression" dxfId="35" priority="12">
      <formula>H$65+H$66&gt;=$C$66</formula>
    </cfRule>
  </conditionalFormatting>
  <conditionalFormatting sqref="I15">
    <cfRule type="cellIs" dxfId="34" priority="11" operator="greaterThan">
      <formula>$C$15</formula>
    </cfRule>
  </conditionalFormatting>
  <conditionalFormatting sqref="I3">
    <cfRule type="cellIs" dxfId="33" priority="10" operator="greaterThan">
      <formula>$C3</formula>
    </cfRule>
  </conditionalFormatting>
  <conditionalFormatting sqref="I51">
    <cfRule type="cellIs" dxfId="32" priority="9" operator="greaterThan">
      <formula>$C51</formula>
    </cfRule>
  </conditionalFormatting>
  <conditionalFormatting sqref="I62">
    <cfRule type="cellIs" dxfId="31" priority="8" operator="greaterThan">
      <formula>$C62</formula>
    </cfRule>
  </conditionalFormatting>
  <conditionalFormatting sqref="I64">
    <cfRule type="cellIs" dxfId="30" priority="7" operator="greaterThan">
      <formula>$C64</formula>
    </cfRule>
  </conditionalFormatting>
  <conditionalFormatting sqref="I12">
    <cfRule type="cellIs" dxfId="29" priority="6" operator="lessThan">
      <formula>$C12</formula>
    </cfRule>
  </conditionalFormatting>
  <conditionalFormatting sqref="I76:I77">
    <cfRule type="cellIs" dxfId="28" priority="5" operator="lessThan">
      <formula>$C76</formula>
    </cfRule>
  </conditionalFormatting>
  <conditionalFormatting sqref="I65">
    <cfRule type="expression" dxfId="27" priority="4">
      <formula>$D65+$D66&gt;$C66</formula>
    </cfRule>
  </conditionalFormatting>
  <conditionalFormatting sqref="I66">
    <cfRule type="expression" dxfId="26" priority="3">
      <formula>$D65+$D66&gt;$C66</formula>
    </cfRule>
  </conditionalFormatting>
  <conditionalFormatting sqref="I65">
    <cfRule type="expression" dxfId="25" priority="2">
      <formula>I$65+I$66&gt;=$C$66</formula>
    </cfRule>
  </conditionalFormatting>
  <conditionalFormatting sqref="I66">
    <cfRule type="expression" dxfId="24" priority="1">
      <formula>I$65+I$66&gt;=$C$66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sqref="A1:K9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11" width="7.5546875" customWidth="1"/>
  </cols>
  <sheetData>
    <row r="1" spans="1:11" ht="23.25" customHeight="1" x14ac:dyDescent="0.3">
      <c r="A1" s="78" t="s">
        <v>311</v>
      </c>
      <c r="B1" s="78" t="s">
        <v>312</v>
      </c>
      <c r="C1" s="78" t="s">
        <v>322</v>
      </c>
      <c r="D1" s="46" t="s">
        <v>211</v>
      </c>
      <c r="E1" s="46">
        <v>2016</v>
      </c>
      <c r="F1" s="46">
        <v>2017</v>
      </c>
      <c r="G1" s="46">
        <v>2018</v>
      </c>
      <c r="H1" s="46">
        <v>2019</v>
      </c>
      <c r="I1" s="46">
        <v>2020</v>
      </c>
      <c r="J1" s="46">
        <v>2021</v>
      </c>
      <c r="K1" s="46">
        <v>2022</v>
      </c>
    </row>
    <row r="2" spans="1:11" ht="29.25" customHeight="1" x14ac:dyDescent="0.3">
      <c r="A2" s="79" t="s">
        <v>313</v>
      </c>
      <c r="B2" s="79" t="s">
        <v>78</v>
      </c>
      <c r="C2" s="81" t="s">
        <v>321</v>
      </c>
      <c r="D2" s="91" t="s">
        <v>328</v>
      </c>
      <c r="E2" s="86">
        <f>Piano_indicatori!D3</f>
        <v>54.6</v>
      </c>
      <c r="F2" s="86">
        <f>Piano_indicatori!E3</f>
        <v>51.34</v>
      </c>
      <c r="G2" s="86">
        <f>Piano_indicatori!F3</f>
        <v>47.67</v>
      </c>
      <c r="H2" s="86">
        <f>Piano_indicatori!G3</f>
        <v>62.93</v>
      </c>
      <c r="I2" s="86">
        <f>Piano_indicatori!H3</f>
        <v>44.67</v>
      </c>
      <c r="J2" s="86">
        <f>Piano_indicatori!I3</f>
        <v>49.02</v>
      </c>
      <c r="K2" s="86">
        <f>Piano_indicatori!J3</f>
        <v>44.277999999999999</v>
      </c>
    </row>
    <row r="3" spans="1:11" ht="29.25" customHeight="1" x14ac:dyDescent="0.3">
      <c r="A3" s="80" t="s">
        <v>314</v>
      </c>
      <c r="B3" s="80" t="s">
        <v>95</v>
      </c>
      <c r="C3" s="82" t="s">
        <v>96</v>
      </c>
      <c r="D3" s="92" t="s">
        <v>329</v>
      </c>
      <c r="E3" s="87">
        <f>Piano_indicatori!D12</f>
        <v>55.92</v>
      </c>
      <c r="F3" s="87">
        <f>Piano_indicatori!E12</f>
        <v>57.31</v>
      </c>
      <c r="G3" s="87">
        <f>Piano_indicatori!F12</f>
        <v>59.54</v>
      </c>
      <c r="H3" s="87">
        <f>Piano_indicatori!G12</f>
        <v>44.83</v>
      </c>
      <c r="I3" s="87">
        <f>Piano_indicatori!H12</f>
        <v>45.47</v>
      </c>
      <c r="J3" s="87">
        <f>Piano_indicatori!I12</f>
        <v>44.4</v>
      </c>
      <c r="K3" s="87">
        <f>Piano_indicatori!J12</f>
        <v>48.603000000000002</v>
      </c>
    </row>
    <row r="4" spans="1:11" ht="29.25" customHeight="1" x14ac:dyDescent="0.3">
      <c r="A4" s="79" t="s">
        <v>315</v>
      </c>
      <c r="B4" s="79" t="s">
        <v>100</v>
      </c>
      <c r="C4" s="83" t="s">
        <v>324</v>
      </c>
      <c r="D4" s="91" t="s">
        <v>330</v>
      </c>
      <c r="E4" s="88">
        <f>Piano_indicatori!D15</f>
        <v>50.84</v>
      </c>
      <c r="F4" s="88">
        <f>Piano_indicatori!E15</f>
        <v>48.95</v>
      </c>
      <c r="G4" s="88">
        <f>Piano_indicatori!F15</f>
        <v>47.94</v>
      </c>
      <c r="H4" s="88">
        <f>Piano_indicatori!G15</f>
        <v>70.17</v>
      </c>
      <c r="I4" s="88">
        <f>Piano_indicatori!H15</f>
        <v>20.3</v>
      </c>
      <c r="J4" s="88">
        <f>Piano_indicatori!I15</f>
        <v>0</v>
      </c>
      <c r="K4" s="88">
        <f>Piano_indicatori!J15</f>
        <v>0</v>
      </c>
    </row>
    <row r="5" spans="1:11" ht="29.25" customHeight="1" x14ac:dyDescent="0.3">
      <c r="A5" s="80" t="s">
        <v>316</v>
      </c>
      <c r="B5" s="80" t="s">
        <v>165</v>
      </c>
      <c r="C5" s="84" t="s">
        <v>325</v>
      </c>
      <c r="D5" s="93" t="s">
        <v>331</v>
      </c>
      <c r="E5" s="89">
        <f>Piano_indicatori!D51</f>
        <v>19.95</v>
      </c>
      <c r="F5" s="89">
        <f>Piano_indicatori!E51</f>
        <v>19.02</v>
      </c>
      <c r="G5" s="89">
        <f>Piano_indicatori!F51</f>
        <v>17.350000000000001</v>
      </c>
      <c r="H5" s="89">
        <f>Piano_indicatori!G51</f>
        <v>18.63</v>
      </c>
      <c r="I5" s="89">
        <f>Piano_indicatori!H51</f>
        <v>11.47</v>
      </c>
      <c r="J5" s="89">
        <f>Piano_indicatori!I51</f>
        <v>13.46</v>
      </c>
      <c r="K5" s="89">
        <f>Piano_indicatori!J51</f>
        <v>16.420000000000002</v>
      </c>
    </row>
    <row r="6" spans="1:11" ht="29.25" customHeight="1" x14ac:dyDescent="0.3">
      <c r="A6" s="79" t="s">
        <v>317</v>
      </c>
      <c r="B6" s="79" t="s">
        <v>185</v>
      </c>
      <c r="C6" s="95" t="s">
        <v>186</v>
      </c>
      <c r="D6" s="94" t="s">
        <v>332</v>
      </c>
      <c r="E6" s="113">
        <f>Piano_indicatori!D62</f>
        <v>0.9</v>
      </c>
      <c r="F6" s="113">
        <f>Piano_indicatori!E62</f>
        <v>0.9</v>
      </c>
      <c r="G6" s="113">
        <f>Piano_indicatori!F62</f>
        <v>0.9</v>
      </c>
      <c r="H6" s="113">
        <f>Piano_indicatori!G62</f>
        <v>0.9</v>
      </c>
      <c r="I6" s="113">
        <f>Piano_indicatori!H62</f>
        <v>1.98</v>
      </c>
      <c r="J6" s="113">
        <f>Piano_indicatori!I62</f>
        <v>12.05</v>
      </c>
      <c r="K6" s="113">
        <f>Piano_indicatori!J62</f>
        <v>1.6759999999999999</v>
      </c>
    </row>
    <row r="7" spans="1:11" ht="29.25" customHeight="1" x14ac:dyDescent="0.3">
      <c r="A7" s="80" t="s">
        <v>318</v>
      </c>
      <c r="B7" s="80" t="s">
        <v>188</v>
      </c>
      <c r="C7" s="84" t="s">
        <v>189</v>
      </c>
      <c r="D7" s="92" t="s">
        <v>333</v>
      </c>
      <c r="E7" s="114">
        <f>Piano_indicatori!D64</f>
        <v>0</v>
      </c>
      <c r="F7" s="114">
        <f>Piano_indicatori!E64</f>
        <v>0</v>
      </c>
      <c r="G7" s="114">
        <f>Piano_indicatori!F64</f>
        <v>0</v>
      </c>
      <c r="H7" s="114">
        <f>Piano_indicatori!G64</f>
        <v>0</v>
      </c>
      <c r="I7" s="114">
        <f>Piano_indicatori!H64</f>
        <v>0</v>
      </c>
      <c r="J7" s="114">
        <f>Piano_indicatori!I64</f>
        <v>0.11</v>
      </c>
      <c r="K7" s="114">
        <f>Piano_indicatori!J64</f>
        <v>2.1999999999999999E-2</v>
      </c>
    </row>
    <row r="8" spans="1:11" ht="29.25" customHeight="1" x14ac:dyDescent="0.3">
      <c r="A8" s="79" t="s">
        <v>319</v>
      </c>
      <c r="B8" s="79" t="s">
        <v>323</v>
      </c>
      <c r="C8" s="83" t="s">
        <v>326</v>
      </c>
      <c r="D8" s="91" t="s">
        <v>334</v>
      </c>
      <c r="E8" s="115">
        <f>Piano_indicatori!D65+Piano_indicatori!D66</f>
        <v>0</v>
      </c>
      <c r="F8" s="115">
        <f>Piano_indicatori!E65+Piano_indicatori!E66</f>
        <v>0</v>
      </c>
      <c r="G8" s="115">
        <f>Piano_indicatori!F65+Piano_indicatori!F66</f>
        <v>0</v>
      </c>
      <c r="H8" s="115">
        <f>Piano_indicatori!G65+Piano_indicatori!G66</f>
        <v>0</v>
      </c>
      <c r="I8" s="115">
        <f>Piano_indicatori!H65+Piano_indicatori!H66</f>
        <v>0</v>
      </c>
      <c r="J8" s="115">
        <f>Piano_indicatori!I65+Piano_indicatori!I66</f>
        <v>0</v>
      </c>
      <c r="K8" s="115">
        <f>Piano_indicatori!J65+Piano_indicatori!J66</f>
        <v>6.0000000000000001E-3</v>
      </c>
    </row>
    <row r="9" spans="1:11" ht="29.25" customHeight="1" x14ac:dyDescent="0.3">
      <c r="A9" s="80" t="s">
        <v>320</v>
      </c>
      <c r="B9" s="80"/>
      <c r="C9" s="85" t="s">
        <v>327</v>
      </c>
      <c r="D9" s="93" t="s">
        <v>335</v>
      </c>
      <c r="E9" s="90">
        <f>Piano_indicatori!D76</f>
        <v>61.549529630332458</v>
      </c>
      <c r="F9" s="90">
        <f>Piano_indicatori!E76</f>
        <v>61.321030612273205</v>
      </c>
      <c r="G9" s="90">
        <f>Piano_indicatori!F76</f>
        <v>65.464491540718939</v>
      </c>
      <c r="H9" s="90">
        <f>Piano_indicatori!G76</f>
        <v>67.215517016568768</v>
      </c>
      <c r="I9" s="90">
        <f>Piano_indicatori!H76</f>
        <v>69.453373304521932</v>
      </c>
      <c r="J9" s="90">
        <f>Piano_indicatori!I76</f>
        <v>71.60508269166796</v>
      </c>
      <c r="K9" s="90">
        <f>Piano_indicatori!J76</f>
        <v>67.166482376857971</v>
      </c>
    </row>
  </sheetData>
  <conditionalFormatting sqref="E2:H2 K2">
    <cfRule type="cellIs" dxfId="23" priority="24" operator="greaterThan">
      <formula>48</formula>
    </cfRule>
  </conditionalFormatting>
  <conditionalFormatting sqref="E3:H3 K3">
    <cfRule type="cellIs" dxfId="22" priority="23" operator="lessThan">
      <formula>22</formula>
    </cfRule>
  </conditionalFormatting>
  <conditionalFormatting sqref="E4:H4 K4">
    <cfRule type="cellIs" dxfId="21" priority="22" operator="greaterThan">
      <formula>0</formula>
    </cfRule>
  </conditionalFormatting>
  <conditionalFormatting sqref="E5:H5 K5">
    <cfRule type="cellIs" dxfId="20" priority="21" operator="greaterThan">
      <formula>16</formula>
    </cfRule>
  </conditionalFormatting>
  <conditionalFormatting sqref="E6:H6 K6">
    <cfRule type="cellIs" dxfId="19" priority="20" operator="greaterThan">
      <formula>1.2</formula>
    </cfRule>
  </conditionalFormatting>
  <conditionalFormatting sqref="E7:H7 K7">
    <cfRule type="cellIs" dxfId="18" priority="19" operator="greaterThan">
      <formula>1</formula>
    </cfRule>
  </conditionalFormatting>
  <conditionalFormatting sqref="E8:H8 K8">
    <cfRule type="cellIs" dxfId="17" priority="18" operator="greaterThan">
      <formula>0.6</formula>
    </cfRule>
  </conditionalFormatting>
  <conditionalFormatting sqref="E9:H9 K9">
    <cfRule type="cellIs" dxfId="16" priority="17" operator="lessThan">
      <formula>47</formula>
    </cfRule>
  </conditionalFormatting>
  <conditionalFormatting sqref="I2">
    <cfRule type="cellIs" dxfId="15" priority="16" operator="greaterThan">
      <formula>48</formula>
    </cfRule>
  </conditionalFormatting>
  <conditionalFormatting sqref="I3">
    <cfRule type="cellIs" dxfId="14" priority="15" operator="lessThan">
      <formula>22</formula>
    </cfRule>
  </conditionalFormatting>
  <conditionalFormatting sqref="I4">
    <cfRule type="cellIs" dxfId="13" priority="14" operator="greaterThan">
      <formula>0</formula>
    </cfRule>
  </conditionalFormatting>
  <conditionalFormatting sqref="I5">
    <cfRule type="cellIs" dxfId="12" priority="13" operator="greaterThan">
      <formula>16</formula>
    </cfRule>
  </conditionalFormatting>
  <conditionalFormatting sqref="I6">
    <cfRule type="cellIs" dxfId="11" priority="12" operator="greaterThan">
      <formula>1.2</formula>
    </cfRule>
  </conditionalFormatting>
  <conditionalFormatting sqref="I7">
    <cfRule type="cellIs" dxfId="10" priority="11" operator="greaterThan">
      <formula>1</formula>
    </cfRule>
  </conditionalFormatting>
  <conditionalFormatting sqref="I8">
    <cfRule type="cellIs" dxfId="9" priority="10" operator="greaterThan">
      <formula>0.6</formula>
    </cfRule>
  </conditionalFormatting>
  <conditionalFormatting sqref="I9">
    <cfRule type="cellIs" dxfId="8" priority="9" operator="lessThan">
      <formula>47</formula>
    </cfRule>
  </conditionalFormatting>
  <conditionalFormatting sqref="J2">
    <cfRule type="cellIs" dxfId="7" priority="8" operator="greaterThan">
      <formula>48</formula>
    </cfRule>
  </conditionalFormatting>
  <conditionalFormatting sqref="J3">
    <cfRule type="cellIs" dxfId="6" priority="7" operator="lessThan">
      <formula>22</formula>
    </cfRule>
  </conditionalFormatting>
  <conditionalFormatting sqref="J4">
    <cfRule type="cellIs" dxfId="5" priority="6" operator="greaterThan">
      <formula>0</formula>
    </cfRule>
  </conditionalFormatting>
  <conditionalFormatting sqref="J5">
    <cfRule type="cellIs" dxfId="4" priority="5" operator="greaterThan">
      <formula>16</formula>
    </cfRule>
  </conditionalFormatting>
  <conditionalFormatting sqref="J6">
    <cfRule type="cellIs" dxfId="3" priority="4" operator="greaterThan">
      <formula>1.2</formula>
    </cfRule>
  </conditionalFormatting>
  <conditionalFormatting sqref="J7">
    <cfRule type="cellIs" dxfId="2" priority="3" operator="greaterThan">
      <formula>1</formula>
    </cfRule>
  </conditionalFormatting>
  <conditionalFormatting sqref="J8">
    <cfRule type="cellIs" dxfId="1" priority="2" operator="greaterThan">
      <formula>0.6</formula>
    </cfRule>
  </conditionalFormatting>
  <conditionalFormatting sqref="J9">
    <cfRule type="cellIs" dxfId="0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G3" sqref="G3"/>
    </sheetView>
  </sheetViews>
  <sheetFormatPr defaultRowHeight="14.4" x14ac:dyDescent="0.3"/>
  <cols>
    <col min="2" max="2" width="12.33203125" bestFit="1" customWidth="1"/>
    <col min="3" max="3" width="9.109375" bestFit="1" customWidth="1"/>
    <col min="5" max="5" width="10.109375" customWidth="1"/>
    <col min="6" max="6" width="10" customWidth="1"/>
  </cols>
  <sheetData>
    <row r="1" spans="1:18" ht="43.2" x14ac:dyDescent="0.3">
      <c r="A1" s="101" t="s">
        <v>336</v>
      </c>
      <c r="B1" s="101" t="s">
        <v>337</v>
      </c>
      <c r="C1" s="101" t="s">
        <v>351</v>
      </c>
      <c r="D1" s="101" t="s">
        <v>352</v>
      </c>
      <c r="E1" s="101" t="s">
        <v>353</v>
      </c>
      <c r="F1" s="101" t="s">
        <v>366</v>
      </c>
      <c r="G1" s="101" t="s">
        <v>354</v>
      </c>
    </row>
    <row r="2" spans="1:18" x14ac:dyDescent="0.3">
      <c r="A2">
        <v>2023</v>
      </c>
      <c r="B2" s="1">
        <v>841600</v>
      </c>
      <c r="C2" s="1">
        <v>2198237</v>
      </c>
    </row>
    <row r="3" spans="1:18" x14ac:dyDescent="0.3">
      <c r="A3">
        <v>2022</v>
      </c>
      <c r="B3" s="1">
        <v>848748</v>
      </c>
      <c r="C3" s="1">
        <v>2208370</v>
      </c>
      <c r="D3" s="1">
        <v>-5946</v>
      </c>
      <c r="E3" s="1">
        <v>-1202</v>
      </c>
      <c r="F3" s="1">
        <v>0</v>
      </c>
      <c r="G3" s="1">
        <f>B2-B3-D3-E3-F3</f>
        <v>0</v>
      </c>
    </row>
    <row r="4" spans="1:18" x14ac:dyDescent="0.3">
      <c r="A4">
        <v>2021</v>
      </c>
      <c r="B4" s="1">
        <v>858205</v>
      </c>
      <c r="C4" s="1">
        <v>2219206</v>
      </c>
      <c r="D4" s="1">
        <v>-5474</v>
      </c>
      <c r="E4" s="1">
        <v>-2924</v>
      </c>
      <c r="F4" s="1">
        <v>-1059</v>
      </c>
      <c r="G4" s="1">
        <f>B3-B4-D4-E4-F4</f>
        <v>0</v>
      </c>
    </row>
    <row r="5" spans="1:18" x14ac:dyDescent="0.3">
      <c r="A5">
        <v>2020</v>
      </c>
      <c r="B5" s="1">
        <v>857910</v>
      </c>
      <c r="C5" s="1">
        <v>2230946</v>
      </c>
      <c r="D5" s="1">
        <v>-6777</v>
      </c>
      <c r="E5" s="1">
        <v>580</v>
      </c>
      <c r="F5" s="1">
        <v>6492</v>
      </c>
      <c r="G5" s="1">
        <f t="shared" ref="G5:G10" si="0">B4-B5-D5-E5-F5</f>
        <v>0</v>
      </c>
    </row>
    <row r="6" spans="1:18" x14ac:dyDescent="0.3">
      <c r="A6" s="105">
        <v>2019</v>
      </c>
      <c r="B6" s="1">
        <v>860793</v>
      </c>
      <c r="C6" s="1">
        <v>2238663</v>
      </c>
      <c r="D6" s="1">
        <v>-4271</v>
      </c>
      <c r="E6" s="1">
        <v>230</v>
      </c>
      <c r="F6" s="1">
        <v>1158</v>
      </c>
      <c r="G6" s="1">
        <f t="shared" si="0"/>
        <v>0</v>
      </c>
    </row>
    <row r="7" spans="1:18" x14ac:dyDescent="0.3">
      <c r="A7">
        <v>2018</v>
      </c>
      <c r="B7" s="1">
        <v>868878</v>
      </c>
      <c r="C7" s="1">
        <v>2249616</v>
      </c>
      <c r="D7" s="1">
        <v>-4338</v>
      </c>
      <c r="E7" s="1">
        <v>-3747</v>
      </c>
      <c r="F7" s="1"/>
      <c r="G7" s="1">
        <f t="shared" si="0"/>
        <v>0</v>
      </c>
      <c r="I7" s="110"/>
      <c r="J7" s="111"/>
      <c r="K7" s="111"/>
      <c r="L7" s="111"/>
      <c r="M7" s="111"/>
      <c r="N7" s="111"/>
      <c r="O7" s="111"/>
      <c r="P7" s="111"/>
      <c r="Q7" s="111"/>
      <c r="R7" s="111"/>
    </row>
    <row r="8" spans="1:18" x14ac:dyDescent="0.3">
      <c r="A8">
        <v>2017</v>
      </c>
      <c r="B8" s="1">
        <v>877088</v>
      </c>
      <c r="C8" s="1">
        <v>2262336</v>
      </c>
      <c r="D8" s="1">
        <v>-3714</v>
      </c>
      <c r="E8" s="1">
        <v>-4496</v>
      </c>
      <c r="F8" s="1"/>
      <c r="G8" s="1">
        <f t="shared" si="0"/>
        <v>0</v>
      </c>
      <c r="I8" s="110"/>
      <c r="J8" s="111"/>
      <c r="K8" s="111"/>
      <c r="L8" s="111"/>
      <c r="M8" s="111"/>
      <c r="N8" s="111"/>
      <c r="O8" s="111"/>
      <c r="P8" s="111"/>
      <c r="Q8" s="111"/>
      <c r="R8" s="111"/>
    </row>
    <row r="9" spans="1:18" x14ac:dyDescent="0.3">
      <c r="A9">
        <v>2016</v>
      </c>
      <c r="B9" s="1">
        <v>881643</v>
      </c>
      <c r="C9" s="1">
        <v>2268360</v>
      </c>
      <c r="D9" s="1">
        <v>-3349</v>
      </c>
      <c r="E9" s="1">
        <v>-1206</v>
      </c>
      <c r="F9" s="1"/>
      <c r="G9" s="1">
        <f t="shared" si="0"/>
        <v>0</v>
      </c>
      <c r="I9" s="110"/>
      <c r="J9" s="111"/>
      <c r="K9" s="111"/>
      <c r="L9" s="111"/>
      <c r="M9" s="111"/>
      <c r="N9" s="111"/>
      <c r="O9" s="111"/>
      <c r="P9" s="111"/>
      <c r="Q9" s="111"/>
      <c r="R9" s="111"/>
    </row>
    <row r="10" spans="1:18" x14ac:dyDescent="0.3">
      <c r="A10">
        <v>2015</v>
      </c>
      <c r="B10" s="1">
        <v>884710</v>
      </c>
      <c r="C10" s="1">
        <v>2275271</v>
      </c>
      <c r="D10" s="1">
        <v>-3581</v>
      </c>
      <c r="E10" s="1">
        <v>514</v>
      </c>
      <c r="F10" s="1"/>
      <c r="G10" s="1">
        <f t="shared" si="0"/>
        <v>0</v>
      </c>
      <c r="I10" s="110"/>
      <c r="J10" s="111"/>
      <c r="K10" s="111"/>
      <c r="L10" s="111"/>
      <c r="M10" s="111"/>
      <c r="N10" s="111"/>
      <c r="O10" s="111"/>
      <c r="P10" s="111"/>
      <c r="Q10" s="111"/>
      <c r="R10" s="111"/>
    </row>
    <row r="31" spans="2:6" x14ac:dyDescent="0.3">
      <c r="B31" s="112"/>
      <c r="C31" s="110"/>
      <c r="D31" s="110"/>
      <c r="E31" s="110"/>
      <c r="F31" s="110"/>
    </row>
    <row r="32" spans="2:6" x14ac:dyDescent="0.3">
      <c r="B32" s="112"/>
      <c r="C32" s="110"/>
      <c r="D32" s="110"/>
      <c r="E32" s="110"/>
      <c r="F32" s="110"/>
    </row>
    <row r="33" spans="2:6" x14ac:dyDescent="0.3">
      <c r="B33" s="112"/>
      <c r="C33" s="110"/>
      <c r="D33" s="110"/>
      <c r="E33" s="110"/>
      <c r="F33" s="110"/>
    </row>
    <row r="34" spans="2:6" x14ac:dyDescent="0.3">
      <c r="B34" s="112"/>
      <c r="C34" s="110"/>
      <c r="D34" s="110"/>
      <c r="E34" s="110"/>
      <c r="F34" s="110"/>
    </row>
    <row r="35" spans="2:6" x14ac:dyDescent="0.3">
      <c r="B35" s="112"/>
      <c r="C35" s="110"/>
      <c r="D35" s="110"/>
      <c r="E35" s="110"/>
      <c r="F35" s="110"/>
    </row>
    <row r="36" spans="2:6" x14ac:dyDescent="0.3">
      <c r="B36" s="112"/>
      <c r="C36" s="110"/>
      <c r="D36" s="110"/>
      <c r="E36" s="110"/>
      <c r="F36" s="110"/>
    </row>
    <row r="37" spans="2:6" x14ac:dyDescent="0.3">
      <c r="B37" s="112"/>
      <c r="C37" s="110"/>
      <c r="D37" s="110"/>
      <c r="E37" s="110"/>
      <c r="F37" s="110"/>
    </row>
    <row r="38" spans="2:6" x14ac:dyDescent="0.3">
      <c r="B38" s="112"/>
      <c r="C38" s="110"/>
      <c r="D38" s="110"/>
      <c r="E38" s="110"/>
      <c r="F38" s="110"/>
    </row>
    <row r="39" spans="2:6" x14ac:dyDescent="0.3">
      <c r="B39" s="112"/>
      <c r="C39" s="110"/>
      <c r="D39" s="110"/>
      <c r="E39" s="110"/>
      <c r="F39" s="110"/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opLeftCell="B1" workbookViewId="0">
      <selection activeCell="L14" sqref="L14"/>
    </sheetView>
  </sheetViews>
  <sheetFormatPr defaultRowHeight="14.4" x14ac:dyDescent="0.3"/>
  <cols>
    <col min="1" max="1" width="55.6640625" bestFit="1" customWidth="1"/>
    <col min="2" max="8" width="14.33203125" bestFit="1" customWidth="1"/>
    <col min="9" max="9" width="8.44140625" customWidth="1"/>
    <col min="10" max="10" width="6.5546875" bestFit="1" customWidth="1"/>
    <col min="11" max="11" width="14.33203125" bestFit="1" customWidth="1"/>
    <col min="12" max="12" width="7" bestFit="1" customWidth="1"/>
  </cols>
  <sheetData>
    <row r="1" spans="1:12" ht="28.8" x14ac:dyDescent="0.3">
      <c r="A1" s="45"/>
      <c r="B1" s="46">
        <v>2016</v>
      </c>
      <c r="C1" s="46">
        <v>2017</v>
      </c>
      <c r="D1" s="46">
        <v>2018</v>
      </c>
      <c r="E1" s="46">
        <v>2019</v>
      </c>
      <c r="F1" s="46">
        <v>2020</v>
      </c>
      <c r="G1" s="46">
        <v>2021</v>
      </c>
      <c r="H1" s="46">
        <v>2022</v>
      </c>
      <c r="I1" s="58" t="s">
        <v>297</v>
      </c>
      <c r="J1" s="46" t="s">
        <v>233</v>
      </c>
      <c r="K1" s="58" t="s">
        <v>367</v>
      </c>
      <c r="L1" s="46" t="s">
        <v>269</v>
      </c>
    </row>
    <row r="2" spans="1:12" x14ac:dyDescent="0.3">
      <c r="A2" s="59" t="s">
        <v>20</v>
      </c>
      <c r="B2" s="60">
        <f>Entrate_Uscite!B3</f>
        <v>820597741.66999996</v>
      </c>
      <c r="C2" s="60">
        <f>Entrate_Uscite!E3</f>
        <v>820344561.67999995</v>
      </c>
      <c r="D2" s="60">
        <f>Entrate_Uscite!H3</f>
        <v>822963144.71000004</v>
      </c>
      <c r="E2" s="60">
        <f>Entrate_Uscite!K3</f>
        <v>834522791.54999995</v>
      </c>
      <c r="F2" s="60">
        <f>Entrate_Uscite!N3</f>
        <v>794186251.97000003</v>
      </c>
      <c r="G2" s="60">
        <f>Entrate_Uscite!Q3</f>
        <v>803103706.33000004</v>
      </c>
      <c r="H2" s="60">
        <f>Entrate_Uscite!T3</f>
        <v>814439029.03999996</v>
      </c>
      <c r="I2" s="60">
        <f t="shared" ref="I2:I18" si="0">H2/H$21*100</f>
        <v>51.382359674082487</v>
      </c>
      <c r="J2" s="61">
        <f>IF(G2&gt;0,H2/G2*100-100,"-")</f>
        <v>1.4114394717214935</v>
      </c>
      <c r="K2" s="60">
        <f>Entrate_Uscite!U3</f>
        <v>646316790.13</v>
      </c>
      <c r="L2" s="62">
        <f t="shared" ref="L2:L21" si="1">IF(H2&gt;0,K2/H2*100,"-")</f>
        <v>79.357295891360963</v>
      </c>
    </row>
    <row r="3" spans="1:12" x14ac:dyDescent="0.3">
      <c r="A3" s="59" t="s">
        <v>21</v>
      </c>
      <c r="B3" s="60">
        <f>Entrate_Uscite!B4</f>
        <v>124900393.54000001</v>
      </c>
      <c r="C3" s="60">
        <f>Entrate_Uscite!E4</f>
        <v>122398873.45999999</v>
      </c>
      <c r="D3" s="60">
        <f>Entrate_Uscite!H4</f>
        <v>205846537.19</v>
      </c>
      <c r="E3" s="60">
        <f>Entrate_Uscite!K4</f>
        <v>152776718.56</v>
      </c>
      <c r="F3" s="60">
        <f>Entrate_Uscite!N4</f>
        <v>272432495.35000002</v>
      </c>
      <c r="G3" s="60">
        <f>Entrate_Uscite!Q4</f>
        <v>418775537.76999998</v>
      </c>
      <c r="H3" s="60">
        <f>Entrate_Uscite!T4</f>
        <v>280929374.43000001</v>
      </c>
      <c r="I3" s="60">
        <f t="shared" si="0"/>
        <v>17.723627730601194</v>
      </c>
      <c r="J3" s="61">
        <f t="shared" ref="J3:J21" si="2">IF(G3&gt;0,H3/G3*100-100,"-")</f>
        <v>-32.916479332588878</v>
      </c>
      <c r="K3" s="60">
        <f>Entrate_Uscite!U4</f>
        <v>189977611.87</v>
      </c>
      <c r="L3" s="62">
        <f t="shared" si="1"/>
        <v>67.624687612486483</v>
      </c>
    </row>
    <row r="4" spans="1:12" x14ac:dyDescent="0.3">
      <c r="A4" s="59" t="s">
        <v>22</v>
      </c>
      <c r="B4" s="60">
        <f>Entrate_Uscite!B5</f>
        <v>304750052.50999999</v>
      </c>
      <c r="C4" s="60">
        <f>Entrate_Uscite!E5</f>
        <v>323936871.73000002</v>
      </c>
      <c r="D4" s="60">
        <f>Entrate_Uscite!H5</f>
        <v>348916905.74000001</v>
      </c>
      <c r="E4" s="60">
        <f>Entrate_Uscite!K5</f>
        <v>293947344.72000003</v>
      </c>
      <c r="F4" s="60">
        <f>Entrate_Uscite!N5</f>
        <v>214079775.69999999</v>
      </c>
      <c r="G4" s="60">
        <f>Entrate_Uscite!Q5</f>
        <v>305964153.14999998</v>
      </c>
      <c r="H4" s="60">
        <f>Entrate_Uscite!T5</f>
        <v>310238527.63</v>
      </c>
      <c r="I4" s="60">
        <f t="shared" si="0"/>
        <v>19.572720661769182</v>
      </c>
      <c r="J4" s="61">
        <f t="shared" si="2"/>
        <v>1.3970180611009368</v>
      </c>
      <c r="K4" s="60">
        <f>Entrate_Uscite!U5</f>
        <v>212243142.99000001</v>
      </c>
      <c r="L4" s="62">
        <f t="shared" si="1"/>
        <v>68.412890111162369</v>
      </c>
    </row>
    <row r="5" spans="1:12" x14ac:dyDescent="0.3">
      <c r="A5" s="4" t="s">
        <v>31</v>
      </c>
      <c r="B5" s="47">
        <f t="shared" ref="B5:H5" si="3">SUM(B2:B4)</f>
        <v>1250248187.7199998</v>
      </c>
      <c r="C5" s="47">
        <f t="shared" si="3"/>
        <v>1266680306.8699999</v>
      </c>
      <c r="D5" s="47">
        <f t="shared" si="3"/>
        <v>1377726587.6400001</v>
      </c>
      <c r="E5" s="47">
        <f t="shared" si="3"/>
        <v>1281246854.8299999</v>
      </c>
      <c r="F5" s="47">
        <f t="shared" si="3"/>
        <v>1280698523.02</v>
      </c>
      <c r="G5" s="47">
        <f>SUM(G2:G4)</f>
        <v>1527843397.25</v>
      </c>
      <c r="H5" s="47">
        <f t="shared" si="3"/>
        <v>1405606931.0999999</v>
      </c>
      <c r="I5" s="47">
        <f t="shared" si="0"/>
        <v>88.678708066452856</v>
      </c>
      <c r="J5" s="48">
        <f t="shared" si="2"/>
        <v>-8.0005886971149209</v>
      </c>
      <c r="K5" s="47">
        <f>SUM(K2:K4)</f>
        <v>1048537544.99</v>
      </c>
      <c r="L5" s="49">
        <f t="shared" si="1"/>
        <v>74.596782485231159</v>
      </c>
    </row>
    <row r="6" spans="1:12" x14ac:dyDescent="0.3">
      <c r="A6" s="59" t="s">
        <v>23</v>
      </c>
      <c r="B6" s="60">
        <f>Entrate_Uscite!B6</f>
        <v>2798740.64</v>
      </c>
      <c r="C6" s="60">
        <f>Entrate_Uscite!E6</f>
        <v>0</v>
      </c>
      <c r="D6" s="60">
        <f>Entrate_Uscite!H6</f>
        <v>0</v>
      </c>
      <c r="E6" s="60">
        <f>Entrate_Uscite!K6</f>
        <v>84895.24</v>
      </c>
      <c r="F6" s="60">
        <f>Entrate_Uscite!N6</f>
        <v>175002.28</v>
      </c>
      <c r="G6" s="60">
        <f>Entrate_Uscite!Q6</f>
        <v>45009.29</v>
      </c>
      <c r="H6" s="60">
        <f>Entrate_Uscite!T6</f>
        <v>4784</v>
      </c>
      <c r="I6" s="60">
        <f t="shared" si="0"/>
        <v>3.0181904343478842E-4</v>
      </c>
      <c r="J6" s="61">
        <f t="shared" si="2"/>
        <v>-89.371083169718958</v>
      </c>
      <c r="K6" s="60">
        <f>Entrate_Uscite!U6</f>
        <v>4784</v>
      </c>
      <c r="L6" s="62">
        <f t="shared" si="1"/>
        <v>100</v>
      </c>
    </row>
    <row r="7" spans="1:12" x14ac:dyDescent="0.3">
      <c r="A7" s="59" t="s">
        <v>24</v>
      </c>
      <c r="B7" s="60">
        <f>Entrate_Uscite!B7</f>
        <v>16875063.010000002</v>
      </c>
      <c r="C7" s="60">
        <f>Entrate_Uscite!E7</f>
        <v>30483251.469999999</v>
      </c>
      <c r="D7" s="60">
        <f>Entrate_Uscite!H7</f>
        <v>68753490.709999993</v>
      </c>
      <c r="E7" s="60">
        <f>Entrate_Uscite!K7</f>
        <v>17290518.629999999</v>
      </c>
      <c r="F7" s="60">
        <f>Entrate_Uscite!N7</f>
        <v>89497111.409999996</v>
      </c>
      <c r="G7" s="60">
        <f>Entrate_Uscite!Q7</f>
        <v>127838871.98999999</v>
      </c>
      <c r="H7" s="60">
        <f>Entrate_Uscite!T7</f>
        <v>128353447.72</v>
      </c>
      <c r="I7" s="60">
        <f t="shared" si="0"/>
        <v>8.0977246681453856</v>
      </c>
      <c r="J7" s="61">
        <f t="shared" si="2"/>
        <v>0.40251898502378936</v>
      </c>
      <c r="K7" s="60">
        <f>Entrate_Uscite!U7</f>
        <v>113586097.95</v>
      </c>
      <c r="L7" s="62">
        <f t="shared" si="1"/>
        <v>88.49477748177469</v>
      </c>
    </row>
    <row r="8" spans="1:12" x14ac:dyDescent="0.3">
      <c r="A8" s="59" t="s">
        <v>25</v>
      </c>
      <c r="B8" s="60">
        <f>Entrate_Uscite!B8</f>
        <v>0</v>
      </c>
      <c r="C8" s="60">
        <f>Entrate_Uscite!E8</f>
        <v>0</v>
      </c>
      <c r="D8" s="60">
        <f>Entrate_Uscite!H8</f>
        <v>0</v>
      </c>
      <c r="E8" s="60">
        <f>Entrate_Uscite!K8</f>
        <v>0</v>
      </c>
      <c r="F8" s="60">
        <f>Entrate_Uscite!N8</f>
        <v>0</v>
      </c>
      <c r="G8" s="60">
        <f>Entrate_Uscite!Q8</f>
        <v>0</v>
      </c>
      <c r="H8" s="60">
        <f>Entrate_Uscite!T8</f>
        <v>186700</v>
      </c>
      <c r="I8" s="60">
        <f t="shared" si="0"/>
        <v>1.1778765762808318E-2</v>
      </c>
      <c r="J8" s="61" t="str">
        <f t="shared" si="2"/>
        <v>-</v>
      </c>
      <c r="K8" s="60">
        <f>Entrate_Uscite!U8</f>
        <v>186700</v>
      </c>
      <c r="L8" s="62">
        <f t="shared" si="1"/>
        <v>100</v>
      </c>
    </row>
    <row r="9" spans="1:12" x14ac:dyDescent="0.3">
      <c r="A9" s="59" t="s">
        <v>26</v>
      </c>
      <c r="B9" s="60">
        <f>Entrate_Uscite!B9</f>
        <v>24729633.09</v>
      </c>
      <c r="C9" s="60">
        <f>Entrate_Uscite!E9</f>
        <v>4611818.7</v>
      </c>
      <c r="D9" s="60">
        <f>Entrate_Uscite!H9</f>
        <v>19963264.559999999</v>
      </c>
      <c r="E9" s="60">
        <f>Entrate_Uscite!K9</f>
        <v>8583289.1799999997</v>
      </c>
      <c r="F9" s="60">
        <f>Entrate_Uscite!N9</f>
        <v>8458303.3699999992</v>
      </c>
      <c r="G9" s="60">
        <f>Entrate_Uscite!Q9</f>
        <v>8555743.7599999998</v>
      </c>
      <c r="H9" s="60">
        <f>Entrate_Uscite!T9</f>
        <v>3187069.74</v>
      </c>
      <c r="I9" s="60">
        <f t="shared" si="0"/>
        <v>0.20106988718368726</v>
      </c>
      <c r="J9" s="61">
        <f t="shared" si="2"/>
        <v>-62.749354943280814</v>
      </c>
      <c r="K9" s="60">
        <f>Entrate_Uscite!U9</f>
        <v>3187069.74</v>
      </c>
      <c r="L9" s="62">
        <f t="shared" si="1"/>
        <v>100</v>
      </c>
    </row>
    <row r="10" spans="1:12" x14ac:dyDescent="0.3">
      <c r="A10" s="59" t="s">
        <v>27</v>
      </c>
      <c r="B10" s="60">
        <f>Entrate_Uscite!B10</f>
        <v>23063182.140000001</v>
      </c>
      <c r="C10" s="60">
        <f>Entrate_Uscite!E10</f>
        <v>33492759.190000001</v>
      </c>
      <c r="D10" s="60">
        <f>Entrate_Uscite!H10</f>
        <v>77873121.829999998</v>
      </c>
      <c r="E10" s="60">
        <f>Entrate_Uscite!K10</f>
        <v>33492988.34</v>
      </c>
      <c r="F10" s="60">
        <f>Entrate_Uscite!N10</f>
        <v>15644191.16</v>
      </c>
      <c r="G10" s="60">
        <f>Entrate_Uscite!Q10</f>
        <v>26649937.920000002</v>
      </c>
      <c r="H10" s="60">
        <f>Entrate_Uscite!T10</f>
        <v>25928783.460000001</v>
      </c>
      <c r="I10" s="60">
        <f t="shared" si="0"/>
        <v>1.6358278890729439</v>
      </c>
      <c r="J10" s="61">
        <f t="shared" si="2"/>
        <v>-2.7060267913749811</v>
      </c>
      <c r="K10" s="60">
        <f>Entrate_Uscite!U10</f>
        <v>22117499.649999999</v>
      </c>
      <c r="L10" s="62">
        <f t="shared" si="1"/>
        <v>85.300953992386027</v>
      </c>
    </row>
    <row r="11" spans="1:12" x14ac:dyDescent="0.3">
      <c r="A11" s="4" t="s">
        <v>32</v>
      </c>
      <c r="B11" s="50">
        <f t="shared" ref="B11:H11" si="4">SUM(B6:B10)</f>
        <v>67466618.879999995</v>
      </c>
      <c r="C11" s="50">
        <f t="shared" si="4"/>
        <v>68587829.359999999</v>
      </c>
      <c r="D11" s="50">
        <f t="shared" si="4"/>
        <v>166589877.09999999</v>
      </c>
      <c r="E11" s="50">
        <f t="shared" si="4"/>
        <v>59451691.390000001</v>
      </c>
      <c r="F11" s="50">
        <f t="shared" si="4"/>
        <v>113774608.22</v>
      </c>
      <c r="G11" s="50">
        <f>SUM(G6:G10)</f>
        <v>163089562.95999998</v>
      </c>
      <c r="H11" s="50">
        <f t="shared" si="4"/>
        <v>157660784.91999999</v>
      </c>
      <c r="I11" s="50">
        <f t="shared" si="0"/>
        <v>9.9467030292082583</v>
      </c>
      <c r="J11" s="48">
        <f t="shared" si="2"/>
        <v>-3.328709662022618</v>
      </c>
      <c r="K11" s="50">
        <f>SUM(K6:K10)</f>
        <v>139082151.34</v>
      </c>
      <c r="L11" s="49">
        <f t="shared" si="1"/>
        <v>88.216071872642814</v>
      </c>
    </row>
    <row r="12" spans="1:12" x14ac:dyDescent="0.3">
      <c r="A12" s="59" t="s">
        <v>28</v>
      </c>
      <c r="B12" s="60">
        <f>Entrate_Uscite!B11</f>
        <v>1061000</v>
      </c>
      <c r="C12" s="60">
        <f>Entrate_Uscite!E11</f>
        <v>461000</v>
      </c>
      <c r="D12" s="60">
        <f>Entrate_Uscite!H11</f>
        <v>461000</v>
      </c>
      <c r="E12" s="60">
        <f>Entrate_Uscite!K11</f>
        <v>1232236.6499999999</v>
      </c>
      <c r="F12" s="60">
        <f>Entrate_Uscite!N11</f>
        <v>80000</v>
      </c>
      <c r="G12" s="60">
        <f>Entrate_Uscite!Q11</f>
        <v>2163255.9</v>
      </c>
      <c r="H12" s="60">
        <f>Entrate_Uscite!T11</f>
        <v>0</v>
      </c>
      <c r="I12" s="60">
        <f t="shared" si="0"/>
        <v>0</v>
      </c>
      <c r="J12" s="61">
        <f t="shared" si="2"/>
        <v>-100</v>
      </c>
      <c r="K12" s="60">
        <f>Entrate_Uscite!U11</f>
        <v>0</v>
      </c>
      <c r="L12" s="62" t="str">
        <f t="shared" si="1"/>
        <v>-</v>
      </c>
    </row>
    <row r="13" spans="1:12" x14ac:dyDescent="0.3">
      <c r="A13" s="59" t="s">
        <v>29</v>
      </c>
      <c r="B13" s="60">
        <f>Entrate_Uscite!B12</f>
        <v>0</v>
      </c>
      <c r="C13" s="60">
        <f>Entrate_Uscite!E12</f>
        <v>90616.69</v>
      </c>
      <c r="D13" s="60">
        <f>Entrate_Uscite!H12</f>
        <v>835786.39</v>
      </c>
      <c r="E13" s="60">
        <f>Entrate_Uscite!K12</f>
        <v>151233.38</v>
      </c>
      <c r="F13" s="60">
        <f>Entrate_Uscite!N12</f>
        <v>1723820.98</v>
      </c>
      <c r="G13" s="60">
        <f>Entrate_Uscite!Q12</f>
        <v>235283.32</v>
      </c>
      <c r="H13" s="60">
        <f>Entrate_Uscite!T12</f>
        <v>8000</v>
      </c>
      <c r="I13" s="60">
        <f t="shared" si="0"/>
        <v>5.047141194561679E-4</v>
      </c>
      <c r="J13" s="61">
        <f t="shared" si="2"/>
        <v>-96.599843966839643</v>
      </c>
      <c r="K13" s="60">
        <f>Entrate_Uscite!U12</f>
        <v>8000</v>
      </c>
      <c r="L13" s="62">
        <f t="shared" si="1"/>
        <v>100</v>
      </c>
    </row>
    <row r="14" spans="1:12" x14ac:dyDescent="0.3">
      <c r="A14" s="59" t="s">
        <v>30</v>
      </c>
      <c r="B14" s="60">
        <f>Entrate_Uscite!B13</f>
        <v>32253805.690000001</v>
      </c>
      <c r="C14" s="60">
        <f>Entrate_Uscite!E13</f>
        <v>31266034.52</v>
      </c>
      <c r="D14" s="60">
        <f>Entrate_Uscite!H13</f>
        <v>55655314.579999998</v>
      </c>
      <c r="E14" s="60">
        <f>Entrate_Uscite!K13</f>
        <v>36568614.439999998</v>
      </c>
      <c r="F14" s="60">
        <f>Entrate_Uscite!N13</f>
        <v>39470525.759999998</v>
      </c>
      <c r="G14" s="60">
        <f>Entrate_Uscite!Q13</f>
        <v>31053719.460000001</v>
      </c>
      <c r="H14" s="60">
        <f>Entrate_Uscite!T13</f>
        <v>11280000</v>
      </c>
      <c r="I14" s="60">
        <f t="shared" si="0"/>
        <v>0.71164690843319667</v>
      </c>
      <c r="J14" s="61">
        <f t="shared" si="2"/>
        <v>-63.675848831797232</v>
      </c>
      <c r="K14" s="60">
        <f>Entrate_Uscite!U13</f>
        <v>780000</v>
      </c>
      <c r="L14" s="62">
        <f t="shared" si="1"/>
        <v>6.9148936170212769</v>
      </c>
    </row>
    <row r="15" spans="1:12" x14ac:dyDescent="0.3">
      <c r="A15" s="4" t="s">
        <v>33</v>
      </c>
      <c r="B15" s="47">
        <f t="shared" ref="B15:H15" si="5">SUM(B12:B14)</f>
        <v>33314805.690000001</v>
      </c>
      <c r="C15" s="47">
        <f t="shared" si="5"/>
        <v>31817651.210000001</v>
      </c>
      <c r="D15" s="47">
        <f t="shared" si="5"/>
        <v>56952100.969999999</v>
      </c>
      <c r="E15" s="47">
        <f t="shared" si="5"/>
        <v>37952084.469999999</v>
      </c>
      <c r="F15" s="47">
        <f t="shared" si="5"/>
        <v>41274346.739999995</v>
      </c>
      <c r="G15" s="47">
        <f>SUM(G12:G14)</f>
        <v>33452258.68</v>
      </c>
      <c r="H15" s="47">
        <f t="shared" si="5"/>
        <v>11288000</v>
      </c>
      <c r="I15" s="47">
        <f t="shared" si="0"/>
        <v>0.71215162255265296</v>
      </c>
      <c r="J15" s="48">
        <f t="shared" si="2"/>
        <v>-66.256389118655477</v>
      </c>
      <c r="K15" s="47">
        <f>SUM(K12:K14)</f>
        <v>788000</v>
      </c>
      <c r="L15" s="49">
        <f t="shared" si="1"/>
        <v>6.9808646350106311</v>
      </c>
    </row>
    <row r="16" spans="1:12" x14ac:dyDescent="0.3">
      <c r="A16" s="51" t="s">
        <v>348</v>
      </c>
      <c r="B16" s="52">
        <f t="shared" ref="B16:H16" si="6">B5+B11+B15</f>
        <v>1351029612.29</v>
      </c>
      <c r="C16" s="52">
        <f t="shared" si="6"/>
        <v>1367085787.4399998</v>
      </c>
      <c r="D16" s="52">
        <f t="shared" si="6"/>
        <v>1601268565.71</v>
      </c>
      <c r="E16" s="52">
        <f t="shared" si="6"/>
        <v>1378650630.6900001</v>
      </c>
      <c r="F16" s="52">
        <f t="shared" si="6"/>
        <v>1435747477.98</v>
      </c>
      <c r="G16" s="52">
        <f>G5+G11+G15</f>
        <v>1724385218.8900001</v>
      </c>
      <c r="H16" s="52">
        <f t="shared" si="6"/>
        <v>1574555716.02</v>
      </c>
      <c r="I16" s="52">
        <f t="shared" si="0"/>
        <v>99.337562718213775</v>
      </c>
      <c r="J16" s="53">
        <f t="shared" si="2"/>
        <v>-8.688864949007538</v>
      </c>
      <c r="K16" s="52">
        <f>K5+K11+K15</f>
        <v>1188407696.3299999</v>
      </c>
      <c r="L16" s="54">
        <f t="shared" si="1"/>
        <v>75.475747491104002</v>
      </c>
    </row>
    <row r="17" spans="1:12" x14ac:dyDescent="0.3">
      <c r="A17" s="4" t="s">
        <v>34</v>
      </c>
      <c r="B17" s="47">
        <f>Entrate_Uscite!B17</f>
        <v>45093950.140000001</v>
      </c>
      <c r="C17" s="47">
        <f>Entrate_Uscite!E17</f>
        <v>24731828.57</v>
      </c>
      <c r="D17" s="47">
        <f>Entrate_Uscite!H17</f>
        <v>16638609.390000001</v>
      </c>
      <c r="E17" s="47">
        <f>Entrate_Uscite!K17</f>
        <v>178000333.03</v>
      </c>
      <c r="F17" s="47">
        <f>Entrate_Uscite!N17</f>
        <v>378636033.94</v>
      </c>
      <c r="G17" s="47">
        <f>Entrate_Uscite!Q17</f>
        <v>29866374.829999998</v>
      </c>
      <c r="H17" s="47">
        <f>Entrate_Uscite!T17</f>
        <v>10500000</v>
      </c>
      <c r="I17" s="47">
        <f t="shared" si="0"/>
        <v>0.6624372817862203</v>
      </c>
      <c r="J17" s="48">
        <f t="shared" si="2"/>
        <v>-64.843406473781272</v>
      </c>
      <c r="K17" s="47">
        <f>Entrate_Uscite!U17</f>
        <v>10500000</v>
      </c>
      <c r="L17" s="49">
        <f t="shared" si="1"/>
        <v>100</v>
      </c>
    </row>
    <row r="18" spans="1:12" x14ac:dyDescent="0.3">
      <c r="A18" s="4" t="s">
        <v>35</v>
      </c>
      <c r="B18" s="47">
        <f>Entrate_Uscite!B18</f>
        <v>823694743.57000005</v>
      </c>
      <c r="C18" s="47">
        <f>Entrate_Uscite!E18</f>
        <v>750499922.92999995</v>
      </c>
      <c r="D18" s="47">
        <f>Entrate_Uscite!H18</f>
        <v>1168125709.5</v>
      </c>
      <c r="E18" s="47">
        <f>Entrate_Uscite!K18</f>
        <v>1310565170.21</v>
      </c>
      <c r="F18" s="47">
        <f>Entrate_Uscite!N18</f>
        <v>1139059874.55</v>
      </c>
      <c r="G18" s="47">
        <f>Entrate_Uscite!Q18</f>
        <v>700491748.45000005</v>
      </c>
      <c r="H18" s="47">
        <f>Entrate_Uscite!T18</f>
        <v>0</v>
      </c>
      <c r="I18" s="47">
        <f t="shared" si="0"/>
        <v>0</v>
      </c>
      <c r="J18" s="48">
        <f t="shared" si="2"/>
        <v>-100</v>
      </c>
      <c r="K18" s="47">
        <f>Entrate_Uscite!U18</f>
        <v>0</v>
      </c>
      <c r="L18" s="49" t="str">
        <f t="shared" si="1"/>
        <v>-</v>
      </c>
    </row>
    <row r="19" spans="1:12" x14ac:dyDescent="0.3">
      <c r="A19" s="4" t="s">
        <v>36</v>
      </c>
      <c r="B19" s="47">
        <f>Entrate_Uscite!B19</f>
        <v>193259658.11000001</v>
      </c>
      <c r="C19" s="47">
        <f>Entrate_Uscite!E19</f>
        <v>238530886.03999999</v>
      </c>
      <c r="D19" s="47">
        <f>Entrate_Uscite!H19</f>
        <v>250576834.81999999</v>
      </c>
      <c r="E19" s="47">
        <f>Entrate_Uscite!K19</f>
        <v>224819751.34</v>
      </c>
      <c r="F19" s="47">
        <f>Entrate_Uscite!N19</f>
        <v>189842385.16999999</v>
      </c>
      <c r="G19" s="47">
        <f>Entrate_Uscite!Q19</f>
        <v>782205002.44000006</v>
      </c>
      <c r="H19" s="47">
        <f>Entrate_Uscite!T19</f>
        <v>1008552631.3200001</v>
      </c>
      <c r="I19" s="47"/>
      <c r="J19" s="48">
        <f t="shared" si="2"/>
        <v>28.937123666293871</v>
      </c>
      <c r="K19" s="47">
        <f>Entrate_Uscite!U19</f>
        <v>1006665978.0599999</v>
      </c>
      <c r="L19" s="49">
        <f t="shared" si="1"/>
        <v>99.812934575607542</v>
      </c>
    </row>
    <row r="20" spans="1:12" x14ac:dyDescent="0.3">
      <c r="A20" s="51" t="s">
        <v>37</v>
      </c>
      <c r="B20" s="52">
        <f t="shared" ref="B20:H20" si="7">B5+B11+B15+B17+B18+B19</f>
        <v>2413077964.1100001</v>
      </c>
      <c r="C20" s="52">
        <f t="shared" si="7"/>
        <v>2380848424.9799995</v>
      </c>
      <c r="D20" s="52">
        <f t="shared" si="7"/>
        <v>3036609719.4200006</v>
      </c>
      <c r="E20" s="52">
        <f t="shared" si="7"/>
        <v>3092035885.2700005</v>
      </c>
      <c r="F20" s="52">
        <f t="shared" si="7"/>
        <v>3143285771.6400003</v>
      </c>
      <c r="G20" s="52">
        <f>G5+G11+G15+G17+G18+G19</f>
        <v>3236948344.6100001</v>
      </c>
      <c r="H20" s="52">
        <f t="shared" si="7"/>
        <v>2593608347.3400002</v>
      </c>
      <c r="I20" s="52"/>
      <c r="J20" s="53">
        <f t="shared" si="2"/>
        <v>-19.874892299138992</v>
      </c>
      <c r="K20" s="52">
        <f>K5+K11+K15+K17+K18+K19</f>
        <v>2205573674.3899999</v>
      </c>
      <c r="L20" s="54">
        <f t="shared" si="1"/>
        <v>85.038809990414791</v>
      </c>
    </row>
    <row r="21" spans="1:12" x14ac:dyDescent="0.3">
      <c r="A21" s="42" t="s">
        <v>38</v>
      </c>
      <c r="B21" s="55">
        <f t="shared" ref="B21:H21" si="8">B20-B19</f>
        <v>2219818306</v>
      </c>
      <c r="C21" s="55">
        <f t="shared" si="8"/>
        <v>2142317538.9399996</v>
      </c>
      <c r="D21" s="55">
        <f t="shared" si="8"/>
        <v>2786032884.6000004</v>
      </c>
      <c r="E21" s="55">
        <f t="shared" si="8"/>
        <v>2867216133.9300003</v>
      </c>
      <c r="F21" s="55">
        <f t="shared" si="8"/>
        <v>2953443386.4700003</v>
      </c>
      <c r="G21" s="55">
        <f>G20-G19</f>
        <v>2454743342.1700001</v>
      </c>
      <c r="H21" s="55">
        <f t="shared" si="8"/>
        <v>1585055716.02</v>
      </c>
      <c r="I21" s="55">
        <f>H21/H$21*100</f>
        <v>100</v>
      </c>
      <c r="J21" s="56">
        <f t="shared" si="2"/>
        <v>-35.428861796247659</v>
      </c>
      <c r="K21" s="55">
        <f>K20-K19</f>
        <v>1198907696.3299999</v>
      </c>
      <c r="L21" s="57">
        <f t="shared" si="1"/>
        <v>75.638205282802332</v>
      </c>
    </row>
    <row r="22" spans="1:12" x14ac:dyDescent="0.3">
      <c r="K22" s="6"/>
    </row>
    <row r="23" spans="1:12" x14ac:dyDescent="0.3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opLeftCell="B1" workbookViewId="0">
      <selection activeCell="L11" sqref="L11"/>
    </sheetView>
  </sheetViews>
  <sheetFormatPr defaultRowHeight="14.4" x14ac:dyDescent="0.3"/>
  <cols>
    <col min="1" max="1" width="50.6640625" bestFit="1" customWidth="1"/>
    <col min="2" max="2" width="15.33203125" bestFit="1" customWidth="1"/>
    <col min="3" max="8" width="14.33203125" bestFit="1" customWidth="1"/>
    <col min="9" max="9" width="8.5546875" customWidth="1"/>
    <col min="10" max="10" width="6.5546875" bestFit="1" customWidth="1"/>
    <col min="11" max="11" width="14.33203125" bestFit="1" customWidth="1"/>
    <col min="12" max="12" width="7" bestFit="1" customWidth="1"/>
  </cols>
  <sheetData>
    <row r="1" spans="1:12" ht="28.8" x14ac:dyDescent="0.3">
      <c r="A1" s="45"/>
      <c r="B1" s="46">
        <v>2016</v>
      </c>
      <c r="C1" s="46">
        <v>2017</v>
      </c>
      <c r="D1" s="46">
        <v>2018</v>
      </c>
      <c r="E1" s="46">
        <v>2019</v>
      </c>
      <c r="F1" s="46">
        <v>2020</v>
      </c>
      <c r="G1" s="46">
        <v>2021</v>
      </c>
      <c r="H1" s="46">
        <v>2022</v>
      </c>
      <c r="I1" s="58" t="s">
        <v>297</v>
      </c>
      <c r="J1" s="46" t="s">
        <v>233</v>
      </c>
      <c r="K1" s="58" t="s">
        <v>368</v>
      </c>
      <c r="L1" s="46" t="s">
        <v>339</v>
      </c>
    </row>
    <row r="2" spans="1:12" x14ac:dyDescent="0.3">
      <c r="A2" s="63" t="s">
        <v>270</v>
      </c>
      <c r="B2" s="60">
        <f>Entrate_Uscite!B23</f>
        <v>384476639.36000001</v>
      </c>
      <c r="C2" s="60">
        <f>Entrate_Uscite!E23</f>
        <v>371529497.97000003</v>
      </c>
      <c r="D2" s="60">
        <f>Entrate_Uscite!H23</f>
        <v>369933147.55000001</v>
      </c>
      <c r="E2" s="60">
        <f>Entrate_Uscite!K23</f>
        <v>356821336.86000001</v>
      </c>
      <c r="F2" s="60">
        <f>Entrate_Uscite!N23</f>
        <v>340420601.76999998</v>
      </c>
      <c r="G2" s="60">
        <f>Entrate_Uscite!Q23</f>
        <v>328531615.06999999</v>
      </c>
      <c r="H2" s="60">
        <f>Entrate_Uscite!T23</f>
        <v>336023357.88</v>
      </c>
      <c r="I2" s="60">
        <f t="shared" ref="I2:I28" si="0">H2/H$31*100</f>
        <v>22.475823753454435</v>
      </c>
      <c r="J2" s="61">
        <f t="shared" ref="J2:J31" si="1">IF(G2&gt;0,H2/G2*100-100,"-")</f>
        <v>2.2803719539757878</v>
      </c>
      <c r="K2" s="60">
        <f>Entrate_Uscite!U23</f>
        <v>301324773.05000001</v>
      </c>
      <c r="L2" s="62">
        <f t="shared" ref="L2:L31" si="2">IF(H2&gt;0,K2/H2*100,"-")</f>
        <v>89.673758083689094</v>
      </c>
    </row>
    <row r="3" spans="1:12" x14ac:dyDescent="0.3">
      <c r="A3" s="63" t="s">
        <v>271</v>
      </c>
      <c r="B3" s="60">
        <f>Entrate_Uscite!B24</f>
        <v>22357035.07</v>
      </c>
      <c r="C3" s="60">
        <f>Entrate_Uscite!E24</f>
        <v>21509838.079999998</v>
      </c>
      <c r="D3" s="60">
        <f>Entrate_Uscite!H24</f>
        <v>21558528.93</v>
      </c>
      <c r="E3" s="60">
        <f>Entrate_Uscite!K24</f>
        <v>20474110.5</v>
      </c>
      <c r="F3" s="60">
        <f>Entrate_Uscite!N24</f>
        <v>19882088.640000001</v>
      </c>
      <c r="G3" s="60">
        <f>Entrate_Uscite!Q24</f>
        <v>19923890.350000001</v>
      </c>
      <c r="H3" s="60">
        <f>Entrate_Uscite!T24</f>
        <v>19348377.579999998</v>
      </c>
      <c r="I3" s="60">
        <f t="shared" si="0"/>
        <v>1.2941681410096182</v>
      </c>
      <c r="J3" s="61">
        <f t="shared" si="1"/>
        <v>-2.8885562000696439</v>
      </c>
      <c r="K3" s="60">
        <f>Entrate_Uscite!U24</f>
        <v>15747646.32</v>
      </c>
      <c r="L3" s="62">
        <f t="shared" si="2"/>
        <v>81.390009342581791</v>
      </c>
    </row>
    <row r="4" spans="1:12" x14ac:dyDescent="0.3">
      <c r="A4" s="63" t="s">
        <v>272</v>
      </c>
      <c r="B4" s="60">
        <f>Entrate_Uscite!B25</f>
        <v>457412166.11000001</v>
      </c>
      <c r="C4" s="60">
        <f>Entrate_Uscite!E25</f>
        <v>447881027.42000002</v>
      </c>
      <c r="D4" s="60">
        <f>Entrate_Uscite!H25</f>
        <v>458399728.62</v>
      </c>
      <c r="E4" s="60">
        <f>Entrate_Uscite!K25</f>
        <v>485310094.58999997</v>
      </c>
      <c r="F4" s="60">
        <f>Entrate_Uscite!N25</f>
        <v>468378725.72000003</v>
      </c>
      <c r="G4" s="60">
        <f>Entrate_Uscite!Q25</f>
        <v>487986618.51999998</v>
      </c>
      <c r="H4" s="60">
        <f>Entrate_Uscite!T25</f>
        <v>573642111.16999996</v>
      </c>
      <c r="I4" s="60">
        <f t="shared" si="0"/>
        <v>38.369591535421733</v>
      </c>
      <c r="J4" s="61">
        <f t="shared" si="1"/>
        <v>17.552836368706565</v>
      </c>
      <c r="K4" s="60">
        <f>Entrate_Uscite!U25</f>
        <v>404345192.29000002</v>
      </c>
      <c r="L4" s="62">
        <f t="shared" si="2"/>
        <v>70.487362140359238</v>
      </c>
    </row>
    <row r="5" spans="1:12" x14ac:dyDescent="0.3">
      <c r="A5" s="63" t="s">
        <v>273</v>
      </c>
      <c r="B5" s="60">
        <f>Entrate_Uscite!B26</f>
        <v>60011538.170000002</v>
      </c>
      <c r="C5" s="60">
        <f>Entrate_Uscite!E26</f>
        <v>59718652.609999999</v>
      </c>
      <c r="D5" s="60">
        <f>Entrate_Uscite!H26</f>
        <v>119517944.23</v>
      </c>
      <c r="E5" s="60">
        <f>Entrate_Uscite!K26</f>
        <v>59486470.869999997</v>
      </c>
      <c r="F5" s="60">
        <f>Entrate_Uscite!N26</f>
        <v>94503766.670000002</v>
      </c>
      <c r="G5" s="60">
        <f>Entrate_Uscite!Q26</f>
        <v>115671372.27</v>
      </c>
      <c r="H5" s="60">
        <f>Entrate_Uscite!T26</f>
        <v>118859611.28</v>
      </c>
      <c r="I5" s="60">
        <f t="shared" si="0"/>
        <v>7.9502439693118419</v>
      </c>
      <c r="J5" s="61">
        <f t="shared" si="1"/>
        <v>2.7562904696574577</v>
      </c>
      <c r="K5" s="60">
        <f>Entrate_Uscite!U26</f>
        <v>63197281.340000004</v>
      </c>
      <c r="L5" s="62">
        <f t="shared" si="2"/>
        <v>53.169685361939209</v>
      </c>
    </row>
    <row r="6" spans="1:12" x14ac:dyDescent="0.3">
      <c r="A6" s="63" t="s">
        <v>274</v>
      </c>
      <c r="B6" s="60">
        <f>Entrate_Uscite!B27</f>
        <v>121834717.78</v>
      </c>
      <c r="C6" s="60">
        <f>Entrate_Uscite!E27</f>
        <v>110341753.87</v>
      </c>
      <c r="D6" s="60">
        <f>Entrate_Uscite!H27</f>
        <v>116451724.11</v>
      </c>
      <c r="E6" s="60">
        <f>Entrate_Uscite!K27</f>
        <v>112343059.18000001</v>
      </c>
      <c r="F6" s="60">
        <f>Entrate_Uscite!N27</f>
        <v>104407709.84999999</v>
      </c>
      <c r="G6" s="60">
        <f>Entrate_Uscite!Q27</f>
        <v>102691490.59</v>
      </c>
      <c r="H6" s="60">
        <f>Entrate_Uscite!T27</f>
        <v>96496232.239999995</v>
      </c>
      <c r="I6" s="60">
        <f t="shared" si="0"/>
        <v>6.4544093671999327</v>
      </c>
      <c r="J6" s="61">
        <f t="shared" si="1"/>
        <v>-6.0328838489012071</v>
      </c>
      <c r="K6" s="60">
        <f>Entrate_Uscite!U27</f>
        <v>95903545.689999998</v>
      </c>
      <c r="L6" s="62">
        <f t="shared" si="2"/>
        <v>99.385793065447473</v>
      </c>
    </row>
    <row r="7" spans="1:12" x14ac:dyDescent="0.3">
      <c r="A7" s="63" t="s">
        <v>275</v>
      </c>
      <c r="B7" s="60">
        <f>Entrate_Uscite!B28</f>
        <v>0</v>
      </c>
      <c r="C7" s="60">
        <f>Entrate_Uscite!E28</f>
        <v>0</v>
      </c>
      <c r="D7" s="60">
        <f>Entrate_Uscite!H28</f>
        <v>0</v>
      </c>
      <c r="E7" s="60">
        <f>Entrate_Uscite!K28</f>
        <v>0</v>
      </c>
      <c r="F7" s="60">
        <f>Entrate_Uscite!N28</f>
        <v>0</v>
      </c>
      <c r="G7" s="60">
        <f>Entrate_Uscite!Q28</f>
        <v>0</v>
      </c>
      <c r="H7" s="60">
        <f>Entrate_Uscite!T28</f>
        <v>0</v>
      </c>
      <c r="I7" s="60">
        <f t="shared" si="0"/>
        <v>0</v>
      </c>
      <c r="J7" s="61" t="str">
        <f t="shared" si="1"/>
        <v>-</v>
      </c>
      <c r="K7" s="60">
        <f>Entrate_Uscite!U28</f>
        <v>0</v>
      </c>
      <c r="L7" s="62" t="str">
        <f t="shared" si="2"/>
        <v>-</v>
      </c>
    </row>
    <row r="8" spans="1:12" x14ac:dyDescent="0.3">
      <c r="A8" s="63" t="s">
        <v>276</v>
      </c>
      <c r="B8" s="60">
        <f>Entrate_Uscite!B29</f>
        <v>15595457.52</v>
      </c>
      <c r="C8" s="60">
        <f>Entrate_Uscite!E29</f>
        <v>12097249.73</v>
      </c>
      <c r="D8" s="60">
        <f>Entrate_Uscite!H29</f>
        <v>43587613</v>
      </c>
      <c r="E8" s="60">
        <f>Entrate_Uscite!K29</f>
        <v>13879315.32</v>
      </c>
      <c r="F8" s="60">
        <f>Entrate_Uscite!N29</f>
        <v>8088739.2000000002</v>
      </c>
      <c r="G8" s="60">
        <f>Entrate_Uscite!Q29</f>
        <v>7332272.3799999999</v>
      </c>
      <c r="H8" s="60">
        <f>Entrate_Uscite!T29</f>
        <v>5731849.2599999998</v>
      </c>
      <c r="I8" s="60">
        <f t="shared" si="0"/>
        <v>0.38339011478819585</v>
      </c>
      <c r="J8" s="61">
        <f t="shared" si="1"/>
        <v>-21.82710948334956</v>
      </c>
      <c r="K8" s="60">
        <f>Entrate_Uscite!U29</f>
        <v>3964192.97</v>
      </c>
      <c r="L8" s="62">
        <f t="shared" si="2"/>
        <v>69.160802913369011</v>
      </c>
    </row>
    <row r="9" spans="1:12" x14ac:dyDescent="0.3">
      <c r="A9" s="63" t="s">
        <v>277</v>
      </c>
      <c r="B9" s="60">
        <f>Entrate_Uscite!B30</f>
        <v>12411206.6</v>
      </c>
      <c r="C9" s="60">
        <f>Entrate_Uscite!E30</f>
        <v>9201724.0999999996</v>
      </c>
      <c r="D9" s="60">
        <f>Entrate_Uscite!H30</f>
        <v>6654662.9900000002</v>
      </c>
      <c r="E9" s="60">
        <f>Entrate_Uscite!K30</f>
        <v>6863313.1100000003</v>
      </c>
      <c r="F9" s="60">
        <f>Entrate_Uscite!N30</f>
        <v>6078827.4199999999</v>
      </c>
      <c r="G9" s="60">
        <f>Entrate_Uscite!Q30</f>
        <v>5967983.8300000001</v>
      </c>
      <c r="H9" s="60">
        <f>Entrate_Uscite!T30</f>
        <v>7893720.5599999996</v>
      </c>
      <c r="I9" s="60">
        <f t="shared" si="0"/>
        <v>0.52799267641667569</v>
      </c>
      <c r="J9" s="61">
        <f t="shared" si="1"/>
        <v>32.267794029864177</v>
      </c>
      <c r="K9" s="60">
        <f>Entrate_Uscite!U30</f>
        <v>6900041.1500000004</v>
      </c>
      <c r="L9" s="62">
        <f t="shared" si="2"/>
        <v>87.411773669373488</v>
      </c>
    </row>
    <row r="10" spans="1:12" x14ac:dyDescent="0.3">
      <c r="A10" s="4" t="s">
        <v>282</v>
      </c>
      <c r="B10" s="47">
        <f t="shared" ref="B10:H10" si="3">SUM(B2:B9)</f>
        <v>1074098760.6099999</v>
      </c>
      <c r="C10" s="47">
        <f t="shared" si="3"/>
        <v>1032279743.7800001</v>
      </c>
      <c r="D10" s="47">
        <f t="shared" si="3"/>
        <v>1136103349.4300001</v>
      </c>
      <c r="E10" s="47">
        <f t="shared" si="3"/>
        <v>1055177700.4300001</v>
      </c>
      <c r="F10" s="47">
        <f t="shared" si="3"/>
        <v>1041760459.27</v>
      </c>
      <c r="G10" s="47">
        <f>SUM(G2:G9)</f>
        <v>1068105243.0100001</v>
      </c>
      <c r="H10" s="47">
        <f t="shared" si="3"/>
        <v>1157995259.9699998</v>
      </c>
      <c r="I10" s="47">
        <f t="shared" si="0"/>
        <v>77.455619557602418</v>
      </c>
      <c r="J10" s="48">
        <f t="shared" si="1"/>
        <v>8.4158389398672853</v>
      </c>
      <c r="K10" s="47">
        <f>SUM(K2:K9)</f>
        <v>891382672.81000006</v>
      </c>
      <c r="L10" s="49">
        <f t="shared" si="2"/>
        <v>76.976366279175707</v>
      </c>
    </row>
    <row r="11" spans="1:12" x14ac:dyDescent="0.3">
      <c r="A11" s="63" t="s">
        <v>278</v>
      </c>
      <c r="B11" s="60">
        <f>Entrate_Uscite!B32</f>
        <v>59378581.880000003</v>
      </c>
      <c r="C11" s="60">
        <f>Entrate_Uscite!E32</f>
        <v>50629912.369999997</v>
      </c>
      <c r="D11" s="60">
        <f>Entrate_Uscite!H32</f>
        <v>162813453.94</v>
      </c>
      <c r="E11" s="60">
        <f>Entrate_Uscite!K32</f>
        <v>55890515.890000001</v>
      </c>
      <c r="F11" s="60">
        <f>Entrate_Uscite!N32</f>
        <v>88294209.530000001</v>
      </c>
      <c r="G11" s="60">
        <f>Entrate_Uscite!Q32</f>
        <v>87011324.950000003</v>
      </c>
      <c r="H11" s="60">
        <f>Entrate_Uscite!T32</f>
        <v>104913825.34</v>
      </c>
      <c r="I11" s="60">
        <f t="shared" si="0"/>
        <v>7.0174426638657517</v>
      </c>
      <c r="J11" s="61">
        <f t="shared" si="1"/>
        <v>20.574908381509488</v>
      </c>
      <c r="K11" s="60">
        <f>Entrate_Uscite!U32</f>
        <v>75718729.290000007</v>
      </c>
      <c r="L11" s="62">
        <f t="shared" si="2"/>
        <v>72.172308124895991</v>
      </c>
    </row>
    <row r="12" spans="1:12" x14ac:dyDescent="0.3">
      <c r="A12" s="63" t="s">
        <v>279</v>
      </c>
      <c r="B12" s="60">
        <f>Entrate_Uscite!B33</f>
        <v>10306172.84</v>
      </c>
      <c r="C12" s="60">
        <f>Entrate_Uscite!E33</f>
        <v>29545951.989999998</v>
      </c>
      <c r="D12" s="60">
        <f>Entrate_Uscite!H33</f>
        <v>32385785.559999999</v>
      </c>
      <c r="E12" s="60">
        <f>Entrate_Uscite!K33</f>
        <v>16154662.1</v>
      </c>
      <c r="F12" s="60">
        <f>Entrate_Uscite!N33</f>
        <v>51365503.479999997</v>
      </c>
      <c r="G12" s="60">
        <f>Entrate_Uscite!Q33</f>
        <v>49397140.049999997</v>
      </c>
      <c r="H12" s="60">
        <f>Entrate_Uscite!T33</f>
        <v>84504125.340000004</v>
      </c>
      <c r="I12" s="60">
        <f t="shared" si="0"/>
        <v>5.652285125547543</v>
      </c>
      <c r="J12" s="61">
        <f t="shared" si="1"/>
        <v>71.070886400436478</v>
      </c>
      <c r="K12" s="60">
        <f>Entrate_Uscite!U33</f>
        <v>73705701.519999996</v>
      </c>
      <c r="L12" s="62">
        <f t="shared" si="2"/>
        <v>87.2214240706559</v>
      </c>
    </row>
    <row r="13" spans="1:12" x14ac:dyDescent="0.3">
      <c r="A13" s="63" t="s">
        <v>280</v>
      </c>
      <c r="B13" s="60">
        <f>Entrate_Uscite!B34</f>
        <v>387121.54</v>
      </c>
      <c r="C13" s="60">
        <f>Entrate_Uscite!E34</f>
        <v>0</v>
      </c>
      <c r="D13" s="60">
        <f>Entrate_Uscite!H34</f>
        <v>0</v>
      </c>
      <c r="E13" s="60">
        <f>Entrate_Uscite!K34</f>
        <v>0</v>
      </c>
      <c r="F13" s="60">
        <f>Entrate_Uscite!N34</f>
        <v>40000</v>
      </c>
      <c r="G13" s="60">
        <f>Entrate_Uscite!Q34</f>
        <v>146960.98000000001</v>
      </c>
      <c r="H13" s="60">
        <f>Entrate_Uscite!T34</f>
        <v>30670.799999999999</v>
      </c>
      <c r="I13" s="60">
        <f t="shared" si="0"/>
        <v>2.0514987396311603E-3</v>
      </c>
      <c r="J13" s="61">
        <f t="shared" si="1"/>
        <v>-79.129970417998038</v>
      </c>
      <c r="K13" s="60">
        <f>Entrate_Uscite!U34</f>
        <v>0</v>
      </c>
      <c r="L13" s="62">
        <f t="shared" si="2"/>
        <v>0</v>
      </c>
    </row>
    <row r="14" spans="1:12" x14ac:dyDescent="0.3">
      <c r="A14" s="63" t="s">
        <v>281</v>
      </c>
      <c r="B14" s="60">
        <f>Entrate_Uscite!B35</f>
        <v>99978.98</v>
      </c>
      <c r="C14" s="60">
        <f>Entrate_Uscite!E35</f>
        <v>0</v>
      </c>
      <c r="D14" s="60">
        <f>Entrate_Uscite!H35</f>
        <v>861368.5</v>
      </c>
      <c r="E14" s="60">
        <f>Entrate_Uscite!K35</f>
        <v>5193009.38</v>
      </c>
      <c r="F14" s="60">
        <f>Entrate_Uscite!N35</f>
        <v>1658893.03</v>
      </c>
      <c r="G14" s="60">
        <f>Entrate_Uscite!Q35</f>
        <v>0</v>
      </c>
      <c r="H14" s="60">
        <f>Entrate_Uscite!T35</f>
        <v>152457.82</v>
      </c>
      <c r="I14" s="60">
        <f t="shared" si="0"/>
        <v>1.0197550294642276E-2</v>
      </c>
      <c r="J14" s="61" t="str">
        <f t="shared" si="1"/>
        <v>-</v>
      </c>
      <c r="K14" s="60">
        <f>Entrate_Uscite!U35</f>
        <v>151941.82</v>
      </c>
      <c r="L14" s="62">
        <f t="shared" si="2"/>
        <v>99.661545731140592</v>
      </c>
    </row>
    <row r="15" spans="1:12" x14ac:dyDescent="0.3">
      <c r="A15" s="4" t="s">
        <v>283</v>
      </c>
      <c r="B15" s="50">
        <f t="shared" ref="B15:H15" si="4">SUM(B11:B14)</f>
        <v>70171855.24000001</v>
      </c>
      <c r="C15" s="50">
        <f t="shared" si="4"/>
        <v>80175864.359999999</v>
      </c>
      <c r="D15" s="50">
        <f t="shared" si="4"/>
        <v>196060608</v>
      </c>
      <c r="E15" s="50">
        <f t="shared" si="4"/>
        <v>77238187.36999999</v>
      </c>
      <c r="F15" s="50">
        <f t="shared" si="4"/>
        <v>141358606.03999999</v>
      </c>
      <c r="G15" s="50">
        <f>SUM(G11:G14)</f>
        <v>136555425.97999999</v>
      </c>
      <c r="H15" s="50">
        <f t="shared" si="4"/>
        <v>189601079.30000001</v>
      </c>
      <c r="I15" s="50">
        <f t="shared" si="0"/>
        <v>12.681976838447568</v>
      </c>
      <c r="J15" s="48">
        <f t="shared" si="1"/>
        <v>38.845511219575513</v>
      </c>
      <c r="K15" s="50">
        <f>SUM(K11:K14)</f>
        <v>149576372.63</v>
      </c>
      <c r="L15" s="49">
        <f t="shared" si="2"/>
        <v>78.890042811059033</v>
      </c>
    </row>
    <row r="16" spans="1:12" x14ac:dyDescent="0.3">
      <c r="A16" s="63" t="s">
        <v>284</v>
      </c>
      <c r="B16" s="60">
        <f>Entrate_Uscite!B36</f>
        <v>12088279</v>
      </c>
      <c r="C16" s="60">
        <f>Entrate_Uscite!E36</f>
        <v>3801000</v>
      </c>
      <c r="D16" s="60">
        <f>Entrate_Uscite!H36</f>
        <v>15000</v>
      </c>
      <c r="E16" s="60">
        <f>Entrate_Uscite!K36</f>
        <v>881171.47</v>
      </c>
      <c r="F16" s="60">
        <f>Entrate_Uscite!N36</f>
        <v>80000</v>
      </c>
      <c r="G16" s="60">
        <f>Entrate_Uscite!Q36</f>
        <v>0</v>
      </c>
      <c r="H16" s="60">
        <f>Entrate_Uscite!T36</f>
        <v>0</v>
      </c>
      <c r="I16" s="60">
        <f t="shared" si="0"/>
        <v>0</v>
      </c>
      <c r="J16" s="61" t="str">
        <f t="shared" si="1"/>
        <v>-</v>
      </c>
      <c r="K16" s="60">
        <f>Entrate_Uscite!U36</f>
        <v>0</v>
      </c>
      <c r="L16" s="62" t="str">
        <f t="shared" si="2"/>
        <v>-</v>
      </c>
    </row>
    <row r="17" spans="1:12" x14ac:dyDescent="0.3">
      <c r="A17" s="63" t="s">
        <v>285</v>
      </c>
      <c r="B17" s="60">
        <f>Entrate_Uscite!B37</f>
        <v>0</v>
      </c>
      <c r="C17" s="60">
        <f>Entrate_Uscite!E37</f>
        <v>0</v>
      </c>
      <c r="D17" s="60">
        <f>Entrate_Uscite!H37</f>
        <v>0</v>
      </c>
      <c r="E17" s="60">
        <f>Entrate_Uscite!K37</f>
        <v>0</v>
      </c>
      <c r="F17" s="60">
        <f>Entrate_Uscite!N37</f>
        <v>0</v>
      </c>
      <c r="G17" s="60">
        <f>Entrate_Uscite!Q37</f>
        <v>0</v>
      </c>
      <c r="H17" s="60">
        <f>Entrate_Uscite!T37</f>
        <v>0</v>
      </c>
      <c r="I17" s="60">
        <f t="shared" si="0"/>
        <v>0</v>
      </c>
      <c r="J17" s="61" t="str">
        <f t="shared" si="1"/>
        <v>-</v>
      </c>
      <c r="K17" s="60">
        <f>Entrate_Uscite!U37</f>
        <v>0</v>
      </c>
      <c r="L17" s="62" t="str">
        <f t="shared" si="2"/>
        <v>-</v>
      </c>
    </row>
    <row r="18" spans="1:12" x14ac:dyDescent="0.3">
      <c r="A18" s="63" t="s">
        <v>286</v>
      </c>
      <c r="B18" s="60">
        <f>Entrate_Uscite!B38</f>
        <v>0</v>
      </c>
      <c r="C18" s="60">
        <f>Entrate_Uscite!E38</f>
        <v>90616.69</v>
      </c>
      <c r="D18" s="60">
        <f>Entrate_Uscite!H38</f>
        <v>0</v>
      </c>
      <c r="E18" s="60">
        <f>Entrate_Uscite!K38</f>
        <v>151233.38</v>
      </c>
      <c r="F18" s="60">
        <f>Entrate_Uscite!N38</f>
        <v>1723820.98</v>
      </c>
      <c r="G18" s="60">
        <f>Entrate_Uscite!Q38</f>
        <v>235283.32</v>
      </c>
      <c r="H18" s="60">
        <f>Entrate_Uscite!T38</f>
        <v>0</v>
      </c>
      <c r="I18" s="60">
        <f t="shared" si="0"/>
        <v>0</v>
      </c>
      <c r="J18" s="61">
        <f t="shared" si="1"/>
        <v>-100</v>
      </c>
      <c r="K18" s="60">
        <f>Entrate_Uscite!U38</f>
        <v>0</v>
      </c>
      <c r="L18" s="62" t="str">
        <f t="shared" si="2"/>
        <v>-</v>
      </c>
    </row>
    <row r="19" spans="1:12" x14ac:dyDescent="0.3">
      <c r="A19" s="63" t="s">
        <v>287</v>
      </c>
      <c r="B19" s="60">
        <f>Entrate_Uscite!B39</f>
        <v>32153805.690000001</v>
      </c>
      <c r="C19" s="60">
        <f>Entrate_Uscite!E39</f>
        <v>17416034.52</v>
      </c>
      <c r="D19" s="60">
        <f>Entrate_Uscite!H39</f>
        <v>50419717.770000003</v>
      </c>
      <c r="E19" s="60">
        <f>Entrate_Uscite!K39</f>
        <v>20799833</v>
      </c>
      <c r="F19" s="60">
        <f>Entrate_Uscite!N39</f>
        <v>29323842.16</v>
      </c>
      <c r="G19" s="60">
        <f>Entrate_Uscite!Q39</f>
        <v>29866374.829999998</v>
      </c>
      <c r="H19" s="60">
        <f>Entrate_Uscite!T39</f>
        <v>10500000</v>
      </c>
      <c r="I19" s="60">
        <f t="shared" si="0"/>
        <v>0.70232066871836341</v>
      </c>
      <c r="J19" s="61">
        <f t="shared" si="1"/>
        <v>-64.843406473781272</v>
      </c>
      <c r="K19" s="60">
        <f>Entrate_Uscite!U39</f>
        <v>10500000</v>
      </c>
      <c r="L19" s="62">
        <f t="shared" si="2"/>
        <v>100</v>
      </c>
    </row>
    <row r="20" spans="1:12" x14ac:dyDescent="0.3">
      <c r="A20" s="4" t="s">
        <v>288</v>
      </c>
      <c r="B20" s="47">
        <f t="shared" ref="B20:H20" si="5">SUM(B16:B19)</f>
        <v>44242084.689999998</v>
      </c>
      <c r="C20" s="47">
        <f t="shared" si="5"/>
        <v>21307651.210000001</v>
      </c>
      <c r="D20" s="47">
        <f t="shared" si="5"/>
        <v>50434717.770000003</v>
      </c>
      <c r="E20" s="47">
        <f t="shared" si="5"/>
        <v>21832237.850000001</v>
      </c>
      <c r="F20" s="47">
        <f t="shared" si="5"/>
        <v>31127663.140000001</v>
      </c>
      <c r="G20" s="47">
        <f>SUM(G16:G19)</f>
        <v>30101658.149999999</v>
      </c>
      <c r="H20" s="47">
        <f t="shared" si="5"/>
        <v>10500000</v>
      </c>
      <c r="I20" s="47">
        <f t="shared" si="0"/>
        <v>0.70232066871836341</v>
      </c>
      <c r="J20" s="48">
        <f t="shared" si="1"/>
        <v>-65.118200639721238</v>
      </c>
      <c r="K20" s="47">
        <f>SUM(K16:K19)</f>
        <v>10500000</v>
      </c>
      <c r="L20" s="44">
        <f t="shared" si="2"/>
        <v>100</v>
      </c>
    </row>
    <row r="21" spans="1:12" x14ac:dyDescent="0.3">
      <c r="A21" s="51" t="s">
        <v>349</v>
      </c>
      <c r="B21" s="52">
        <f t="shared" ref="B21:H21" si="6">B10+B15+B20</f>
        <v>1188512700.54</v>
      </c>
      <c r="C21" s="52">
        <f t="shared" si="6"/>
        <v>1133763259.3500001</v>
      </c>
      <c r="D21" s="52">
        <f t="shared" si="6"/>
        <v>1382598675.2</v>
      </c>
      <c r="E21" s="52">
        <f t="shared" si="6"/>
        <v>1154248125.6499999</v>
      </c>
      <c r="F21" s="52">
        <f t="shared" si="6"/>
        <v>1214246728.45</v>
      </c>
      <c r="G21" s="52">
        <f>G10+G15+G20</f>
        <v>1234762327.1400001</v>
      </c>
      <c r="H21" s="52">
        <f t="shared" si="6"/>
        <v>1358096339.2699997</v>
      </c>
      <c r="I21" s="52">
        <f t="shared" si="0"/>
        <v>90.839917064768343</v>
      </c>
      <c r="J21" s="53">
        <f t="shared" si="1"/>
        <v>9.9884819466164174</v>
      </c>
      <c r="K21" s="52">
        <f>K10+K15+K20</f>
        <v>1051459045.4400001</v>
      </c>
      <c r="L21" s="54">
        <f t="shared" si="2"/>
        <v>77.421535942374859</v>
      </c>
    </row>
    <row r="22" spans="1:12" x14ac:dyDescent="0.3">
      <c r="A22" s="63" t="s">
        <v>289</v>
      </c>
      <c r="B22" s="64">
        <f>Entrate_Uscite!B40</f>
        <v>43014226.189999998</v>
      </c>
      <c r="C22" s="64">
        <f>Entrate_Uscite!E40</f>
        <v>45590937.119999997</v>
      </c>
      <c r="D22" s="64">
        <f>Entrate_Uscite!H40</f>
        <v>43439032.229999997</v>
      </c>
      <c r="E22" s="64">
        <f>Entrate_Uscite!K40</f>
        <v>46001131.240000002</v>
      </c>
      <c r="F22" s="64">
        <f>Entrate_Uscite!N40</f>
        <v>37518667.909999996</v>
      </c>
      <c r="G22" s="64">
        <f>Entrate_Uscite!Q40</f>
        <v>30275945.399999999</v>
      </c>
      <c r="H22" s="64">
        <f>Entrate_Uscite!T40</f>
        <v>33349220.329999998</v>
      </c>
      <c r="I22" s="64">
        <f t="shared" si="0"/>
        <v>2.2306520688953944</v>
      </c>
      <c r="J22" s="65">
        <f t="shared" si="1"/>
        <v>10.150880143944249</v>
      </c>
      <c r="K22" s="64">
        <f>Entrate_Uscite!U40</f>
        <v>0</v>
      </c>
      <c r="L22" s="62">
        <f t="shared" si="2"/>
        <v>0</v>
      </c>
    </row>
    <row r="23" spans="1:12" x14ac:dyDescent="0.3">
      <c r="A23" s="63" t="s">
        <v>290</v>
      </c>
      <c r="B23" s="64">
        <f>Entrate_Uscite!B41</f>
        <v>13277762.380000001</v>
      </c>
      <c r="C23" s="64">
        <f>Entrate_Uscite!E41</f>
        <v>13292728.93</v>
      </c>
      <c r="D23" s="64">
        <f>Entrate_Uscite!H41</f>
        <v>13587239.02</v>
      </c>
      <c r="E23" s="64">
        <f>Entrate_Uscite!K41</f>
        <v>170490214.84</v>
      </c>
      <c r="F23" s="64">
        <f>Entrate_Uscite!N41</f>
        <v>142398689.83000001</v>
      </c>
      <c r="G23" s="64">
        <f>Entrate_Uscite!Q41</f>
        <v>0</v>
      </c>
      <c r="H23" s="64">
        <f>Entrate_Uscite!T41</f>
        <v>0</v>
      </c>
      <c r="I23" s="64">
        <f t="shared" si="0"/>
        <v>0</v>
      </c>
      <c r="J23" s="65" t="str">
        <f t="shared" si="1"/>
        <v>-</v>
      </c>
      <c r="K23" s="64">
        <f>Entrate_Uscite!U41</f>
        <v>0</v>
      </c>
      <c r="L23" s="62" t="str">
        <f t="shared" si="2"/>
        <v>-</v>
      </c>
    </row>
    <row r="24" spans="1:12" x14ac:dyDescent="0.3">
      <c r="A24" s="63" t="s">
        <v>291</v>
      </c>
      <c r="B24" s="64">
        <f>Entrate_Uscite!B42</f>
        <v>83838925.180000007</v>
      </c>
      <c r="C24" s="64">
        <f>Entrate_Uscite!E42</f>
        <v>75238249.469999999</v>
      </c>
      <c r="D24" s="64">
        <f>Entrate_Uscite!H42</f>
        <v>78577134.189999998</v>
      </c>
      <c r="E24" s="64">
        <f>Entrate_Uscite!K42</f>
        <v>82341302.609999999</v>
      </c>
      <c r="F24" s="64">
        <f>Entrate_Uscite!N42</f>
        <v>47277630.82</v>
      </c>
      <c r="G24" s="64">
        <f>Entrate_Uscite!Q42</f>
        <v>79350009.989999995</v>
      </c>
      <c r="H24" s="64">
        <f>Entrate_Uscite!T42</f>
        <v>103598010.62</v>
      </c>
      <c r="I24" s="64">
        <f t="shared" si="0"/>
        <v>6.9294308663362409</v>
      </c>
      <c r="J24" s="65">
        <f t="shared" si="1"/>
        <v>30.558283021080712</v>
      </c>
      <c r="K24" s="64">
        <f>Entrate_Uscite!U42</f>
        <v>0</v>
      </c>
      <c r="L24" s="62">
        <f t="shared" si="2"/>
        <v>0</v>
      </c>
    </row>
    <row r="25" spans="1:12" x14ac:dyDescent="0.3">
      <c r="A25" s="63" t="s">
        <v>292</v>
      </c>
      <c r="B25" s="64">
        <f>Entrate_Uscite!B43</f>
        <v>0</v>
      </c>
      <c r="C25" s="64">
        <f>Entrate_Uscite!E43</f>
        <v>0</v>
      </c>
      <c r="D25" s="64">
        <f>Entrate_Uscite!H43</f>
        <v>0</v>
      </c>
      <c r="E25" s="64">
        <f>Entrate_Uscite!K43</f>
        <v>0</v>
      </c>
      <c r="F25" s="64">
        <f>Entrate_Uscite!N43</f>
        <v>0</v>
      </c>
      <c r="G25" s="64">
        <f>Entrate_Uscite!Q43</f>
        <v>0</v>
      </c>
      <c r="H25" s="64">
        <f>Entrate_Uscite!T43</f>
        <v>0</v>
      </c>
      <c r="I25" s="64">
        <f t="shared" si="0"/>
        <v>0</v>
      </c>
      <c r="J25" s="65" t="str">
        <f t="shared" si="1"/>
        <v>-</v>
      </c>
      <c r="K25" s="64">
        <f>Entrate_Uscite!U43</f>
        <v>0</v>
      </c>
      <c r="L25" s="62" t="str">
        <f t="shared" si="2"/>
        <v>-</v>
      </c>
    </row>
    <row r="26" spans="1:12" x14ac:dyDescent="0.3">
      <c r="A26" s="63" t="s">
        <v>293</v>
      </c>
      <c r="B26" s="64">
        <f>Entrate_Uscite!B44</f>
        <v>0</v>
      </c>
      <c r="C26" s="64">
        <f>Entrate_Uscite!E44</f>
        <v>0</v>
      </c>
      <c r="D26" s="64">
        <f>Entrate_Uscite!H44</f>
        <v>0</v>
      </c>
      <c r="E26" s="64">
        <f>Entrate_Uscite!K44</f>
        <v>0</v>
      </c>
      <c r="F26" s="64">
        <f>Entrate_Uscite!N44</f>
        <v>0</v>
      </c>
      <c r="G26" s="64">
        <f>Entrate_Uscite!Q44</f>
        <v>0</v>
      </c>
      <c r="H26" s="64">
        <f>Entrate_Uscite!T44</f>
        <v>0</v>
      </c>
      <c r="I26" s="64">
        <f t="shared" si="0"/>
        <v>0</v>
      </c>
      <c r="J26" s="65" t="str">
        <f t="shared" si="1"/>
        <v>-</v>
      </c>
      <c r="K26" s="64">
        <f>Entrate_Uscite!U44</f>
        <v>0</v>
      </c>
      <c r="L26" s="62" t="str">
        <f t="shared" si="2"/>
        <v>-</v>
      </c>
    </row>
    <row r="27" spans="1:12" x14ac:dyDescent="0.3">
      <c r="A27" s="4" t="s">
        <v>294</v>
      </c>
      <c r="B27" s="47">
        <f t="shared" ref="B27:H27" si="7">SUM(B22:B26)</f>
        <v>140130913.75</v>
      </c>
      <c r="C27" s="47">
        <f t="shared" si="7"/>
        <v>134121915.52</v>
      </c>
      <c r="D27" s="47">
        <f t="shared" si="7"/>
        <v>135603405.44</v>
      </c>
      <c r="E27" s="47">
        <f t="shared" si="7"/>
        <v>298832648.69</v>
      </c>
      <c r="F27" s="47">
        <f t="shared" si="7"/>
        <v>227194988.56</v>
      </c>
      <c r="G27" s="47">
        <f>SUM(G22:G26)</f>
        <v>109625955.38999999</v>
      </c>
      <c r="H27" s="47">
        <f t="shared" si="7"/>
        <v>136947230.94999999</v>
      </c>
      <c r="I27" s="47">
        <f t="shared" si="0"/>
        <v>9.1600829352316335</v>
      </c>
      <c r="J27" s="48">
        <f t="shared" si="1"/>
        <v>24.922269058274708</v>
      </c>
      <c r="K27" s="47">
        <f>SUM(K22:K26)</f>
        <v>0</v>
      </c>
      <c r="L27" s="49">
        <f t="shared" si="2"/>
        <v>0</v>
      </c>
    </row>
    <row r="28" spans="1:12" x14ac:dyDescent="0.3">
      <c r="A28" s="4" t="s">
        <v>295</v>
      </c>
      <c r="B28" s="47">
        <f>Entrate_Uscite!B52</f>
        <v>823694743.57000005</v>
      </c>
      <c r="C28" s="47">
        <f>Entrate_Uscite!E52</f>
        <v>750499922.92999995</v>
      </c>
      <c r="D28" s="47">
        <f>Entrate_Uscite!H52</f>
        <v>1168125709.5</v>
      </c>
      <c r="E28" s="47">
        <f>Entrate_Uscite!K52</f>
        <v>1310565170.21</v>
      </c>
      <c r="F28" s="47">
        <f>Entrate_Uscite!N52</f>
        <v>1139059874.55</v>
      </c>
      <c r="G28" s="47">
        <f>Entrate_Uscite!Q52</f>
        <v>700491748.45000005</v>
      </c>
      <c r="H28" s="47">
        <f>Entrate_Uscite!T52</f>
        <v>0</v>
      </c>
      <c r="I28" s="47">
        <f t="shared" si="0"/>
        <v>0</v>
      </c>
      <c r="J28" s="48">
        <f t="shared" si="1"/>
        <v>-100</v>
      </c>
      <c r="K28" s="47">
        <f>Entrate_Uscite!U52</f>
        <v>0</v>
      </c>
      <c r="L28" s="49" t="str">
        <f t="shared" si="2"/>
        <v>-</v>
      </c>
    </row>
    <row r="29" spans="1:12" x14ac:dyDescent="0.3">
      <c r="A29" s="4" t="s">
        <v>296</v>
      </c>
      <c r="B29" s="47">
        <f>Entrate_Uscite!B53</f>
        <v>193259658.41000003</v>
      </c>
      <c r="C29" s="47">
        <f>Entrate_Uscite!E53</f>
        <v>238530886.03999999</v>
      </c>
      <c r="D29" s="47">
        <f>Entrate_Uscite!H53</f>
        <v>250576834.81999999</v>
      </c>
      <c r="E29" s="47">
        <f>Entrate_Uscite!K53</f>
        <v>224819751.33999997</v>
      </c>
      <c r="F29" s="47">
        <f>Entrate_Uscite!N53</f>
        <v>189842385.16999999</v>
      </c>
      <c r="G29" s="47">
        <f>Entrate_Uscite!Q53</f>
        <v>782205002.43999994</v>
      </c>
      <c r="H29" s="47">
        <f>Entrate_Uscite!T53</f>
        <v>1008552631.3199999</v>
      </c>
      <c r="I29" s="47"/>
      <c r="J29" s="48">
        <f t="shared" si="1"/>
        <v>28.9371236662939</v>
      </c>
      <c r="K29" s="47">
        <f>Entrate_Uscite!U53</f>
        <v>992374261.99000001</v>
      </c>
      <c r="L29" s="49">
        <f t="shared" si="2"/>
        <v>98.39588249263447</v>
      </c>
    </row>
    <row r="30" spans="1:12" x14ac:dyDescent="0.3">
      <c r="A30" s="51" t="s">
        <v>69</v>
      </c>
      <c r="B30" s="52">
        <f t="shared" ref="B30:H30" si="8">B10+B15+B20+B27+B28+B29</f>
        <v>2345598016.27</v>
      </c>
      <c r="C30" s="52">
        <f t="shared" si="8"/>
        <v>2256915983.8400002</v>
      </c>
      <c r="D30" s="52">
        <f t="shared" si="8"/>
        <v>2936904624.9600005</v>
      </c>
      <c r="E30" s="52">
        <f t="shared" si="8"/>
        <v>2988465695.8900003</v>
      </c>
      <c r="F30" s="52">
        <f t="shared" si="8"/>
        <v>2770343976.73</v>
      </c>
      <c r="G30" s="52">
        <f>G10+G15+G20+G27+G28+G29</f>
        <v>2827085033.4200001</v>
      </c>
      <c r="H30" s="52">
        <f t="shared" si="8"/>
        <v>2503596201.54</v>
      </c>
      <c r="I30" s="52"/>
      <c r="J30" s="53">
        <f t="shared" si="1"/>
        <v>-11.442486803754434</v>
      </c>
      <c r="K30" s="52">
        <f>K10+K15+K20+K27+K28+K29</f>
        <v>2043833307.4300001</v>
      </c>
      <c r="L30" s="54">
        <f t="shared" si="2"/>
        <v>81.6359006365646</v>
      </c>
    </row>
    <row r="31" spans="1:12" x14ac:dyDescent="0.3">
      <c r="A31" s="42" t="s">
        <v>70</v>
      </c>
      <c r="B31" s="55">
        <f t="shared" ref="B31:H31" si="9">B30-B29</f>
        <v>2152338357.8600001</v>
      </c>
      <c r="C31" s="55">
        <f t="shared" si="9"/>
        <v>2018385097.8000002</v>
      </c>
      <c r="D31" s="55">
        <f t="shared" si="9"/>
        <v>2686327790.1400003</v>
      </c>
      <c r="E31" s="55">
        <f t="shared" si="9"/>
        <v>2763645944.5500002</v>
      </c>
      <c r="F31" s="55">
        <f t="shared" si="9"/>
        <v>2580501591.5599999</v>
      </c>
      <c r="G31" s="55">
        <f>G30-G29</f>
        <v>2044880030.98</v>
      </c>
      <c r="H31" s="55">
        <f t="shared" si="9"/>
        <v>1495043570.22</v>
      </c>
      <c r="I31" s="55">
        <f>H31/H$31*100</f>
        <v>100</v>
      </c>
      <c r="J31" s="56">
        <f t="shared" si="1"/>
        <v>-26.888445895600682</v>
      </c>
      <c r="K31" s="55">
        <f>K30-K29</f>
        <v>1051459045.4400001</v>
      </c>
      <c r="L31" s="57">
        <f t="shared" si="2"/>
        <v>70.329659040323136</v>
      </c>
    </row>
    <row r="32" spans="1:12" x14ac:dyDescent="0.3">
      <c r="K32" s="6"/>
    </row>
    <row r="33" spans="11:11" x14ac:dyDescent="0.3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sqref="A1:J6"/>
    </sheetView>
  </sheetViews>
  <sheetFormatPr defaultRowHeight="14.4" x14ac:dyDescent="0.3"/>
  <cols>
    <col min="1" max="1" width="50.6640625" bestFit="1" customWidth="1"/>
    <col min="2" max="8" width="11.5546875" bestFit="1" customWidth="1"/>
    <col min="9" max="9" width="12.21875" bestFit="1" customWidth="1"/>
    <col min="10" max="10" width="11.5546875" bestFit="1" customWidth="1"/>
  </cols>
  <sheetData>
    <row r="1" spans="1:10" x14ac:dyDescent="0.3">
      <c r="A1" s="45"/>
      <c r="B1" s="46">
        <v>2016</v>
      </c>
      <c r="C1" s="46">
        <v>2017</v>
      </c>
      <c r="D1" s="46">
        <v>2018</v>
      </c>
      <c r="E1" s="46">
        <v>2019</v>
      </c>
      <c r="F1" s="46">
        <v>2020</v>
      </c>
      <c r="G1" s="46">
        <v>2021</v>
      </c>
      <c r="H1" s="46">
        <v>2022</v>
      </c>
      <c r="I1" s="46" t="s">
        <v>266</v>
      </c>
      <c r="J1" s="46" t="s">
        <v>340</v>
      </c>
    </row>
    <row r="2" spans="1:10" x14ac:dyDescent="0.3">
      <c r="A2" s="66" t="s">
        <v>298</v>
      </c>
      <c r="B2" s="68">
        <f>Entrate_Uscite!B56</f>
        <v>176149427.1099999</v>
      </c>
      <c r="C2" s="68">
        <f>Entrate_Uscite!E56</f>
        <v>234400563.08999979</v>
      </c>
      <c r="D2" s="68">
        <f>Entrate_Uscite!H56</f>
        <v>241623238.21000004</v>
      </c>
      <c r="E2" s="68">
        <f>Entrate_Uscite!K56</f>
        <v>226069154.39999986</v>
      </c>
      <c r="F2" s="68">
        <f>Entrate_Uscite!N56</f>
        <v>238938063.75</v>
      </c>
      <c r="G2" s="68">
        <f>Entrate_Uscite!Q56</f>
        <v>459738154.23999989</v>
      </c>
      <c r="H2" s="68">
        <f>Entrate_Uscite!T56</f>
        <v>247611671.13000011</v>
      </c>
      <c r="I2" s="68">
        <f>H2-G2</f>
        <v>-212126483.10999978</v>
      </c>
      <c r="J2" s="68">
        <f>Entrate_Uscite!U56</f>
        <v>157154872.17999995</v>
      </c>
    </row>
    <row r="3" spans="1:10" x14ac:dyDescent="0.3">
      <c r="A3" s="66" t="s">
        <v>72</v>
      </c>
      <c r="B3" s="69">
        <f>Entrate_Uscite!B57</f>
        <v>-2705236.3600000143</v>
      </c>
      <c r="C3" s="69">
        <f>Entrate_Uscite!E57</f>
        <v>-11588035</v>
      </c>
      <c r="D3" s="69">
        <f>Entrate_Uscite!H57</f>
        <v>-29470730.900000006</v>
      </c>
      <c r="E3" s="69">
        <f>Entrate_Uscite!K57</f>
        <v>-17786495.979999989</v>
      </c>
      <c r="F3" s="69">
        <f>Entrate_Uscite!N57</f>
        <v>-27583997.819999993</v>
      </c>
      <c r="G3" s="69">
        <f>Entrate_Uscite!Q57</f>
        <v>26534136.979999989</v>
      </c>
      <c r="H3" s="69">
        <f>Entrate_Uscite!T57</f>
        <v>-31940294.380000025</v>
      </c>
      <c r="I3" s="68">
        <f>H3-G3</f>
        <v>-58474431.360000014</v>
      </c>
      <c r="J3" s="68">
        <f>Entrate_Uscite!U57</f>
        <v>-10494221.289999992</v>
      </c>
    </row>
    <row r="4" spans="1:10" x14ac:dyDescent="0.3">
      <c r="A4" s="66" t="s">
        <v>301</v>
      </c>
      <c r="B4" s="69">
        <f>Entrate_Uscite!B16-Entrate_Uscite!B50</f>
        <v>-10927278.999999996</v>
      </c>
      <c r="C4" s="69">
        <f>Entrate_Uscite!E16-Entrate_Uscite!E50</f>
        <v>10510000</v>
      </c>
      <c r="D4" s="69">
        <f>Entrate_Uscite!H16-Entrate_Uscite!H50</f>
        <v>6517383.1999999955</v>
      </c>
      <c r="E4" s="69">
        <f>Entrate_Uscite!K16-Entrate_Uscite!K50</f>
        <v>16119846.619999997</v>
      </c>
      <c r="F4" s="69">
        <f>Entrate_Uscite!N16-Entrate_Uscite!N50</f>
        <v>10146683.599999994</v>
      </c>
      <c r="G4" s="69">
        <f>Entrate_Uscite!Q16-Entrate_Uscite!Q50</f>
        <v>3350600.5300000012</v>
      </c>
      <c r="H4" s="69">
        <f>Entrate_Uscite!T16-Entrate_Uscite!T50</f>
        <v>788000</v>
      </c>
      <c r="I4" s="68">
        <f>H4-G4</f>
        <v>-2562600.5300000012</v>
      </c>
      <c r="J4" s="69">
        <f>Entrate_Uscite!U16-Entrate_Uscite!U50</f>
        <v>-9712000</v>
      </c>
    </row>
    <row r="5" spans="1:10" x14ac:dyDescent="0.3">
      <c r="A5" s="51" t="s">
        <v>299</v>
      </c>
      <c r="B5" s="70">
        <f>Entrate_Uscite!B58</f>
        <v>162516911.75</v>
      </c>
      <c r="C5" s="70">
        <f>Entrate_Uscite!E58</f>
        <v>233322528.08999968</v>
      </c>
      <c r="D5" s="70">
        <f>Entrate_Uscite!H58</f>
        <v>218669890.50999999</v>
      </c>
      <c r="E5" s="70">
        <f>Entrate_Uscite!K58</f>
        <v>224402505.0400002</v>
      </c>
      <c r="F5" s="70">
        <f>Entrate_Uscite!N58</f>
        <v>221500749.52999997</v>
      </c>
      <c r="G5" s="70">
        <f>Entrate_Uscite!Q58</f>
        <v>489622891.75</v>
      </c>
      <c r="H5" s="70">
        <f>Entrate_Uscite!T58</f>
        <v>216459376.75000024</v>
      </c>
      <c r="I5" s="70">
        <f>H5-G5</f>
        <v>-273163514.99999976</v>
      </c>
      <c r="J5" s="70">
        <f>Entrate_Uscite!U58</f>
        <v>136948650.88999987</v>
      </c>
    </row>
    <row r="6" spans="1:10" x14ac:dyDescent="0.3">
      <c r="A6" s="42" t="s">
        <v>300</v>
      </c>
      <c r="B6" s="71">
        <f>Entrate_Uscite!B59</f>
        <v>67479948.139999866</v>
      </c>
      <c r="C6" s="71">
        <f>Entrate_Uscite!E59</f>
        <v>123932441.13999939</v>
      </c>
      <c r="D6" s="71">
        <f>Entrate_Uscite!H59</f>
        <v>99705094.460000038</v>
      </c>
      <c r="E6" s="71">
        <f>Entrate_Uscite!K59</f>
        <v>103570189.38000011</v>
      </c>
      <c r="F6" s="71">
        <f>Entrate_Uscite!N59</f>
        <v>372941794.91000032</v>
      </c>
      <c r="G6" s="71">
        <f>Entrate_Uscite!Q59</f>
        <v>409863311.19000006</v>
      </c>
      <c r="H6" s="71">
        <f>Entrate_Uscite!T59</f>
        <v>90012145.799999952</v>
      </c>
      <c r="I6" s="71">
        <f>H6-G6</f>
        <v>-319851165.3900001</v>
      </c>
      <c r="J6" s="71">
        <f>Entrate_Uscite!U59</f>
        <v>17940701.979999781</v>
      </c>
    </row>
    <row r="7" spans="1:10" x14ac:dyDescent="0.3">
      <c r="J7" s="6"/>
    </row>
    <row r="8" spans="1:10" x14ac:dyDescent="0.3">
      <c r="J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B11" sqref="B11"/>
    </sheetView>
  </sheetViews>
  <sheetFormatPr defaultRowHeight="14.4" x14ac:dyDescent="0.3"/>
  <cols>
    <col min="1" max="1" width="33.44140625" bestFit="1" customWidth="1"/>
    <col min="2" max="2" width="13.77734375" bestFit="1" customWidth="1"/>
    <col min="3" max="4" width="12.5546875" bestFit="1" customWidth="1"/>
    <col min="5" max="5" width="11.88671875" customWidth="1"/>
    <col min="6" max="6" width="10.88671875" customWidth="1"/>
    <col min="7" max="8" width="11.109375" bestFit="1" customWidth="1"/>
    <col min="9" max="9" width="12" bestFit="1" customWidth="1"/>
  </cols>
  <sheetData>
    <row r="1" spans="1:6" x14ac:dyDescent="0.3">
      <c r="A1" s="13">
        <v>2022</v>
      </c>
      <c r="B1" s="13" t="s">
        <v>369</v>
      </c>
      <c r="C1" s="13" t="s">
        <v>370</v>
      </c>
      <c r="D1" s="13" t="s">
        <v>371</v>
      </c>
      <c r="E1" s="13" t="s">
        <v>372</v>
      </c>
      <c r="F1" s="13" t="s">
        <v>373</v>
      </c>
    </row>
    <row r="2" spans="1:6" x14ac:dyDescent="0.3">
      <c r="A2" t="s">
        <v>374</v>
      </c>
      <c r="B2" s="98">
        <v>79203300.709999993</v>
      </c>
      <c r="C2" s="98">
        <v>59880212.859999999</v>
      </c>
      <c r="D2" s="1">
        <f>B2-C2</f>
        <v>19323087.849999994</v>
      </c>
      <c r="E2" s="6">
        <f>IF(B2&gt;0,C2/B2*100,"-")</f>
        <v>75.603178558491166</v>
      </c>
      <c r="F2" s="6">
        <f>B2/B$11*100</f>
        <v>33.212042660369562</v>
      </c>
    </row>
    <row r="3" spans="1:6" x14ac:dyDescent="0.3">
      <c r="A3" t="s">
        <v>375</v>
      </c>
      <c r="B3" s="98">
        <v>33696420.850000001</v>
      </c>
      <c r="C3" s="98">
        <v>25829068.18</v>
      </c>
      <c r="D3" s="1">
        <f t="shared" ref="D3:D11" si="0">B3-C3</f>
        <v>7867352.6700000018</v>
      </c>
      <c r="E3" s="6">
        <f t="shared" ref="E3:E11" si="1">IF(B3&gt;0,C3/B3*100,"-")</f>
        <v>76.652260176172376</v>
      </c>
      <c r="F3" s="6">
        <f t="shared" ref="F3:F11" si="2">B3/B$11*100</f>
        <v>14.129802126171597</v>
      </c>
    </row>
    <row r="4" spans="1:6" x14ac:dyDescent="0.3">
      <c r="A4" t="s">
        <v>376</v>
      </c>
      <c r="B4" s="98">
        <v>13614692.960000001</v>
      </c>
      <c r="C4" s="98">
        <v>7241520.54</v>
      </c>
      <c r="D4" s="1">
        <f t="shared" si="0"/>
        <v>6373172.4200000009</v>
      </c>
      <c r="E4" s="6">
        <f t="shared" si="1"/>
        <v>53.189011028567478</v>
      </c>
      <c r="F4" s="6">
        <f t="shared" si="2"/>
        <v>5.7090015105678944</v>
      </c>
    </row>
    <row r="5" spans="1:6" x14ac:dyDescent="0.3">
      <c r="A5" t="s">
        <v>377</v>
      </c>
      <c r="B5" s="98">
        <v>38075194.270000003</v>
      </c>
      <c r="C5" s="98">
        <v>16418786.199999999</v>
      </c>
      <c r="D5" s="1">
        <f t="shared" si="0"/>
        <v>21656408.070000004</v>
      </c>
      <c r="E5" s="6">
        <f t="shared" si="1"/>
        <v>43.12200243436866</v>
      </c>
      <c r="F5" s="6">
        <f t="shared" si="2"/>
        <v>15.965937846797834</v>
      </c>
    </row>
    <row r="6" spans="1:6" x14ac:dyDescent="0.3">
      <c r="A6" t="s">
        <v>378</v>
      </c>
      <c r="B6" s="98">
        <v>11565510.07</v>
      </c>
      <c r="C6" s="98">
        <v>3822797.93</v>
      </c>
      <c r="D6" s="1">
        <f t="shared" si="0"/>
        <v>7742712.1400000006</v>
      </c>
      <c r="E6" s="6">
        <f t="shared" si="1"/>
        <v>33.053431339064147</v>
      </c>
      <c r="F6" s="6">
        <f t="shared" si="2"/>
        <v>4.8497248270017685</v>
      </c>
    </row>
    <row r="7" spans="1:6" x14ac:dyDescent="0.3">
      <c r="A7" t="s">
        <v>379</v>
      </c>
      <c r="B7" s="98">
        <v>14216800.140000001</v>
      </c>
      <c r="C7" s="98">
        <v>13812126.050000001</v>
      </c>
      <c r="D7" s="1">
        <f t="shared" si="0"/>
        <v>404674.08999999985</v>
      </c>
      <c r="E7" s="6">
        <f t="shared" si="1"/>
        <v>97.1535501236919</v>
      </c>
      <c r="F7" s="6">
        <f t="shared" si="2"/>
        <v>5.9614810053492278</v>
      </c>
    </row>
    <row r="8" spans="1:6" x14ac:dyDescent="0.3">
      <c r="A8" t="s">
        <v>380</v>
      </c>
      <c r="B8" s="98">
        <v>45962362.979999997</v>
      </c>
      <c r="C8" s="98">
        <v>39381747.200000003</v>
      </c>
      <c r="D8" s="1">
        <f t="shared" si="0"/>
        <v>6580615.7799999937</v>
      </c>
      <c r="E8" s="124">
        <f t="shared" si="1"/>
        <v>85.682599080331272</v>
      </c>
      <c r="F8" s="6">
        <f t="shared" si="2"/>
        <v>19.273236675481357</v>
      </c>
    </row>
    <row r="9" spans="1:6" x14ac:dyDescent="0.3">
      <c r="A9" t="s">
        <v>381</v>
      </c>
      <c r="B9" s="98">
        <v>0</v>
      </c>
      <c r="C9" s="98">
        <v>0</v>
      </c>
      <c r="D9" s="1">
        <f t="shared" si="0"/>
        <v>0</v>
      </c>
      <c r="E9" s="124" t="str">
        <f t="shared" si="1"/>
        <v>-</v>
      </c>
      <c r="F9" s="6">
        <f t="shared" si="2"/>
        <v>0</v>
      </c>
    </row>
    <row r="10" spans="1:6" x14ac:dyDescent="0.3">
      <c r="A10" t="s">
        <v>382</v>
      </c>
      <c r="B10" s="98">
        <v>2143373.61</v>
      </c>
      <c r="C10" s="98">
        <v>1488499.23</v>
      </c>
      <c r="D10" s="1">
        <f t="shared" si="0"/>
        <v>654874.37999999989</v>
      </c>
      <c r="E10" s="6">
        <f t="shared" si="1"/>
        <v>69.446559529115419</v>
      </c>
      <c r="F10" s="6">
        <f t="shared" si="2"/>
        <v>0.89877334826075717</v>
      </c>
    </row>
    <row r="11" spans="1:6" x14ac:dyDescent="0.3">
      <c r="A11" s="4" t="s">
        <v>207</v>
      </c>
      <c r="B11" s="3">
        <f>SUM(B2:B10)</f>
        <v>238477655.59</v>
      </c>
      <c r="C11" s="3">
        <f>SUM(C2:C10)</f>
        <v>167874758.19</v>
      </c>
      <c r="D11" s="3">
        <f t="shared" si="0"/>
        <v>70602897.400000006</v>
      </c>
      <c r="E11" s="125">
        <f t="shared" si="1"/>
        <v>70.394334334876547</v>
      </c>
      <c r="F11" s="125">
        <f t="shared" si="2"/>
        <v>100</v>
      </c>
    </row>
    <row r="12" spans="1:6" x14ac:dyDescent="0.3">
      <c r="A12" s="126" t="s">
        <v>383</v>
      </c>
      <c r="B12" s="127">
        <v>1358096339</v>
      </c>
      <c r="C12" s="123"/>
      <c r="D12" s="123"/>
      <c r="E12" s="123"/>
      <c r="F12" s="128">
        <f>B11/B12*100</f>
        <v>17.559700938859539</v>
      </c>
    </row>
    <row r="14" spans="1:6" x14ac:dyDescent="0.3">
      <c r="A14" s="13">
        <v>2021</v>
      </c>
      <c r="B14" s="13" t="s">
        <v>369</v>
      </c>
      <c r="C14" s="13" t="s">
        <v>370</v>
      </c>
      <c r="D14" s="13" t="s">
        <v>371</v>
      </c>
      <c r="E14" s="13" t="s">
        <v>372</v>
      </c>
      <c r="F14" s="13" t="s">
        <v>373</v>
      </c>
    </row>
    <row r="15" spans="1:6" x14ac:dyDescent="0.3">
      <c r="A15" t="s">
        <v>374</v>
      </c>
      <c r="B15" s="98">
        <v>69195697.650000006</v>
      </c>
      <c r="C15" s="98">
        <v>50472633.460000001</v>
      </c>
      <c r="D15" s="1">
        <f>B15-C15</f>
        <v>18723064.190000005</v>
      </c>
      <c r="E15" s="6">
        <f>IF(B15&gt;0,C15/B15*100,"-")</f>
        <v>72.94186658149836</v>
      </c>
      <c r="F15" s="6">
        <f>B15/B$11*100</f>
        <v>29.015589522971464</v>
      </c>
    </row>
    <row r="16" spans="1:6" x14ac:dyDescent="0.3">
      <c r="A16" t="s">
        <v>375</v>
      </c>
      <c r="B16" s="98">
        <v>31250736.52</v>
      </c>
      <c r="C16" s="98">
        <v>20425551.350000001</v>
      </c>
      <c r="D16" s="1">
        <f t="shared" ref="D16:D24" si="3">B16-C16</f>
        <v>10825185.169999998</v>
      </c>
      <c r="E16" s="6">
        <f t="shared" ref="E16:E24" si="4">IF(B16&gt;0,C16/B16*100,"-")</f>
        <v>65.360223868413343</v>
      </c>
      <c r="F16" s="6">
        <f t="shared" ref="F16:F24" si="5">B16/B$11*100</f>
        <v>13.104261882600637</v>
      </c>
    </row>
    <row r="17" spans="1:6" x14ac:dyDescent="0.3">
      <c r="A17" t="s">
        <v>376</v>
      </c>
      <c r="B17" s="98">
        <v>15990441.73</v>
      </c>
      <c r="C17" s="98">
        <v>9134282.6099999994</v>
      </c>
      <c r="D17" s="1">
        <f t="shared" si="3"/>
        <v>6856159.120000001</v>
      </c>
      <c r="E17" s="6">
        <f t="shared" si="4"/>
        <v>57.123391362372324</v>
      </c>
      <c r="F17" s="6">
        <f t="shared" si="5"/>
        <v>6.7052159207281816</v>
      </c>
    </row>
    <row r="18" spans="1:6" x14ac:dyDescent="0.3">
      <c r="A18" t="s">
        <v>377</v>
      </c>
      <c r="B18" s="98">
        <v>37946481.869999997</v>
      </c>
      <c r="C18" s="98">
        <v>17540974.460000001</v>
      </c>
      <c r="D18" s="1">
        <f t="shared" si="3"/>
        <v>20405507.409999996</v>
      </c>
      <c r="E18" s="6">
        <f t="shared" si="4"/>
        <v>46.225561885007508</v>
      </c>
      <c r="F18" s="6">
        <f t="shared" si="5"/>
        <v>15.911965326948305</v>
      </c>
    </row>
    <row r="19" spans="1:6" x14ac:dyDescent="0.3">
      <c r="A19" t="s">
        <v>378</v>
      </c>
      <c r="B19" s="98">
        <v>7613176.9299999997</v>
      </c>
      <c r="C19" s="98">
        <v>3451498.49</v>
      </c>
      <c r="D19" s="1">
        <f t="shared" si="3"/>
        <v>4161678.4399999995</v>
      </c>
      <c r="E19" s="6">
        <f t="shared" si="4"/>
        <v>45.335850220415153</v>
      </c>
      <c r="F19" s="6">
        <f t="shared" si="5"/>
        <v>3.1924068152904299</v>
      </c>
    </row>
    <row r="20" spans="1:6" x14ac:dyDescent="0.3">
      <c r="A20" t="s">
        <v>379</v>
      </c>
      <c r="B20" s="98">
        <v>2192580.84</v>
      </c>
      <c r="C20" s="98">
        <v>2069273.18</v>
      </c>
      <c r="D20" s="1">
        <f t="shared" si="3"/>
        <v>123307.65999999992</v>
      </c>
      <c r="E20" s="6">
        <f t="shared" si="4"/>
        <v>94.376140767516702</v>
      </c>
      <c r="F20" s="6">
        <f t="shared" si="5"/>
        <v>0.91940724365790027</v>
      </c>
    </row>
    <row r="21" spans="1:6" x14ac:dyDescent="0.3">
      <c r="A21" t="s">
        <v>380</v>
      </c>
      <c r="B21" s="98">
        <v>42443004.75</v>
      </c>
      <c r="C21" s="98">
        <v>39460024.149999999</v>
      </c>
      <c r="D21" s="1">
        <f t="shared" si="3"/>
        <v>2982980.6000000015</v>
      </c>
      <c r="E21" s="124">
        <f t="shared" si="4"/>
        <v>92.971796842446679</v>
      </c>
      <c r="F21" s="6">
        <f t="shared" si="5"/>
        <v>17.797476516193893</v>
      </c>
    </row>
    <row r="22" spans="1:6" x14ac:dyDescent="0.3">
      <c r="A22" t="s">
        <v>381</v>
      </c>
      <c r="B22" s="98">
        <v>0</v>
      </c>
      <c r="C22" s="98">
        <v>0</v>
      </c>
      <c r="D22" s="1">
        <f t="shared" si="3"/>
        <v>0</v>
      </c>
      <c r="E22" s="124" t="str">
        <f t="shared" si="4"/>
        <v>-</v>
      </c>
      <c r="F22" s="6">
        <f t="shared" si="5"/>
        <v>0</v>
      </c>
    </row>
    <row r="23" spans="1:6" x14ac:dyDescent="0.3">
      <c r="A23" t="s">
        <v>382</v>
      </c>
      <c r="B23" s="98">
        <v>1935127.06</v>
      </c>
      <c r="C23" s="98">
        <v>1337637.45</v>
      </c>
      <c r="D23" s="1">
        <f t="shared" si="3"/>
        <v>597489.6100000001</v>
      </c>
      <c r="E23" s="6">
        <f t="shared" si="4"/>
        <v>69.124011422795149</v>
      </c>
      <c r="F23" s="6">
        <f t="shared" si="5"/>
        <v>0.81145005187695451</v>
      </c>
    </row>
    <row r="24" spans="1:6" x14ac:dyDescent="0.3">
      <c r="A24" s="4" t="s">
        <v>207</v>
      </c>
      <c r="B24" s="3">
        <f>SUM(B15:B23)</f>
        <v>208567247.35000002</v>
      </c>
      <c r="C24" s="3">
        <f>SUM(C15:C23)</f>
        <v>143891875.14999998</v>
      </c>
      <c r="D24" s="3">
        <f t="shared" si="3"/>
        <v>64675372.200000048</v>
      </c>
      <c r="E24" s="125">
        <f t="shared" si="4"/>
        <v>68.990638260921529</v>
      </c>
      <c r="F24" s="125">
        <f t="shared" si="5"/>
        <v>87.457773280267773</v>
      </c>
    </row>
    <row r="25" spans="1:6" x14ac:dyDescent="0.3">
      <c r="A25" s="126" t="s">
        <v>383</v>
      </c>
      <c r="B25" s="127">
        <v>1234762327.1400001</v>
      </c>
      <c r="C25" s="123"/>
      <c r="D25" s="123"/>
      <c r="E25" s="123"/>
      <c r="F25" s="128">
        <f>B24/B25*100</f>
        <v>16.89128691131117</v>
      </c>
    </row>
    <row r="27" spans="1:6" x14ac:dyDescent="0.3">
      <c r="A27" s="13">
        <v>2020</v>
      </c>
      <c r="B27" s="13" t="s">
        <v>369</v>
      </c>
      <c r="C27" s="13" t="s">
        <v>370</v>
      </c>
      <c r="D27" s="13" t="s">
        <v>371</v>
      </c>
      <c r="E27" s="13" t="s">
        <v>372</v>
      </c>
      <c r="F27" s="13" t="s">
        <v>373</v>
      </c>
    </row>
    <row r="28" spans="1:6" x14ac:dyDescent="0.3">
      <c r="A28" t="s">
        <v>374</v>
      </c>
      <c r="B28" s="1">
        <v>66509507.479999997</v>
      </c>
      <c r="C28" s="1">
        <v>46467884.130000003</v>
      </c>
      <c r="D28" s="1">
        <f>B28-C28</f>
        <v>20041623.349999994</v>
      </c>
      <c r="E28" s="6">
        <f>IF(B28&gt;0,C28/B28*100,"-")</f>
        <v>69.866528697379565</v>
      </c>
      <c r="F28" s="6">
        <f>B28/B$11*100</f>
        <v>27.889198807936001</v>
      </c>
    </row>
    <row r="29" spans="1:6" x14ac:dyDescent="0.3">
      <c r="A29" t="s">
        <v>375</v>
      </c>
      <c r="B29" s="1">
        <v>24946773.449999999</v>
      </c>
      <c r="C29" s="1">
        <v>16049729.609999999</v>
      </c>
      <c r="D29" s="1">
        <f t="shared" ref="D29:D37" si="6">B29-C29</f>
        <v>8897043.8399999999</v>
      </c>
      <c r="E29" s="6">
        <f t="shared" ref="E29:E37" si="7">IF(B29&gt;0,C29/B29*100,"-")</f>
        <v>64.335893546185233</v>
      </c>
      <c r="F29" s="6">
        <f t="shared" ref="F29:F37" si="8">B29/B$11*100</f>
        <v>10.460843129424861</v>
      </c>
    </row>
    <row r="30" spans="1:6" x14ac:dyDescent="0.3">
      <c r="A30" t="s">
        <v>376</v>
      </c>
      <c r="B30" s="1">
        <v>14663369.34</v>
      </c>
      <c r="C30" s="1">
        <v>9775725.8100000005</v>
      </c>
      <c r="D30" s="1">
        <f t="shared" si="6"/>
        <v>4887643.5299999993</v>
      </c>
      <c r="E30" s="6">
        <f t="shared" si="7"/>
        <v>66.667664049987025</v>
      </c>
      <c r="F30" s="6">
        <f t="shared" si="8"/>
        <v>6.1487393037819151</v>
      </c>
    </row>
    <row r="31" spans="1:6" x14ac:dyDescent="0.3">
      <c r="A31" t="s">
        <v>377</v>
      </c>
      <c r="B31" s="1">
        <v>37438335.740000002</v>
      </c>
      <c r="C31" s="1">
        <v>20098813.02</v>
      </c>
      <c r="D31" s="1">
        <f t="shared" si="6"/>
        <v>17339522.720000003</v>
      </c>
      <c r="E31" s="6">
        <f t="shared" si="7"/>
        <v>53.685113461189339</v>
      </c>
      <c r="F31" s="6">
        <f t="shared" si="8"/>
        <v>15.698886190144973</v>
      </c>
    </row>
    <row r="32" spans="1:6" x14ac:dyDescent="0.3">
      <c r="A32" t="s">
        <v>378</v>
      </c>
      <c r="B32" s="1">
        <v>4279923.22</v>
      </c>
      <c r="C32" s="1">
        <v>2207329.7599999998</v>
      </c>
      <c r="D32" s="1">
        <f t="shared" si="6"/>
        <v>2072593.46</v>
      </c>
      <c r="E32" s="14">
        <f t="shared" si="7"/>
        <v>51.574050433549601</v>
      </c>
      <c r="F32" s="6">
        <f t="shared" si="8"/>
        <v>1.7946852125040214</v>
      </c>
    </row>
    <row r="33" spans="1:8" x14ac:dyDescent="0.3">
      <c r="A33" t="s">
        <v>379</v>
      </c>
      <c r="B33" s="1">
        <v>11282242.74</v>
      </c>
      <c r="C33" s="1">
        <v>1709824.07</v>
      </c>
      <c r="D33" s="1">
        <f t="shared" si="6"/>
        <v>9572418.6699999999</v>
      </c>
      <c r="E33" s="6">
        <f t="shared" si="7"/>
        <v>15.155001619828647</v>
      </c>
      <c r="F33" s="6">
        <f t="shared" si="8"/>
        <v>4.7309433297167542</v>
      </c>
    </row>
    <row r="34" spans="1:8" x14ac:dyDescent="0.3">
      <c r="A34" t="s">
        <v>380</v>
      </c>
      <c r="B34" s="1">
        <v>44655881.890000001</v>
      </c>
      <c r="C34" s="1">
        <v>40391344.060000002</v>
      </c>
      <c r="D34" s="1">
        <f t="shared" si="6"/>
        <v>4264537.8299999982</v>
      </c>
      <c r="E34" s="124">
        <f t="shared" si="7"/>
        <v>90.450221450099775</v>
      </c>
      <c r="F34" s="6">
        <f t="shared" si="8"/>
        <v>18.725394536238699</v>
      </c>
    </row>
    <row r="35" spans="1:8" x14ac:dyDescent="0.3">
      <c r="A35" t="s">
        <v>381</v>
      </c>
      <c r="B35" s="1">
        <v>0</v>
      </c>
      <c r="C35" s="1">
        <v>0</v>
      </c>
      <c r="D35" s="1">
        <f t="shared" si="6"/>
        <v>0</v>
      </c>
      <c r="E35" s="124" t="str">
        <f t="shared" si="7"/>
        <v>-</v>
      </c>
      <c r="F35" s="6">
        <f t="shared" si="8"/>
        <v>0</v>
      </c>
    </row>
    <row r="36" spans="1:8" x14ac:dyDescent="0.3">
      <c r="A36" t="s">
        <v>382</v>
      </c>
      <c r="B36" s="1">
        <v>2094635.86</v>
      </c>
      <c r="C36" s="1">
        <v>1402269.97</v>
      </c>
      <c r="D36" s="1">
        <f t="shared" si="6"/>
        <v>692365.89000000013</v>
      </c>
      <c r="E36" s="6">
        <f t="shared" si="7"/>
        <v>66.945763546700661</v>
      </c>
      <c r="F36" s="6">
        <f t="shared" si="8"/>
        <v>0.87833631826756076</v>
      </c>
      <c r="H36" s="22"/>
    </row>
    <row r="37" spans="1:8" x14ac:dyDescent="0.3">
      <c r="A37" s="4" t="s">
        <v>207</v>
      </c>
      <c r="B37" s="3">
        <f>SUM(B28:B36)</f>
        <v>205870669.72000003</v>
      </c>
      <c r="C37" s="3">
        <f>SUM(C28:C36)</f>
        <v>138102920.42999998</v>
      </c>
      <c r="D37" s="3">
        <f t="shared" si="6"/>
        <v>67767749.290000051</v>
      </c>
      <c r="E37" s="125">
        <f t="shared" si="7"/>
        <v>67.082368079838943</v>
      </c>
      <c r="F37" s="125">
        <f t="shared" si="8"/>
        <v>86.327026828014795</v>
      </c>
      <c r="H37" s="22"/>
    </row>
    <row r="38" spans="1:8" x14ac:dyDescent="0.3">
      <c r="A38" s="123" t="s">
        <v>383</v>
      </c>
      <c r="B38" s="129">
        <v>1214246728.45</v>
      </c>
      <c r="C38" s="123"/>
      <c r="D38" s="123"/>
      <c r="E38" s="123"/>
      <c r="F38" s="128">
        <f>B37/B38*100</f>
        <v>16.954599497484033</v>
      </c>
      <c r="H38" s="22"/>
    </row>
    <row r="39" spans="1:8" x14ac:dyDescent="0.3">
      <c r="H39" s="7"/>
    </row>
    <row r="40" spans="1:8" x14ac:dyDescent="0.3">
      <c r="A40" s="13">
        <v>2019</v>
      </c>
      <c r="B40" s="13" t="s">
        <v>369</v>
      </c>
      <c r="C40" s="13" t="s">
        <v>370</v>
      </c>
      <c r="D40" s="13" t="s">
        <v>371</v>
      </c>
      <c r="H40" s="32"/>
    </row>
    <row r="41" spans="1:8" x14ac:dyDescent="0.3">
      <c r="A41" t="s">
        <v>374</v>
      </c>
      <c r="B41" s="1">
        <v>62671050.57</v>
      </c>
      <c r="C41" s="1">
        <v>48806330.539999999</v>
      </c>
      <c r="D41" s="1">
        <f>B41-C41</f>
        <v>13864720.030000001</v>
      </c>
      <c r="E41" s="6">
        <f>IF(B41&gt;0,C41/B41*100,"-")</f>
        <v>77.876994395500205</v>
      </c>
      <c r="F41" s="6">
        <f>B41/B$50*100</f>
        <v>32.927344916732643</v>
      </c>
      <c r="H41" s="32"/>
    </row>
    <row r="42" spans="1:8" x14ac:dyDescent="0.3">
      <c r="A42" t="s">
        <v>375</v>
      </c>
      <c r="B42" s="1">
        <v>31333582.440000001</v>
      </c>
      <c r="C42" s="1">
        <v>21015141.890000001</v>
      </c>
      <c r="D42" s="1">
        <f t="shared" ref="D42:D50" si="9">B42-C42</f>
        <v>10318440.550000001</v>
      </c>
      <c r="E42" s="6">
        <f t="shared" ref="E42:E50" si="10">IF(B42&gt;0,C42/B42*100,"-")</f>
        <v>67.069068563230644</v>
      </c>
      <c r="F42" s="6">
        <f t="shared" ref="F42:F50" si="11">B42/B$50*100</f>
        <v>16.462651688379975</v>
      </c>
    </row>
    <row r="43" spans="1:8" x14ac:dyDescent="0.3">
      <c r="A43" t="s">
        <v>376</v>
      </c>
      <c r="B43" s="1">
        <v>17980641.739999998</v>
      </c>
      <c r="C43" s="1">
        <v>9129665.3699999992</v>
      </c>
      <c r="D43" s="1">
        <f t="shared" si="9"/>
        <v>8850976.3699999992</v>
      </c>
      <c r="E43" s="6">
        <f t="shared" si="10"/>
        <v>50.774969559011971</v>
      </c>
      <c r="F43" s="6">
        <f t="shared" si="11"/>
        <v>9.4470219824365032</v>
      </c>
    </row>
    <row r="44" spans="1:8" x14ac:dyDescent="0.3">
      <c r="A44" t="s">
        <v>377</v>
      </c>
      <c r="B44" s="1">
        <v>24986483.809999999</v>
      </c>
      <c r="C44" s="1">
        <v>13554033.640000001</v>
      </c>
      <c r="D44" s="1">
        <f t="shared" si="9"/>
        <v>11432450.169999998</v>
      </c>
      <c r="E44" s="6">
        <f t="shared" si="10"/>
        <v>54.245462238970397</v>
      </c>
      <c r="F44" s="6">
        <f t="shared" si="11"/>
        <v>13.127888605429931</v>
      </c>
    </row>
    <row r="45" spans="1:8" x14ac:dyDescent="0.3">
      <c r="A45" t="s">
        <v>378</v>
      </c>
      <c r="B45" s="1">
        <v>4122009.95</v>
      </c>
      <c r="C45" s="1">
        <v>2657271.6800000002</v>
      </c>
      <c r="D45" s="1">
        <f t="shared" si="9"/>
        <v>1464738.27</v>
      </c>
      <c r="E45" s="14">
        <f t="shared" si="10"/>
        <v>64.465435848838752</v>
      </c>
      <c r="F45" s="6">
        <f t="shared" si="11"/>
        <v>2.1657023799569899</v>
      </c>
    </row>
    <row r="46" spans="1:8" x14ac:dyDescent="0.3">
      <c r="A46" t="s">
        <v>379</v>
      </c>
      <c r="B46" s="1">
        <v>676839.81</v>
      </c>
      <c r="C46" s="1">
        <v>370561.03</v>
      </c>
      <c r="D46" s="1">
        <f t="shared" si="9"/>
        <v>306278.78000000003</v>
      </c>
      <c r="E46" s="6">
        <f t="shared" si="10"/>
        <v>54.748704867108813</v>
      </c>
      <c r="F46" s="6">
        <f t="shared" si="11"/>
        <v>0.35561136560736278</v>
      </c>
    </row>
    <row r="47" spans="1:8" x14ac:dyDescent="0.3">
      <c r="A47" t="s">
        <v>380</v>
      </c>
      <c r="B47" s="1">
        <v>46295271.359999999</v>
      </c>
      <c r="C47" s="1">
        <v>42806663.689999998</v>
      </c>
      <c r="D47" s="1">
        <f t="shared" si="9"/>
        <v>3488607.6700000018</v>
      </c>
      <c r="E47" s="124">
        <f t="shared" si="10"/>
        <v>92.464440605883937</v>
      </c>
      <c r="F47" s="6">
        <f t="shared" si="11"/>
        <v>24.323517066014524</v>
      </c>
    </row>
    <row r="48" spans="1:8" x14ac:dyDescent="0.3">
      <c r="A48" t="s">
        <v>381</v>
      </c>
      <c r="B48" s="1">
        <v>0</v>
      </c>
      <c r="C48" s="1">
        <v>0</v>
      </c>
      <c r="D48" s="1">
        <f t="shared" si="9"/>
        <v>0</v>
      </c>
      <c r="E48" s="124" t="str">
        <f t="shared" si="10"/>
        <v>-</v>
      </c>
      <c r="F48" s="6">
        <f t="shared" si="11"/>
        <v>0</v>
      </c>
    </row>
    <row r="49" spans="1:6" x14ac:dyDescent="0.3">
      <c r="A49" t="s">
        <v>382</v>
      </c>
      <c r="B49" s="1">
        <v>2265441.38</v>
      </c>
      <c r="C49" s="1">
        <v>1568823.72</v>
      </c>
      <c r="D49" s="1">
        <f t="shared" si="9"/>
        <v>696617.65999999992</v>
      </c>
      <c r="E49" s="6">
        <f t="shared" si="10"/>
        <v>69.250245618802992</v>
      </c>
      <c r="F49" s="6">
        <f t="shared" si="11"/>
        <v>1.1902619954420652</v>
      </c>
    </row>
    <row r="50" spans="1:6" x14ac:dyDescent="0.3">
      <c r="A50" s="4" t="s">
        <v>207</v>
      </c>
      <c r="B50" s="3">
        <f>SUM(B41:B49)</f>
        <v>190331321.06</v>
      </c>
      <c r="C50" s="3">
        <f>SUM(C41:C49)</f>
        <v>139908491.56000003</v>
      </c>
      <c r="D50" s="3">
        <f t="shared" si="9"/>
        <v>50422829.49999997</v>
      </c>
      <c r="E50" s="125">
        <f t="shared" si="10"/>
        <v>73.507865537220383</v>
      </c>
      <c r="F50" s="125">
        <f t="shared" si="11"/>
        <v>100</v>
      </c>
    </row>
    <row r="51" spans="1:6" x14ac:dyDescent="0.3">
      <c r="A51" s="123" t="s">
        <v>383</v>
      </c>
      <c r="B51" s="129">
        <v>1154248125.6499999</v>
      </c>
      <c r="C51" s="123"/>
      <c r="D51" s="123"/>
      <c r="E51" s="123"/>
      <c r="F51" s="128">
        <f>B50/B51*100</f>
        <v>16.489636572103368</v>
      </c>
    </row>
    <row r="53" spans="1:6" x14ac:dyDescent="0.3">
      <c r="A53" s="13">
        <v>2018</v>
      </c>
      <c r="B53" s="13" t="s">
        <v>369</v>
      </c>
      <c r="C53" s="13" t="s">
        <v>370</v>
      </c>
      <c r="D53" s="13" t="s">
        <v>371</v>
      </c>
    </row>
    <row r="54" spans="1:6" x14ac:dyDescent="0.3">
      <c r="A54" t="s">
        <v>374</v>
      </c>
      <c r="B54" s="1">
        <v>67464579.370000005</v>
      </c>
      <c r="C54" s="1">
        <v>50612269.649999999</v>
      </c>
      <c r="D54" s="1">
        <f>B54-C54</f>
        <v>16852309.720000006</v>
      </c>
      <c r="E54" s="6">
        <f>IF(B54&gt;0,C54/B54*100,"-")</f>
        <v>75.020507238952931</v>
      </c>
      <c r="F54" s="6">
        <f>B54/B$63*100</f>
        <v>29.714832671486548</v>
      </c>
    </row>
    <row r="55" spans="1:6" x14ac:dyDescent="0.3">
      <c r="A55" t="s">
        <v>375</v>
      </c>
      <c r="B55" s="1">
        <v>34762232.380000003</v>
      </c>
      <c r="C55" s="1">
        <v>23723716.399999999</v>
      </c>
      <c r="D55" s="1">
        <f>B55-C55</f>
        <v>11038515.980000004</v>
      </c>
      <c r="E55" s="6">
        <f t="shared" ref="E55:E63" si="12">IF(B55&gt;0,C55/B55*100,"-")</f>
        <v>68.245664261910662</v>
      </c>
      <c r="F55" s="6">
        <f t="shared" ref="F55:F63" si="13">B55/B$63*100</f>
        <v>15.311055491711304</v>
      </c>
    </row>
    <row r="56" spans="1:6" x14ac:dyDescent="0.3">
      <c r="A56" t="s">
        <v>376</v>
      </c>
      <c r="B56" s="1">
        <v>25313823.489999998</v>
      </c>
      <c r="C56" s="1">
        <v>10864026.49</v>
      </c>
      <c r="D56" s="1">
        <f t="shared" ref="D56:D63" si="14">B56-C56</f>
        <v>14449796.999999998</v>
      </c>
      <c r="E56" s="6">
        <f t="shared" si="12"/>
        <v>42.917366846188756</v>
      </c>
      <c r="F56" s="6">
        <f t="shared" si="13"/>
        <v>11.149495576865338</v>
      </c>
    </row>
    <row r="57" spans="1:6" x14ac:dyDescent="0.3">
      <c r="A57" t="s">
        <v>377</v>
      </c>
      <c r="B57" s="1">
        <v>20480540.940000001</v>
      </c>
      <c r="C57" s="1">
        <v>9077875.4299999997</v>
      </c>
      <c r="D57" s="1">
        <f t="shared" si="14"/>
        <v>11402665.510000002</v>
      </c>
      <c r="E57" s="6">
        <f t="shared" si="12"/>
        <v>44.324392879048631</v>
      </c>
      <c r="F57" s="6">
        <f t="shared" si="13"/>
        <v>9.0206720732072032</v>
      </c>
    </row>
    <row r="58" spans="1:6" x14ac:dyDescent="0.3">
      <c r="A58" t="s">
        <v>378</v>
      </c>
      <c r="B58" s="1">
        <v>27363772.699999999</v>
      </c>
      <c r="C58" s="1">
        <v>15014468.76</v>
      </c>
      <c r="D58" s="1">
        <f t="shared" si="14"/>
        <v>12349303.939999999</v>
      </c>
      <c r="E58" s="14">
        <f t="shared" si="12"/>
        <v>54.869878231374138</v>
      </c>
      <c r="F58" s="6">
        <f t="shared" si="13"/>
        <v>12.052397489676835</v>
      </c>
    </row>
    <row r="59" spans="1:6" x14ac:dyDescent="0.3">
      <c r="A59" t="s">
        <v>379</v>
      </c>
      <c r="B59" s="1">
        <v>1963663.06</v>
      </c>
      <c r="C59" s="1">
        <v>262382.5</v>
      </c>
      <c r="D59" s="1">
        <f t="shared" si="14"/>
        <v>1701280.56</v>
      </c>
      <c r="E59" s="6">
        <f t="shared" si="12"/>
        <v>13.361890099414509</v>
      </c>
      <c r="F59" s="6">
        <f t="shared" si="13"/>
        <v>0.86489710298299372</v>
      </c>
    </row>
    <row r="60" spans="1:6" x14ac:dyDescent="0.3">
      <c r="A60" t="s">
        <v>380</v>
      </c>
      <c r="B60" s="1">
        <v>47290709.689999998</v>
      </c>
      <c r="C60" s="1">
        <v>43484712.990000002</v>
      </c>
      <c r="D60" s="1">
        <f t="shared" si="14"/>
        <v>3805996.6999999955</v>
      </c>
      <c r="E60" s="124">
        <f t="shared" si="12"/>
        <v>91.951914604477153</v>
      </c>
      <c r="F60" s="6">
        <f t="shared" si="13"/>
        <v>20.829234221522093</v>
      </c>
    </row>
    <row r="61" spans="1:6" x14ac:dyDescent="0.3">
      <c r="A61" t="s">
        <v>381</v>
      </c>
      <c r="B61" s="1">
        <v>0</v>
      </c>
      <c r="C61" s="1">
        <v>0</v>
      </c>
      <c r="D61" s="1">
        <f t="shared" si="14"/>
        <v>0</v>
      </c>
      <c r="E61" s="124" t="str">
        <f t="shared" si="12"/>
        <v>-</v>
      </c>
      <c r="F61" s="6">
        <f t="shared" si="13"/>
        <v>0</v>
      </c>
    </row>
    <row r="62" spans="1:6" x14ac:dyDescent="0.3">
      <c r="A62" t="s">
        <v>382</v>
      </c>
      <c r="B62" s="1">
        <v>2400756.69</v>
      </c>
      <c r="C62" s="1">
        <v>1657181.89</v>
      </c>
      <c r="D62" s="1">
        <f t="shared" si="14"/>
        <v>743574.8</v>
      </c>
      <c r="E62" s="6">
        <f t="shared" si="12"/>
        <v>69.02748191446257</v>
      </c>
      <c r="F62" s="6">
        <f t="shared" si="13"/>
        <v>1.057415372547692</v>
      </c>
    </row>
    <row r="63" spans="1:6" x14ac:dyDescent="0.3">
      <c r="A63" s="4" t="s">
        <v>207</v>
      </c>
      <c r="B63" s="3">
        <f>SUM(B54:B62)</f>
        <v>227040078.31999999</v>
      </c>
      <c r="C63" s="3">
        <f>SUM(C54:C62)</f>
        <v>154696634.10999998</v>
      </c>
      <c r="D63" s="3">
        <f t="shared" si="14"/>
        <v>72343444.210000008</v>
      </c>
      <c r="E63" s="125">
        <f t="shared" si="12"/>
        <v>68.136267065572426</v>
      </c>
      <c r="F63" s="125">
        <f t="shared" si="13"/>
        <v>100</v>
      </c>
    </row>
    <row r="64" spans="1:6" x14ac:dyDescent="0.3">
      <c r="A64" s="123" t="s">
        <v>383</v>
      </c>
      <c r="B64" s="129">
        <v>1382598675.2</v>
      </c>
      <c r="C64" s="123"/>
      <c r="D64" s="123"/>
      <c r="E64" s="123"/>
      <c r="F64" s="128">
        <f>B63/B64*100</f>
        <v>16.421256753132464</v>
      </c>
    </row>
    <row r="66" spans="1:6" x14ac:dyDescent="0.3">
      <c r="A66" s="13">
        <v>2017</v>
      </c>
      <c r="B66" s="13" t="s">
        <v>369</v>
      </c>
      <c r="C66" s="13" t="s">
        <v>370</v>
      </c>
      <c r="D66" s="13" t="s">
        <v>371</v>
      </c>
    </row>
    <row r="67" spans="1:6" x14ac:dyDescent="0.3">
      <c r="A67" t="s">
        <v>374</v>
      </c>
      <c r="B67" s="1">
        <v>66185933.439999998</v>
      </c>
      <c r="C67" s="1">
        <v>48290073.490000002</v>
      </c>
      <c r="D67" s="1">
        <f>B67-C67</f>
        <v>17895859.949999996</v>
      </c>
      <c r="E67" s="6">
        <f>IF(B67&gt;0,C67/B67*100,"-")</f>
        <v>72.961233573560975</v>
      </c>
      <c r="F67" s="6">
        <f>B67/B$76*100</f>
        <v>35.446588682309368</v>
      </c>
    </row>
    <row r="68" spans="1:6" x14ac:dyDescent="0.3">
      <c r="A68" t="s">
        <v>375</v>
      </c>
      <c r="B68" s="1">
        <v>30962813.75</v>
      </c>
      <c r="C68" s="1">
        <v>23029078.460000001</v>
      </c>
      <c r="D68" s="1">
        <f>B68-C68</f>
        <v>7933735.2899999991</v>
      </c>
      <c r="E68" s="6">
        <f t="shared" ref="E68:E76" si="15">IF(B68&gt;0,C68/B68*100,"-")</f>
        <v>74.376568763877287</v>
      </c>
      <c r="F68" s="6">
        <f t="shared" ref="F68:F76" si="16">B68/B$76*100</f>
        <v>16.582468001877633</v>
      </c>
    </row>
    <row r="69" spans="1:6" x14ac:dyDescent="0.3">
      <c r="A69" t="s">
        <v>376</v>
      </c>
      <c r="B69" s="1">
        <v>22243231.289999999</v>
      </c>
      <c r="C69" s="1">
        <v>12089737.279999999</v>
      </c>
      <c r="D69" s="1">
        <f t="shared" ref="D69:D76" si="17">B69-C69</f>
        <v>10153494.01</v>
      </c>
      <c r="E69" s="6">
        <f t="shared" si="15"/>
        <v>54.352432532746462</v>
      </c>
      <c r="F69" s="6">
        <f t="shared" si="16"/>
        <v>11.912601810124196</v>
      </c>
    </row>
    <row r="70" spans="1:6" x14ac:dyDescent="0.3">
      <c r="A70" t="s">
        <v>377</v>
      </c>
      <c r="B70" s="1">
        <v>14737665.01</v>
      </c>
      <c r="C70" s="1">
        <v>8984259.2100000009</v>
      </c>
      <c r="D70" s="1">
        <f t="shared" si="17"/>
        <v>5753405.7999999989</v>
      </c>
      <c r="E70" s="6">
        <f t="shared" si="15"/>
        <v>60.961211995956475</v>
      </c>
      <c r="F70" s="6">
        <f t="shared" si="16"/>
        <v>7.8929150439603264</v>
      </c>
    </row>
    <row r="71" spans="1:6" x14ac:dyDescent="0.3">
      <c r="A71" t="s">
        <v>378</v>
      </c>
      <c r="B71" s="1">
        <v>2018900</v>
      </c>
      <c r="C71" s="1">
        <v>1833333.3</v>
      </c>
      <c r="D71" s="1">
        <f t="shared" si="17"/>
        <v>185566.69999999995</v>
      </c>
      <c r="E71" s="124">
        <f t="shared" si="15"/>
        <v>90.808524444004163</v>
      </c>
      <c r="F71" s="6">
        <f t="shared" si="16"/>
        <v>1.0812436143336861</v>
      </c>
    </row>
    <row r="72" spans="1:6" x14ac:dyDescent="0.3">
      <c r="A72" t="s">
        <v>379</v>
      </c>
      <c r="B72" s="1">
        <v>2877474.26</v>
      </c>
      <c r="C72" s="1">
        <v>624892.34</v>
      </c>
      <c r="D72" s="1">
        <f t="shared" si="17"/>
        <v>2252581.92</v>
      </c>
      <c r="E72" s="6">
        <f t="shared" si="15"/>
        <v>21.716696086101567</v>
      </c>
      <c r="F72" s="6">
        <f t="shared" si="16"/>
        <v>1.5410622958217588</v>
      </c>
    </row>
    <row r="73" spans="1:6" x14ac:dyDescent="0.3">
      <c r="A73" t="s">
        <v>380</v>
      </c>
      <c r="B73" s="1">
        <v>45060972.479999997</v>
      </c>
      <c r="C73" s="1">
        <v>41689576.170000002</v>
      </c>
      <c r="D73" s="1">
        <f t="shared" si="17"/>
        <v>3371396.3099999949</v>
      </c>
      <c r="E73" s="124">
        <f t="shared" si="15"/>
        <v>92.51814569360134</v>
      </c>
      <c r="F73" s="6">
        <f t="shared" si="16"/>
        <v>24.132888577773027</v>
      </c>
    </row>
    <row r="74" spans="1:6" x14ac:dyDescent="0.3">
      <c r="A74" t="s">
        <v>381</v>
      </c>
      <c r="B74" s="1">
        <v>0</v>
      </c>
      <c r="C74" s="1">
        <v>0</v>
      </c>
      <c r="D74" s="1">
        <f t="shared" si="17"/>
        <v>0</v>
      </c>
      <c r="E74" s="124" t="str">
        <f t="shared" si="15"/>
        <v>-</v>
      </c>
      <c r="F74" s="6">
        <f t="shared" si="16"/>
        <v>0</v>
      </c>
    </row>
    <row r="75" spans="1:6" x14ac:dyDescent="0.3">
      <c r="A75" t="s">
        <v>382</v>
      </c>
      <c r="B75" s="1">
        <v>2633187.65</v>
      </c>
      <c r="C75" s="1">
        <v>1403719.41</v>
      </c>
      <c r="D75" s="1">
        <f t="shared" si="17"/>
        <v>1229468.24</v>
      </c>
      <c r="E75" s="6">
        <f t="shared" si="15"/>
        <v>53.308749568227697</v>
      </c>
      <c r="F75" s="6">
        <f t="shared" si="16"/>
        <v>1.4102319738000026</v>
      </c>
    </row>
    <row r="76" spans="1:6" x14ac:dyDescent="0.3">
      <c r="A76" s="4" t="s">
        <v>207</v>
      </c>
      <c r="B76" s="3">
        <f>SUM(B67:B75)</f>
        <v>186720177.88</v>
      </c>
      <c r="C76" s="3">
        <f>SUM(C67:C75)</f>
        <v>137944669.66</v>
      </c>
      <c r="D76" s="3">
        <f t="shared" si="17"/>
        <v>48775508.219999999</v>
      </c>
      <c r="E76" s="125">
        <f t="shared" si="15"/>
        <v>73.877751845680706</v>
      </c>
      <c r="F76" s="125">
        <f t="shared" si="16"/>
        <v>100</v>
      </c>
    </row>
    <row r="77" spans="1:6" x14ac:dyDescent="0.3">
      <c r="A77" s="123" t="s">
        <v>383</v>
      </c>
      <c r="B77" s="129">
        <v>1133763259.3500001</v>
      </c>
      <c r="C77" s="123"/>
      <c r="D77" s="123"/>
      <c r="E77" s="123"/>
      <c r="F77" s="128">
        <f>B76/B77*100</f>
        <v>16.469062332029431</v>
      </c>
    </row>
    <row r="79" spans="1:6" x14ac:dyDescent="0.3">
      <c r="A79" s="13">
        <v>2016</v>
      </c>
      <c r="B79" s="13" t="s">
        <v>369</v>
      </c>
      <c r="C79" s="13" t="s">
        <v>370</v>
      </c>
      <c r="D79" s="13" t="s">
        <v>371</v>
      </c>
    </row>
    <row r="80" spans="1:6" x14ac:dyDescent="0.3">
      <c r="A80" t="s">
        <v>374</v>
      </c>
      <c r="B80" s="1">
        <v>72508203.629999995</v>
      </c>
      <c r="C80" s="1">
        <v>47602868.68</v>
      </c>
      <c r="D80" s="1">
        <f>B80-C80</f>
        <v>24905334.949999996</v>
      </c>
      <c r="E80" s="6">
        <f>IF(B80&gt;0,C80/B80*100,"-")</f>
        <v>65.651700492969439</v>
      </c>
      <c r="F80" s="6">
        <f>B80/B$89*100</f>
        <v>37.887119418784557</v>
      </c>
    </row>
    <row r="81" spans="1:8" x14ac:dyDescent="0.3">
      <c r="A81" t="s">
        <v>375</v>
      </c>
      <c r="B81" s="1">
        <v>31861696.5</v>
      </c>
      <c r="C81" s="1">
        <v>21633524.440000001</v>
      </c>
      <c r="D81" s="1">
        <f>B81-C81</f>
        <v>10228172.059999999</v>
      </c>
      <c r="E81" s="6">
        <f t="shared" ref="E81:E89" si="18">IF(B81&gt;0,C81/B81*100,"-")</f>
        <v>67.89821891624635</v>
      </c>
      <c r="F81" s="6">
        <f t="shared" ref="F81:F89" si="19">B81/B$89*100</f>
        <v>16.648432035918169</v>
      </c>
    </row>
    <row r="82" spans="1:8" x14ac:dyDescent="0.3">
      <c r="A82" t="s">
        <v>376</v>
      </c>
      <c r="B82" s="1">
        <v>16615838.42</v>
      </c>
      <c r="C82" s="1">
        <v>10513541.42</v>
      </c>
      <c r="D82" s="1">
        <f t="shared" ref="D82:D89" si="20">B82-C82</f>
        <v>6102297</v>
      </c>
      <c r="E82" s="124">
        <f t="shared" si="18"/>
        <v>63.274215566186278</v>
      </c>
      <c r="F82" s="6">
        <f t="shared" si="19"/>
        <v>8.6821383367068332</v>
      </c>
    </row>
    <row r="83" spans="1:8" x14ac:dyDescent="0.3">
      <c r="A83" t="s">
        <v>377</v>
      </c>
      <c r="B83" s="1">
        <v>14650996.640000001</v>
      </c>
      <c r="C83" s="1">
        <v>7965135.04</v>
      </c>
      <c r="D83" s="1">
        <f t="shared" si="20"/>
        <v>6685861.6000000006</v>
      </c>
      <c r="E83" s="6">
        <f t="shared" si="18"/>
        <v>54.365823948479175</v>
      </c>
      <c r="F83" s="6">
        <f t="shared" si="19"/>
        <v>7.6554656096076199</v>
      </c>
    </row>
    <row r="84" spans="1:8" x14ac:dyDescent="0.3">
      <c r="A84" t="s">
        <v>378</v>
      </c>
      <c r="B84" s="1">
        <v>26303.200000000001</v>
      </c>
      <c r="C84" s="1">
        <v>26303.200000000001</v>
      </c>
      <c r="D84" s="1">
        <f t="shared" si="20"/>
        <v>0</v>
      </c>
      <c r="E84" s="14">
        <f t="shared" si="18"/>
        <v>100</v>
      </c>
      <c r="F84" s="6">
        <f t="shared" si="19"/>
        <v>1.374399625980879E-2</v>
      </c>
    </row>
    <row r="85" spans="1:8" x14ac:dyDescent="0.3">
      <c r="A85" t="s">
        <v>379</v>
      </c>
      <c r="B85" s="1">
        <v>6926098.9800000004</v>
      </c>
      <c r="C85" s="1">
        <v>2613922.56</v>
      </c>
      <c r="D85" s="1">
        <f t="shared" si="20"/>
        <v>4312176.42</v>
      </c>
      <c r="E85" s="6">
        <f t="shared" si="18"/>
        <v>37.740184879656454</v>
      </c>
      <c r="F85" s="6">
        <f t="shared" si="19"/>
        <v>3.6190379298406841</v>
      </c>
    </row>
    <row r="86" spans="1:8" x14ac:dyDescent="0.3">
      <c r="A86" t="s">
        <v>380</v>
      </c>
      <c r="B86" s="1">
        <v>45670426.530000001</v>
      </c>
      <c r="C86" s="1">
        <v>42199848.600000001</v>
      </c>
      <c r="D86" s="1">
        <f t="shared" si="20"/>
        <v>3470577.9299999997</v>
      </c>
      <c r="E86" s="6">
        <f t="shared" si="18"/>
        <v>92.400819975438054</v>
      </c>
      <c r="F86" s="6">
        <f t="shared" si="19"/>
        <v>23.863794953168899</v>
      </c>
    </row>
    <row r="87" spans="1:8" x14ac:dyDescent="0.3">
      <c r="A87" t="s">
        <v>381</v>
      </c>
      <c r="B87" s="1">
        <v>0</v>
      </c>
      <c r="C87" s="1">
        <v>0</v>
      </c>
      <c r="D87" s="1">
        <f t="shared" si="20"/>
        <v>0</v>
      </c>
      <c r="E87" s="124" t="str">
        <f t="shared" si="18"/>
        <v>-</v>
      </c>
      <c r="F87" s="6">
        <f t="shared" si="19"/>
        <v>0</v>
      </c>
    </row>
    <row r="88" spans="1:8" x14ac:dyDescent="0.3">
      <c r="A88" t="s">
        <v>382</v>
      </c>
      <c r="B88" s="1">
        <v>3119999.24</v>
      </c>
      <c r="C88" s="1">
        <v>1398544.61</v>
      </c>
      <c r="D88" s="1">
        <f t="shared" si="20"/>
        <v>1721454.6300000001</v>
      </c>
      <c r="E88" s="6">
        <f t="shared" si="18"/>
        <v>44.82515867535917</v>
      </c>
      <c r="F88" s="6">
        <f t="shared" si="19"/>
        <v>1.6302677197134292</v>
      </c>
    </row>
    <row r="89" spans="1:8" x14ac:dyDescent="0.3">
      <c r="A89" s="4" t="s">
        <v>207</v>
      </c>
      <c r="B89" s="3">
        <f>SUM(B80:B88)</f>
        <v>191379563.13999999</v>
      </c>
      <c r="C89" s="3">
        <f>SUM(C80:C88)</f>
        <v>133953688.55000003</v>
      </c>
      <c r="D89" s="3">
        <f t="shared" si="20"/>
        <v>57425874.589999959</v>
      </c>
      <c r="E89" s="125">
        <f t="shared" si="18"/>
        <v>69.993726786808907</v>
      </c>
      <c r="F89" s="125">
        <f t="shared" si="19"/>
        <v>100</v>
      </c>
    </row>
    <row r="90" spans="1:8" x14ac:dyDescent="0.3">
      <c r="A90" s="123" t="s">
        <v>383</v>
      </c>
      <c r="B90" s="129">
        <v>1188512700.54</v>
      </c>
      <c r="C90" s="123"/>
      <c r="D90" s="123"/>
      <c r="E90" s="123"/>
      <c r="F90" s="128">
        <f>B89/B90*100</f>
        <v>16.102441568613177</v>
      </c>
    </row>
    <row r="92" spans="1:8" x14ac:dyDescent="0.3">
      <c r="B92" s="130">
        <v>2016</v>
      </c>
      <c r="C92" s="130">
        <v>2017</v>
      </c>
      <c r="D92" s="130">
        <v>2018</v>
      </c>
      <c r="E92" s="130">
        <v>2019</v>
      </c>
      <c r="F92" s="130">
        <v>2020</v>
      </c>
      <c r="G92" s="130">
        <v>2021</v>
      </c>
      <c r="H92" s="130">
        <v>2022</v>
      </c>
    </row>
    <row r="93" spans="1:8" x14ac:dyDescent="0.3">
      <c r="A93" t="s">
        <v>374</v>
      </c>
      <c r="B93" s="1">
        <f>B80</f>
        <v>72508203.629999995</v>
      </c>
      <c r="C93" s="1">
        <f>B67</f>
        <v>66185933.439999998</v>
      </c>
      <c r="D93" s="1">
        <f>B54</f>
        <v>67464579.370000005</v>
      </c>
      <c r="E93" s="1">
        <f>B41</f>
        <v>62671050.57</v>
      </c>
      <c r="F93" s="1">
        <f>B28</f>
        <v>66509507.479999997</v>
      </c>
      <c r="G93" s="1">
        <f>B15</f>
        <v>69195697.650000006</v>
      </c>
      <c r="H93" s="1">
        <f>B2</f>
        <v>79203300.709999993</v>
      </c>
    </row>
    <row r="94" spans="1:8" x14ac:dyDescent="0.3">
      <c r="A94" t="s">
        <v>380</v>
      </c>
      <c r="B94" s="1">
        <f>B86</f>
        <v>45670426.530000001</v>
      </c>
      <c r="C94" s="1">
        <f>B73</f>
        <v>45060972.479999997</v>
      </c>
      <c r="D94" s="1">
        <f>B60</f>
        <v>47290709.689999998</v>
      </c>
      <c r="E94" s="1">
        <f>B47</f>
        <v>46295271.359999999</v>
      </c>
      <c r="F94" s="1">
        <f>B34</f>
        <v>44655881.890000001</v>
      </c>
      <c r="G94" s="1">
        <f>B21</f>
        <v>42443004.75</v>
      </c>
      <c r="H94" s="1">
        <f>B8</f>
        <v>45962362.979999997</v>
      </c>
    </row>
    <row r="95" spans="1:8" x14ac:dyDescent="0.3">
      <c r="A95" t="s">
        <v>377</v>
      </c>
      <c r="B95" s="1">
        <f>B83</f>
        <v>14650996.640000001</v>
      </c>
      <c r="C95" s="1">
        <f>B70</f>
        <v>14737665.01</v>
      </c>
      <c r="D95" s="1">
        <f>B57</f>
        <v>20480540.940000001</v>
      </c>
      <c r="E95" s="1">
        <f>B44</f>
        <v>24986483.809999999</v>
      </c>
      <c r="F95" s="1">
        <f>B31</f>
        <v>37438335.740000002</v>
      </c>
      <c r="G95" s="1">
        <f>B18</f>
        <v>37946481.869999997</v>
      </c>
      <c r="H95" s="1">
        <f>B5</f>
        <v>38075194.270000003</v>
      </c>
    </row>
    <row r="96" spans="1:8" x14ac:dyDescent="0.3">
      <c r="A96" t="s">
        <v>375</v>
      </c>
      <c r="B96" s="1">
        <f>B81</f>
        <v>31861696.5</v>
      </c>
      <c r="C96" s="1">
        <f>B68</f>
        <v>30962813.75</v>
      </c>
      <c r="D96" s="1">
        <f>B55</f>
        <v>34762232.380000003</v>
      </c>
      <c r="E96" s="1">
        <f>B42</f>
        <v>31333582.440000001</v>
      </c>
      <c r="F96" s="1">
        <f>B29</f>
        <v>24946773.449999999</v>
      </c>
      <c r="G96" s="1">
        <f>B16</f>
        <v>31250736.52</v>
      </c>
      <c r="H96" s="1">
        <f>B3</f>
        <v>33696420.850000001</v>
      </c>
    </row>
    <row r="97" spans="1:8" x14ac:dyDescent="0.3">
      <c r="A97" t="s">
        <v>379</v>
      </c>
      <c r="B97" s="1">
        <f>B85</f>
        <v>6926098.9800000004</v>
      </c>
      <c r="C97" s="1">
        <f>B72</f>
        <v>2877474.26</v>
      </c>
      <c r="D97" s="1">
        <f>B59</f>
        <v>1963663.06</v>
      </c>
      <c r="E97" s="1">
        <f>B46</f>
        <v>676839.81</v>
      </c>
      <c r="F97" s="1">
        <f>B33</f>
        <v>11282242.74</v>
      </c>
      <c r="G97" s="1">
        <f>B20</f>
        <v>2192580.84</v>
      </c>
      <c r="H97" s="1">
        <f>B7</f>
        <v>14216800.140000001</v>
      </c>
    </row>
    <row r="98" spans="1:8" x14ac:dyDescent="0.3">
      <c r="A98" t="s">
        <v>376</v>
      </c>
      <c r="B98" s="1">
        <f>B82</f>
        <v>16615838.42</v>
      </c>
      <c r="C98" s="1">
        <f>B69</f>
        <v>22243231.289999999</v>
      </c>
      <c r="D98" s="1">
        <f>B56</f>
        <v>25313823.489999998</v>
      </c>
      <c r="E98" s="1">
        <f>B43</f>
        <v>17980641.739999998</v>
      </c>
      <c r="F98" s="1">
        <f>B30</f>
        <v>14663369.34</v>
      </c>
      <c r="G98" s="1">
        <f>B17</f>
        <v>15990441.73</v>
      </c>
      <c r="H98" s="1">
        <f>B4</f>
        <v>13614692.960000001</v>
      </c>
    </row>
    <row r="99" spans="1:8" x14ac:dyDescent="0.3">
      <c r="A99" t="s">
        <v>378</v>
      </c>
      <c r="B99" s="1">
        <f>B84</f>
        <v>26303.200000000001</v>
      </c>
      <c r="C99" s="1">
        <f>B71</f>
        <v>2018900</v>
      </c>
      <c r="D99" s="1">
        <f>B58</f>
        <v>27363772.699999999</v>
      </c>
      <c r="E99" s="1">
        <f>B45</f>
        <v>4122009.95</v>
      </c>
      <c r="F99" s="1">
        <f>B32</f>
        <v>4279923.22</v>
      </c>
      <c r="G99" s="1">
        <f>B19</f>
        <v>7613176.9299999997</v>
      </c>
      <c r="H99" s="1">
        <f>B6</f>
        <v>11565510.07</v>
      </c>
    </row>
    <row r="100" spans="1:8" x14ac:dyDescent="0.3">
      <c r="A100" t="s">
        <v>382</v>
      </c>
      <c r="B100" s="1">
        <f>B88</f>
        <v>3119999.24</v>
      </c>
      <c r="C100" s="1">
        <f>B75</f>
        <v>2633187.65</v>
      </c>
      <c r="D100" s="1">
        <f>B62</f>
        <v>2400756.69</v>
      </c>
      <c r="E100" s="1">
        <f>B49</f>
        <v>2265441.38</v>
      </c>
      <c r="F100" s="1">
        <f>B36</f>
        <v>2094635.86</v>
      </c>
      <c r="G100" s="1">
        <f>B23</f>
        <v>1935127.06</v>
      </c>
      <c r="H100" s="1">
        <f>B10</f>
        <v>2143373.61</v>
      </c>
    </row>
    <row r="101" spans="1:8" x14ac:dyDescent="0.3">
      <c r="A101" t="s">
        <v>381</v>
      </c>
      <c r="B101" s="1">
        <f>B87</f>
        <v>0</v>
      </c>
      <c r="C101" s="1">
        <f>B74</f>
        <v>0</v>
      </c>
      <c r="D101" s="1">
        <f>B61</f>
        <v>0</v>
      </c>
      <c r="E101" s="1">
        <f>B48</f>
        <v>0</v>
      </c>
      <c r="F101" s="1">
        <f>B35</f>
        <v>0</v>
      </c>
      <c r="G101" s="1">
        <f>B22</f>
        <v>0</v>
      </c>
      <c r="H101" s="1">
        <f>B9</f>
        <v>0</v>
      </c>
    </row>
    <row r="102" spans="1:8" x14ac:dyDescent="0.3">
      <c r="B102" s="3">
        <f>SUM(B93:B101)</f>
        <v>191379563.13999999</v>
      </c>
      <c r="C102" s="3">
        <f t="shared" ref="C102:H102" si="21">SUM(C93:C101)</f>
        <v>186720177.88</v>
      </c>
      <c r="D102" s="3">
        <f t="shared" si="21"/>
        <v>227040078.31999999</v>
      </c>
      <c r="E102" s="3">
        <f t="shared" si="21"/>
        <v>190331321.06</v>
      </c>
      <c r="F102" s="3">
        <f t="shared" si="21"/>
        <v>205870669.72000003</v>
      </c>
      <c r="G102" s="3">
        <f t="shared" si="21"/>
        <v>208567247.35000002</v>
      </c>
      <c r="H102" s="3">
        <f t="shared" si="21"/>
        <v>238477655.59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4" sqref="H4"/>
    </sheetView>
  </sheetViews>
  <sheetFormatPr defaultRowHeight="14.4" x14ac:dyDescent="0.3"/>
  <cols>
    <col min="1" max="1" width="40.77734375" bestFit="1" customWidth="1"/>
    <col min="2" max="8" width="12.5546875" bestFit="1" customWidth="1"/>
  </cols>
  <sheetData>
    <row r="1" spans="1:9" x14ac:dyDescent="0.3">
      <c r="B1" s="13">
        <v>2016</v>
      </c>
      <c r="C1" s="13">
        <v>2017</v>
      </c>
      <c r="D1" s="13">
        <v>2018</v>
      </c>
      <c r="E1" s="13">
        <v>2019</v>
      </c>
      <c r="F1" s="13">
        <v>2020</v>
      </c>
      <c r="G1" s="13">
        <v>2021</v>
      </c>
      <c r="H1" s="13">
        <v>2022</v>
      </c>
    </row>
    <row r="2" spans="1:9" x14ac:dyDescent="0.3">
      <c r="A2" s="5" t="s">
        <v>39</v>
      </c>
      <c r="B2" s="1">
        <v>69410888.150000006</v>
      </c>
      <c r="C2" s="1">
        <v>67726710.519999996</v>
      </c>
      <c r="D2" s="1">
        <v>68781912.680000007</v>
      </c>
      <c r="E2" s="1">
        <v>67596932.680000007</v>
      </c>
      <c r="F2" s="1">
        <v>65191028.659999996</v>
      </c>
      <c r="G2" s="1">
        <v>60397874.729999997</v>
      </c>
      <c r="H2" s="1">
        <v>64239809.689999998</v>
      </c>
      <c r="I2" s="6">
        <f>H2/H$15*100</f>
        <v>26.937454383753064</v>
      </c>
    </row>
    <row r="3" spans="1:9" x14ac:dyDescent="0.3">
      <c r="A3" s="5" t="s">
        <v>40</v>
      </c>
      <c r="B3" s="1">
        <v>49478.87</v>
      </c>
      <c r="C3" s="1">
        <v>33197.57</v>
      </c>
      <c r="D3" s="1">
        <v>2641697.62</v>
      </c>
      <c r="E3" s="1">
        <v>2576668.16</v>
      </c>
      <c r="F3" s="1">
        <v>2452705.1</v>
      </c>
      <c r="G3" s="1">
        <v>2333948.29</v>
      </c>
      <c r="H3" s="1">
        <v>2546571.64</v>
      </c>
      <c r="I3" s="6">
        <f t="shared" ref="I3:I17" si="0">H3/H$15*100</f>
        <v>1.0678449658940643</v>
      </c>
    </row>
    <row r="4" spans="1:9" x14ac:dyDescent="0.3">
      <c r="A4" s="5" t="s">
        <v>41</v>
      </c>
      <c r="B4" s="1">
        <v>76474447.650000006</v>
      </c>
      <c r="C4" s="1">
        <v>75142268.010000005</v>
      </c>
      <c r="D4" s="1">
        <v>80869850.530000001</v>
      </c>
      <c r="E4" s="1">
        <v>85816832.450000003</v>
      </c>
      <c r="F4" s="1">
        <v>89420723.930000007</v>
      </c>
      <c r="G4" s="1">
        <v>89239786.780000001</v>
      </c>
      <c r="H4" s="1">
        <v>101697282.36</v>
      </c>
      <c r="I4" s="6">
        <f t="shared" si="0"/>
        <v>42.644365195723779</v>
      </c>
    </row>
    <row r="5" spans="1:9" x14ac:dyDescent="0.3">
      <c r="A5" s="5" t="s">
        <v>42</v>
      </c>
      <c r="B5" s="1">
        <v>38559676.140000001</v>
      </c>
      <c r="C5" s="1">
        <v>36578686.75</v>
      </c>
      <c r="D5" s="1">
        <v>42489324.990000002</v>
      </c>
      <c r="E5" s="1">
        <v>27380899.510000002</v>
      </c>
      <c r="F5" s="1">
        <v>42808520.57</v>
      </c>
      <c r="G5" s="1">
        <v>51324283.289999999</v>
      </c>
      <c r="H5" s="1">
        <v>64907289.229999997</v>
      </c>
      <c r="I5" s="6">
        <f t="shared" si="0"/>
        <v>27.217346241272644</v>
      </c>
    </row>
    <row r="6" spans="1:9" x14ac:dyDescent="0.3">
      <c r="A6" s="5" t="s">
        <v>43</v>
      </c>
      <c r="B6" s="1">
        <v>4616107.99</v>
      </c>
      <c r="C6" s="1">
        <v>4201661.62</v>
      </c>
      <c r="D6" s="1">
        <v>4002690.92</v>
      </c>
      <c r="E6" s="1">
        <v>3775009.49</v>
      </c>
      <c r="F6" s="1">
        <v>3591957.59</v>
      </c>
      <c r="G6" s="1">
        <v>3497516.94</v>
      </c>
      <c r="H6" s="1">
        <v>3432867.68</v>
      </c>
      <c r="I6" s="6">
        <f t="shared" si="0"/>
        <v>1.439492379907457</v>
      </c>
    </row>
    <row r="7" spans="1:9" x14ac:dyDescent="0.3">
      <c r="A7" s="5" t="s">
        <v>44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6">
        <f t="shared" si="0"/>
        <v>0</v>
      </c>
    </row>
    <row r="8" spans="1:9" x14ac:dyDescent="0.3">
      <c r="A8" s="5" t="s">
        <v>45</v>
      </c>
      <c r="B8" s="1">
        <v>260560.32</v>
      </c>
      <c r="C8" s="1">
        <v>2022434.09</v>
      </c>
      <c r="D8" s="1">
        <v>27015151.190000001</v>
      </c>
      <c r="E8" s="1">
        <v>2025499.5</v>
      </c>
      <c r="F8" s="1">
        <v>2032221.2</v>
      </c>
      <c r="G8" s="1">
        <v>1023758</v>
      </c>
      <c r="H8" s="1">
        <v>23643.4</v>
      </c>
      <c r="I8" s="6">
        <f t="shared" si="0"/>
        <v>9.9143041059782319E-3</v>
      </c>
    </row>
    <row r="9" spans="1:9" x14ac:dyDescent="0.3">
      <c r="A9" s="5" t="s">
        <v>46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5018.84</v>
      </c>
      <c r="I9" s="6">
        <f t="shared" si="0"/>
        <v>2.1045325976487218E-3</v>
      </c>
    </row>
    <row r="10" spans="1:9" x14ac:dyDescent="0.3">
      <c r="A10" s="5" t="s">
        <v>47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98">
        <v>0</v>
      </c>
      <c r="H10" s="98">
        <v>0</v>
      </c>
      <c r="I10" s="6">
        <f t="shared" si="0"/>
        <v>0</v>
      </c>
    </row>
    <row r="11" spans="1:9" x14ac:dyDescent="0.3">
      <c r="A11" s="5" t="s">
        <v>48</v>
      </c>
      <c r="B11" s="1">
        <v>2008403.42</v>
      </c>
      <c r="C11" s="1">
        <v>1015219.32</v>
      </c>
      <c r="D11" s="1">
        <v>1239450.3899999999</v>
      </c>
      <c r="E11" s="1">
        <v>1159479.27</v>
      </c>
      <c r="F11" s="1">
        <v>373512.67</v>
      </c>
      <c r="G11" s="98">
        <v>750079.32</v>
      </c>
      <c r="H11" s="98">
        <v>1438959.68</v>
      </c>
      <c r="I11" s="6">
        <f t="shared" si="0"/>
        <v>0.60339392235300848</v>
      </c>
    </row>
    <row r="12" spans="1:9" x14ac:dyDescent="0.3">
      <c r="A12" s="5" t="s">
        <v>49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98">
        <v>0</v>
      </c>
      <c r="H12" s="98">
        <v>155542.26999999999</v>
      </c>
      <c r="I12" s="6">
        <f t="shared" si="0"/>
        <v>6.5222995259318656E-2</v>
      </c>
    </row>
    <row r="13" spans="1:9" x14ac:dyDescent="0.3">
      <c r="A13" s="5" t="s">
        <v>50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98">
        <v>0</v>
      </c>
      <c r="H13" s="98">
        <v>30670.799999999999</v>
      </c>
      <c r="I13" s="6">
        <f t="shared" si="0"/>
        <v>1.2861079133019666E-2</v>
      </c>
    </row>
    <row r="14" spans="1:9" x14ac:dyDescent="0.3">
      <c r="A14" s="5" t="s">
        <v>51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98">
        <v>0</v>
      </c>
      <c r="H14" s="98">
        <v>0</v>
      </c>
      <c r="I14" s="6">
        <f t="shared" si="0"/>
        <v>0</v>
      </c>
    </row>
    <row r="15" spans="1:9" x14ac:dyDescent="0.3">
      <c r="A15" s="131" t="s">
        <v>384</v>
      </c>
      <c r="B15" s="3">
        <f t="shared" ref="B15:H15" si="1">SUM(B2:B14)</f>
        <v>191379562.53999999</v>
      </c>
      <c r="C15" s="3">
        <f t="shared" si="1"/>
        <v>186720177.88</v>
      </c>
      <c r="D15" s="3">
        <f t="shared" si="1"/>
        <v>227040078.31999999</v>
      </c>
      <c r="E15" s="3">
        <f t="shared" si="1"/>
        <v>190331321.06000003</v>
      </c>
      <c r="F15" s="3">
        <f t="shared" si="1"/>
        <v>205870669.71999997</v>
      </c>
      <c r="G15" s="3">
        <f>SUM(G2:G14)</f>
        <v>208567247.34999999</v>
      </c>
      <c r="H15" s="3">
        <f t="shared" si="1"/>
        <v>238477655.59000003</v>
      </c>
      <c r="I15" s="6">
        <f t="shared" si="0"/>
        <v>100</v>
      </c>
    </row>
    <row r="16" spans="1:9" x14ac:dyDescent="0.3">
      <c r="A16" s="131" t="s">
        <v>385</v>
      </c>
      <c r="B16" s="3">
        <f t="shared" ref="B16:H16" si="2">SUM(B2:B9)</f>
        <v>189371159.12</v>
      </c>
      <c r="C16" s="3">
        <f t="shared" si="2"/>
        <v>185704958.56</v>
      </c>
      <c r="D16" s="3">
        <f t="shared" si="2"/>
        <v>225800627.93000001</v>
      </c>
      <c r="E16" s="3">
        <f t="shared" si="2"/>
        <v>189171841.79000002</v>
      </c>
      <c r="F16" s="3">
        <f t="shared" si="2"/>
        <v>205497157.04999998</v>
      </c>
      <c r="G16" s="3">
        <f t="shared" si="2"/>
        <v>207817168.03</v>
      </c>
      <c r="H16" s="3">
        <f t="shared" si="2"/>
        <v>236852482.84</v>
      </c>
      <c r="I16" s="6">
        <f t="shared" si="0"/>
        <v>99.318522003254643</v>
      </c>
    </row>
    <row r="17" spans="1:9" x14ac:dyDescent="0.3">
      <c r="A17" s="131" t="s">
        <v>386</v>
      </c>
      <c r="B17" s="3">
        <f t="shared" ref="B17:H17" si="3">SUM(B10:B14)</f>
        <v>2008403.42</v>
      </c>
      <c r="C17" s="3">
        <f t="shared" si="3"/>
        <v>1015219.32</v>
      </c>
      <c r="D17" s="3">
        <f t="shared" si="3"/>
        <v>1239450.3899999999</v>
      </c>
      <c r="E17" s="3">
        <f t="shared" si="3"/>
        <v>1159479.27</v>
      </c>
      <c r="F17" s="3">
        <f t="shared" si="3"/>
        <v>373512.67</v>
      </c>
      <c r="G17" s="3">
        <f t="shared" si="3"/>
        <v>750079.32</v>
      </c>
      <c r="H17" s="3">
        <f t="shared" si="3"/>
        <v>1625172.75</v>
      </c>
      <c r="I17" s="6">
        <f t="shared" si="0"/>
        <v>0.68147799674534693</v>
      </c>
    </row>
    <row r="18" spans="1:9" x14ac:dyDescent="0.3">
      <c r="A18" s="132" t="s">
        <v>387</v>
      </c>
      <c r="B18" s="133">
        <f>B16/B15*100</f>
        <v>98.95056536165913</v>
      </c>
      <c r="C18" s="133">
        <f t="shared" ref="C18:H18" si="4">C16/C15*100</f>
        <v>99.456288371440792</v>
      </c>
      <c r="D18" s="133">
        <f t="shared" si="4"/>
        <v>99.454082997516835</v>
      </c>
      <c r="E18" s="133">
        <f t="shared" si="4"/>
        <v>99.390810055043701</v>
      </c>
      <c r="F18" s="133">
        <f t="shared" si="4"/>
        <v>99.818569264622298</v>
      </c>
      <c r="G18" s="133">
        <f t="shared" si="4"/>
        <v>99.640365719195941</v>
      </c>
      <c r="H18" s="133">
        <f t="shared" si="4"/>
        <v>99.318522003254643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workbookViewId="0">
      <selection activeCell="I4" sqref="I4"/>
    </sheetView>
  </sheetViews>
  <sheetFormatPr defaultRowHeight="14.4" x14ac:dyDescent="0.3"/>
  <cols>
    <col min="1" max="1" width="36.44140625" bestFit="1" customWidth="1"/>
    <col min="2" max="2" width="12.6640625" bestFit="1" customWidth="1"/>
    <col min="3" max="9" width="13.5546875" bestFit="1" customWidth="1"/>
    <col min="12" max="12" width="10" bestFit="1" customWidth="1"/>
  </cols>
  <sheetData>
    <row r="1" spans="1:9" x14ac:dyDescent="0.3">
      <c r="A1" s="45"/>
      <c r="B1" s="73">
        <v>2015</v>
      </c>
      <c r="C1" s="73">
        <v>2016</v>
      </c>
      <c r="D1" s="73">
        <v>2017</v>
      </c>
      <c r="E1" s="73">
        <v>2018</v>
      </c>
      <c r="F1" s="73">
        <v>2019</v>
      </c>
      <c r="G1" s="73">
        <v>2020</v>
      </c>
      <c r="H1" s="73">
        <v>2021</v>
      </c>
      <c r="I1" s="73">
        <v>2022</v>
      </c>
    </row>
    <row r="2" spans="1:9" x14ac:dyDescent="0.3">
      <c r="A2" t="s">
        <v>5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132675221.93000001</v>
      </c>
      <c r="I2" s="1">
        <v>183501271.63</v>
      </c>
    </row>
    <row r="3" spans="1:9" x14ac:dyDescent="0.3">
      <c r="A3" t="s">
        <v>6</v>
      </c>
      <c r="B3" s="1">
        <v>1217352663.4100001</v>
      </c>
      <c r="C3" s="1">
        <v>1378268203.3</v>
      </c>
      <c r="D3" s="1">
        <v>1417355525.8199999</v>
      </c>
      <c r="E3" s="1">
        <v>1526592133.5999999</v>
      </c>
      <c r="F3" s="1">
        <v>1466751481.0999999</v>
      </c>
      <c r="G3" s="1">
        <v>1330867924.55</v>
      </c>
      <c r="H3" s="1">
        <v>1240251207.8399999</v>
      </c>
      <c r="I3" s="1">
        <v>1228689170.1400001</v>
      </c>
    </row>
    <row r="4" spans="1:9" x14ac:dyDescent="0.3">
      <c r="A4" t="s">
        <v>7</v>
      </c>
      <c r="B4" s="1">
        <v>746896729.25</v>
      </c>
      <c r="C4" s="1">
        <v>862829390.63999999</v>
      </c>
      <c r="D4" s="1">
        <v>850746846.19000006</v>
      </c>
      <c r="E4" s="1">
        <v>875958406.75999999</v>
      </c>
      <c r="F4" s="1">
        <v>785335348.04999995</v>
      </c>
      <c r="G4" s="1">
        <v>505648546.76999998</v>
      </c>
      <c r="H4" s="1">
        <v>326534180.73000002</v>
      </c>
      <c r="I4" s="1">
        <v>357382948.5</v>
      </c>
    </row>
    <row r="5" spans="1:9" x14ac:dyDescent="0.3">
      <c r="A5" t="s">
        <v>8</v>
      </c>
      <c r="B5" s="1">
        <v>26406074.949999999</v>
      </c>
      <c r="C5" s="1">
        <v>31433068.120000001</v>
      </c>
      <c r="D5" s="1">
        <v>51576597.789999999</v>
      </c>
      <c r="E5" s="1">
        <v>76463590.890000001</v>
      </c>
      <c r="F5" s="1">
        <v>73802066.280000001</v>
      </c>
      <c r="G5" s="1">
        <v>81738792.069999993</v>
      </c>
      <c r="H5" s="1">
        <v>104683893.53</v>
      </c>
      <c r="I5" s="1">
        <v>105529483.81999999</v>
      </c>
    </row>
    <row r="6" spans="1:9" x14ac:dyDescent="0.3">
      <c r="A6" t="s">
        <v>9</v>
      </c>
      <c r="B6" s="1">
        <v>73693572.930000007</v>
      </c>
      <c r="C6" s="1">
        <v>84637800</v>
      </c>
      <c r="D6" s="1">
        <v>96642056</v>
      </c>
      <c r="E6" s="1">
        <v>74068049.329999998</v>
      </c>
      <c r="F6" s="1">
        <v>73849942.299999997</v>
      </c>
      <c r="G6" s="1">
        <v>99518183.760000005</v>
      </c>
      <c r="H6" s="1">
        <v>175376314.00999999</v>
      </c>
      <c r="I6" s="1">
        <v>172062270.87</v>
      </c>
    </row>
    <row r="7" spans="1:9" x14ac:dyDescent="0.3">
      <c r="A7" s="4" t="s">
        <v>0</v>
      </c>
      <c r="B7" s="3">
        <f t="shared" ref="B7:I7" si="0">B2+B3-B4-B5-B6</f>
        <v>370356286.28000009</v>
      </c>
      <c r="C7" s="3">
        <f t="shared" si="0"/>
        <v>399367944.53999996</v>
      </c>
      <c r="D7" s="3">
        <f t="shared" si="0"/>
        <v>418390025.83999985</v>
      </c>
      <c r="E7" s="3">
        <f t="shared" si="0"/>
        <v>500102086.61999995</v>
      </c>
      <c r="F7" s="3">
        <f t="shared" si="0"/>
        <v>533764124.46999997</v>
      </c>
      <c r="G7" s="3">
        <f>G2+G3-G4-G5-G6</f>
        <v>643962401.95000005</v>
      </c>
      <c r="H7" s="3">
        <f>H2+H3-H4-H5-H6</f>
        <v>766332041.5</v>
      </c>
      <c r="I7" s="3">
        <f t="shared" si="0"/>
        <v>777215738.58000004</v>
      </c>
    </row>
    <row r="8" spans="1:9" x14ac:dyDescent="0.3">
      <c r="A8" t="s">
        <v>10</v>
      </c>
      <c r="B8" s="1">
        <v>536078127.98000002</v>
      </c>
      <c r="C8" s="1">
        <v>575119859.03999996</v>
      </c>
      <c r="D8" s="1">
        <v>576970344.80999994</v>
      </c>
      <c r="E8" s="1">
        <v>661350352.87</v>
      </c>
      <c r="F8" s="1">
        <v>865475474.47000003</v>
      </c>
      <c r="G8" s="1">
        <v>736570062.97000003</v>
      </c>
      <c r="H8" s="1">
        <v>725441887.64999998</v>
      </c>
      <c r="I8" s="1">
        <v>699839563.12</v>
      </c>
    </row>
    <row r="9" spans="1:9" x14ac:dyDescent="0.3">
      <c r="A9" t="s">
        <v>11</v>
      </c>
      <c r="B9" s="1"/>
      <c r="C9" s="1">
        <v>0</v>
      </c>
      <c r="D9" s="1">
        <v>0</v>
      </c>
      <c r="E9" s="1">
        <v>0</v>
      </c>
      <c r="F9" s="1">
        <v>448467585.98000002</v>
      </c>
      <c r="G9" s="1">
        <v>628859027.07000005</v>
      </c>
      <c r="H9" s="1">
        <v>614339492.99000001</v>
      </c>
      <c r="I9" s="1">
        <v>595105597.01999998</v>
      </c>
    </row>
    <row r="10" spans="1:9" x14ac:dyDescent="0.3">
      <c r="A10" t="s">
        <v>12</v>
      </c>
      <c r="B10" s="1">
        <v>141699</v>
      </c>
      <c r="C10" s="1">
        <v>184680</v>
      </c>
      <c r="D10" s="1">
        <v>275867</v>
      </c>
      <c r="E10" s="1">
        <v>277542</v>
      </c>
      <c r="F10" s="1">
        <v>277542</v>
      </c>
      <c r="G10" s="1">
        <v>277542</v>
      </c>
      <c r="H10" s="1">
        <v>277542</v>
      </c>
      <c r="I10" s="1">
        <v>277542</v>
      </c>
    </row>
    <row r="11" spans="1:9" x14ac:dyDescent="0.3">
      <c r="A11" t="s">
        <v>13</v>
      </c>
      <c r="B11" s="1">
        <v>406000</v>
      </c>
      <c r="C11" s="1">
        <v>41808.32</v>
      </c>
      <c r="D11" s="1">
        <v>41808.32</v>
      </c>
      <c r="E11" s="1">
        <v>1041808.32</v>
      </c>
      <c r="F11" s="1">
        <v>898189.92</v>
      </c>
      <c r="G11" s="1">
        <v>1145384.92</v>
      </c>
      <c r="H11" s="1">
        <v>2000000</v>
      </c>
      <c r="I11" s="1">
        <v>5100000</v>
      </c>
    </row>
    <row r="12" spans="1:9" x14ac:dyDescent="0.3">
      <c r="A12" t="s">
        <v>14</v>
      </c>
      <c r="B12" s="1">
        <v>0</v>
      </c>
      <c r="C12" s="1">
        <v>33827534.210000001</v>
      </c>
      <c r="D12" s="1">
        <v>71254631.439999998</v>
      </c>
      <c r="E12" s="1">
        <v>76829891.969999999</v>
      </c>
      <c r="F12" s="1">
        <v>83273841.159999996</v>
      </c>
      <c r="G12" s="1">
        <v>105349689.69</v>
      </c>
      <c r="H12" s="1">
        <v>57447853.5</v>
      </c>
      <c r="I12" s="1">
        <v>85691320.989999995</v>
      </c>
    </row>
    <row r="13" spans="1:9" x14ac:dyDescent="0.3">
      <c r="A13" s="4" t="s">
        <v>1</v>
      </c>
      <c r="B13" s="3">
        <f t="shared" ref="B13:I13" si="1">SUM(B8:B12)</f>
        <v>536625826.98000002</v>
      </c>
      <c r="C13" s="3">
        <f t="shared" si="1"/>
        <v>609173881.57000005</v>
      </c>
      <c r="D13" s="3">
        <f t="shared" si="1"/>
        <v>648542651.56999993</v>
      </c>
      <c r="E13" s="3">
        <f t="shared" si="1"/>
        <v>739499595.16000009</v>
      </c>
      <c r="F13" s="3">
        <f t="shared" si="1"/>
        <v>1398392633.5300002</v>
      </c>
      <c r="G13" s="3">
        <f>SUM(G8:G12)</f>
        <v>1472201706.6500001</v>
      </c>
      <c r="H13" s="3">
        <f>SUM(H8:H12)</f>
        <v>1399506776.1399999</v>
      </c>
      <c r="I13" s="3">
        <f t="shared" si="1"/>
        <v>1386014023.1299999</v>
      </c>
    </row>
    <row r="14" spans="1:9" x14ac:dyDescent="0.3">
      <c r="A14" t="s">
        <v>16</v>
      </c>
      <c r="B14" s="1">
        <v>5628528.6799999997</v>
      </c>
      <c r="C14" s="1">
        <v>10384854.32</v>
      </c>
      <c r="D14" s="1">
        <v>11766567.810000001</v>
      </c>
      <c r="E14" s="1">
        <v>11351830.859999999</v>
      </c>
      <c r="F14" s="1">
        <v>8540097.1999999993</v>
      </c>
      <c r="G14" s="1">
        <v>19118110.09</v>
      </c>
      <c r="H14" s="1">
        <v>12731708.76</v>
      </c>
      <c r="I14" s="1">
        <v>13116595.25</v>
      </c>
    </row>
    <row r="15" spans="1:9" x14ac:dyDescent="0.3">
      <c r="A15" t="s">
        <v>15</v>
      </c>
      <c r="B15" s="1">
        <v>39138004.399999999</v>
      </c>
      <c r="C15" s="1">
        <v>35031618.960000001</v>
      </c>
      <c r="D15" s="1">
        <v>33835983.75</v>
      </c>
      <c r="E15" s="1">
        <v>17051634.030000001</v>
      </c>
      <c r="F15" s="1">
        <v>16958842.649999999</v>
      </c>
      <c r="G15" s="1">
        <v>15356152.119999999</v>
      </c>
      <c r="H15" s="1">
        <v>36195527.810000002</v>
      </c>
      <c r="I15" s="1">
        <v>32428999.02</v>
      </c>
    </row>
    <row r="16" spans="1:9" x14ac:dyDescent="0.3">
      <c r="A16" t="s">
        <v>17</v>
      </c>
      <c r="B16" s="1">
        <v>50259259.939999998</v>
      </c>
      <c r="C16" s="1">
        <v>39424110.579999998</v>
      </c>
      <c r="D16" s="1">
        <v>22394375.210000001</v>
      </c>
      <c r="E16" s="1">
        <v>22617885.390000001</v>
      </c>
      <c r="F16" s="1">
        <v>22859551.02</v>
      </c>
      <c r="G16" s="1">
        <v>25082311.149999999</v>
      </c>
      <c r="H16" s="1">
        <v>21592949.73</v>
      </c>
      <c r="I16" s="1">
        <v>21337175.969999999</v>
      </c>
    </row>
    <row r="17" spans="1:11" x14ac:dyDescent="0.3">
      <c r="A17" t="s">
        <v>18</v>
      </c>
      <c r="B17" s="1">
        <v>2713179.4</v>
      </c>
      <c r="C17" s="1">
        <v>2545739.69</v>
      </c>
      <c r="D17" s="1">
        <v>2459989.7400000002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11" x14ac:dyDescent="0.3">
      <c r="A18" t="s">
        <v>19</v>
      </c>
      <c r="B18" s="1">
        <v>25000000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11" x14ac:dyDescent="0.3">
      <c r="A19" s="4" t="s">
        <v>2</v>
      </c>
      <c r="B19" s="3">
        <f t="shared" ref="B19:I19" si="2">SUM(B14:B18)</f>
        <v>122738972.42</v>
      </c>
      <c r="C19" s="3">
        <f t="shared" si="2"/>
        <v>87386323.549999997</v>
      </c>
      <c r="D19" s="3">
        <f t="shared" si="2"/>
        <v>70456916.510000005</v>
      </c>
      <c r="E19" s="3">
        <f t="shared" si="2"/>
        <v>51021350.280000001</v>
      </c>
      <c r="F19" s="3">
        <f t="shared" si="2"/>
        <v>48358490.869999997</v>
      </c>
      <c r="G19" s="3">
        <f>SUM(G14:G18)</f>
        <v>59556573.359999999</v>
      </c>
      <c r="H19" s="3">
        <f>SUM(H14:H18)</f>
        <v>70520186.299999997</v>
      </c>
      <c r="I19" s="3">
        <f t="shared" si="2"/>
        <v>66882770.239999995</v>
      </c>
    </row>
    <row r="20" spans="1:11" x14ac:dyDescent="0.3">
      <c r="A20" s="4" t="s">
        <v>3</v>
      </c>
      <c r="B20" s="3">
        <v>17754718.649999999</v>
      </c>
      <c r="C20" s="3">
        <v>16428048.939999999</v>
      </c>
      <c r="D20" s="3">
        <v>1810041.93</v>
      </c>
      <c r="E20" s="3">
        <v>800000</v>
      </c>
      <c r="F20" s="3">
        <v>800000</v>
      </c>
      <c r="G20" s="3">
        <v>590000</v>
      </c>
      <c r="H20" s="3">
        <v>590000</v>
      </c>
      <c r="I20" s="3">
        <v>5049722.0599999996</v>
      </c>
    </row>
    <row r="21" spans="1:11" x14ac:dyDescent="0.3">
      <c r="A21" s="74" t="s">
        <v>4</v>
      </c>
      <c r="B21" s="41">
        <f t="shared" ref="B21:I21" si="3">B7-B13-B19-B20</f>
        <v>-306763231.76999992</v>
      </c>
      <c r="C21" s="41">
        <f t="shared" si="3"/>
        <v>-313620309.5200001</v>
      </c>
      <c r="D21" s="41">
        <f t="shared" si="3"/>
        <v>-302419584.17000008</v>
      </c>
      <c r="E21" s="41">
        <f t="shared" si="3"/>
        <v>-291218858.82000017</v>
      </c>
      <c r="F21" s="41">
        <f t="shared" si="3"/>
        <v>-913786999.93000019</v>
      </c>
      <c r="G21" s="41">
        <f>G7-G13-G19-G20</f>
        <v>-888385878.06000006</v>
      </c>
      <c r="H21" s="41">
        <f>H7-H13-H19-H20</f>
        <v>-704284920.93999982</v>
      </c>
      <c r="I21" s="41">
        <f t="shared" si="3"/>
        <v>-680730776.84999979</v>
      </c>
    </row>
    <row r="22" spans="1:11" x14ac:dyDescent="0.3">
      <c r="A22" t="s">
        <v>356</v>
      </c>
      <c r="B22" s="1">
        <v>-467799313.10000002</v>
      </c>
      <c r="C22" s="1">
        <v>-45901778.460000001</v>
      </c>
      <c r="D22" s="1">
        <v>-94707911.459999993</v>
      </c>
      <c r="E22" s="1">
        <v>-33610075.43</v>
      </c>
      <c r="F22" s="1">
        <v>-144708201.86000001</v>
      </c>
      <c r="G22" s="1">
        <v>-253196355.65000001</v>
      </c>
      <c r="H22" s="1">
        <v>-199952843.56</v>
      </c>
      <c r="I22" s="1">
        <v>-91680041.420000002</v>
      </c>
    </row>
    <row r="23" spans="1:11" x14ac:dyDescent="0.3">
      <c r="A23" t="s">
        <v>355</v>
      </c>
      <c r="B23" s="6">
        <f t="shared" ref="B23:I23" si="4">B8/B3*100</f>
        <v>44.036386832913252</v>
      </c>
      <c r="C23" s="6">
        <f t="shared" si="4"/>
        <v>41.727717265985333</v>
      </c>
      <c r="D23" s="6">
        <f t="shared" si="4"/>
        <v>40.70752428020473</v>
      </c>
      <c r="E23" s="6">
        <f t="shared" si="4"/>
        <v>43.322007123828662</v>
      </c>
      <c r="F23" s="6">
        <f t="shared" si="4"/>
        <v>59.006279224680313</v>
      </c>
      <c r="G23" s="6">
        <f>G8/G3*100</f>
        <v>55.345090927715681</v>
      </c>
      <c r="H23" s="6">
        <f>H8/H3*100</f>
        <v>58.491528414910157</v>
      </c>
      <c r="I23" s="6">
        <f t="shared" si="4"/>
        <v>56.958226712477533</v>
      </c>
      <c r="J23" s="6"/>
      <c r="K23" s="1"/>
    </row>
  </sheetData>
  <conditionalFormatting sqref="B21:F21 I21">
    <cfRule type="cellIs" dxfId="85" priority="12" operator="greaterThan">
      <formula>0</formula>
    </cfRule>
  </conditionalFormatting>
  <conditionalFormatting sqref="B21:F21 I21">
    <cfRule type="cellIs" dxfId="84" priority="9" operator="greaterThan">
      <formula>0</formula>
    </cfRule>
    <cfRule type="cellIs" dxfId="83" priority="10" operator="lessThan">
      <formula>0</formula>
    </cfRule>
  </conditionalFormatting>
  <conditionalFormatting sqref="G21">
    <cfRule type="cellIs" dxfId="82" priority="6" operator="greaterThan">
      <formula>0</formula>
    </cfRule>
  </conditionalFormatting>
  <conditionalFormatting sqref="G21">
    <cfRule type="cellIs" dxfId="81" priority="4" operator="greaterThan">
      <formula>0</formula>
    </cfRule>
    <cfRule type="cellIs" dxfId="80" priority="5" operator="lessThan">
      <formula>0</formula>
    </cfRule>
  </conditionalFormatting>
  <conditionalFormatting sqref="H21">
    <cfRule type="cellIs" dxfId="79" priority="3" operator="greaterThan">
      <formula>0</formula>
    </cfRule>
  </conditionalFormatting>
  <conditionalFormatting sqref="H21">
    <cfRule type="cellIs" dxfId="78" priority="1" operator="greaterThan">
      <formula>0</formula>
    </cfRule>
    <cfRule type="cellIs" dxfId="77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pane xSplit="2" ySplit="1" topLeftCell="C26" activePane="bottomRight" state="frozen"/>
      <selection pane="topRight" activeCell="C1" sqref="C1"/>
      <selection pane="bottomLeft" activeCell="A2" sqref="A2"/>
      <selection pane="bottomRight" activeCell="A29" sqref="A29:XFD29"/>
    </sheetView>
  </sheetViews>
  <sheetFormatPr defaultRowHeight="14.4" x14ac:dyDescent="0.3"/>
  <cols>
    <col min="1" max="1" width="65.33203125" bestFit="1" customWidth="1"/>
    <col min="2" max="2" width="10.88671875" customWidth="1"/>
    <col min="3" max="5" width="15.44140625" bestFit="1" customWidth="1"/>
    <col min="6" max="10" width="15.5546875" customWidth="1"/>
    <col min="11" max="11" width="12.33203125" bestFit="1" customWidth="1"/>
  </cols>
  <sheetData>
    <row r="1" spans="1:11" x14ac:dyDescent="0.3">
      <c r="C1" s="13">
        <v>2015</v>
      </c>
      <c r="D1" s="13">
        <v>2016</v>
      </c>
      <c r="E1" s="13">
        <v>2017</v>
      </c>
      <c r="F1" s="13">
        <v>2018</v>
      </c>
      <c r="G1" s="13">
        <v>2019</v>
      </c>
      <c r="H1" s="13">
        <v>2020</v>
      </c>
      <c r="I1" s="13">
        <v>2021</v>
      </c>
      <c r="J1" s="13">
        <v>2022</v>
      </c>
      <c r="K1" s="13" t="s">
        <v>266</v>
      </c>
    </row>
    <row r="2" spans="1:11" x14ac:dyDescent="0.3">
      <c r="A2" t="s">
        <v>236</v>
      </c>
      <c r="B2" s="30" t="s">
        <v>260</v>
      </c>
      <c r="C2" s="98">
        <v>829742401.98000002</v>
      </c>
      <c r="D2" s="1">
        <v>639108515.96000004</v>
      </c>
      <c r="E2" s="1">
        <v>641573487.25999999</v>
      </c>
      <c r="F2" s="1">
        <v>645193564.38999999</v>
      </c>
      <c r="G2" s="1">
        <v>656851703.50999999</v>
      </c>
      <c r="H2" s="1">
        <v>615635622.88999999</v>
      </c>
      <c r="I2" s="1">
        <v>619387469.63999999</v>
      </c>
      <c r="J2" s="1">
        <v>630241712.13999999</v>
      </c>
      <c r="K2" s="1">
        <f>J2-I2</f>
        <v>10854242.5</v>
      </c>
    </row>
    <row r="3" spans="1:11" x14ac:dyDescent="0.3">
      <c r="A3" t="s">
        <v>237</v>
      </c>
      <c r="B3" s="30" t="s">
        <v>260</v>
      </c>
      <c r="C3" s="98"/>
      <c r="D3" s="1">
        <v>181489225.71000001</v>
      </c>
      <c r="E3" s="1">
        <v>178771074.41999999</v>
      </c>
      <c r="F3" s="1">
        <v>177769580.31999999</v>
      </c>
      <c r="G3" s="1">
        <v>177755983.28</v>
      </c>
      <c r="H3" s="1">
        <v>178725631.36000001</v>
      </c>
      <c r="I3" s="1">
        <v>183761245.97999999</v>
      </c>
      <c r="J3" s="1">
        <v>184202100.90000001</v>
      </c>
      <c r="K3" s="1">
        <f t="shared" ref="K3:K29" si="0">J3-I3</f>
        <v>440854.92000001669</v>
      </c>
    </row>
    <row r="4" spans="1:11" x14ac:dyDescent="0.3">
      <c r="A4" t="s">
        <v>238</v>
      </c>
      <c r="B4" s="30" t="s">
        <v>260</v>
      </c>
      <c r="C4" s="98">
        <v>108133574.41</v>
      </c>
      <c r="D4" s="1">
        <v>141775456.55000001</v>
      </c>
      <c r="E4" s="1">
        <v>109421220.81999999</v>
      </c>
      <c r="F4" s="1">
        <v>207887652.5</v>
      </c>
      <c r="G4" s="1">
        <v>156819205.13</v>
      </c>
      <c r="H4" s="1">
        <v>263541364.08000001</v>
      </c>
      <c r="I4" s="1">
        <v>413095615.55000001</v>
      </c>
      <c r="J4" s="1">
        <v>294398544.81999999</v>
      </c>
      <c r="K4" s="1">
        <f t="shared" si="0"/>
        <v>-118697070.73000002</v>
      </c>
    </row>
    <row r="5" spans="1:11" x14ac:dyDescent="0.3">
      <c r="A5" t="s">
        <v>239</v>
      </c>
      <c r="B5" s="30" t="s">
        <v>260</v>
      </c>
      <c r="C5" s="98">
        <v>166498760.47999999</v>
      </c>
      <c r="D5" s="1">
        <v>140934402.34</v>
      </c>
      <c r="E5" s="1">
        <v>150054307.72</v>
      </c>
      <c r="F5" s="1">
        <v>136958043.75999999</v>
      </c>
      <c r="G5" s="1">
        <v>158834837.97999999</v>
      </c>
      <c r="H5" s="1">
        <v>117890027.12</v>
      </c>
      <c r="I5" s="1">
        <v>150347639.09999999</v>
      </c>
      <c r="J5" s="1">
        <v>170003722.31999999</v>
      </c>
      <c r="K5" s="1">
        <f t="shared" si="0"/>
        <v>19656083.219999999</v>
      </c>
    </row>
    <row r="6" spans="1:11" x14ac:dyDescent="0.3">
      <c r="A6" t="s">
        <v>240</v>
      </c>
      <c r="B6" s="30" t="s">
        <v>260</v>
      </c>
      <c r="C6" s="98"/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f t="shared" si="0"/>
        <v>0</v>
      </c>
    </row>
    <row r="7" spans="1:11" x14ac:dyDescent="0.3">
      <c r="A7" t="s">
        <v>241</v>
      </c>
      <c r="B7" s="30" t="s">
        <v>260</v>
      </c>
      <c r="C7" s="98"/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f t="shared" si="0"/>
        <v>0</v>
      </c>
    </row>
    <row r="8" spans="1:11" x14ac:dyDescent="0.3">
      <c r="A8" t="s">
        <v>242</v>
      </c>
      <c r="B8" s="30" t="s">
        <v>260</v>
      </c>
      <c r="C8" s="98"/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f t="shared" si="0"/>
        <v>0</v>
      </c>
    </row>
    <row r="9" spans="1:11" x14ac:dyDescent="0.3">
      <c r="A9" s="36" t="s">
        <v>243</v>
      </c>
      <c r="B9" s="37" t="s">
        <v>260</v>
      </c>
      <c r="C9" s="99">
        <f>109326409.01+26271485</f>
        <v>135597894.00999999</v>
      </c>
      <c r="D9" s="38">
        <v>135535986.47</v>
      </c>
      <c r="E9" s="38">
        <v>132158570.42</v>
      </c>
      <c r="F9" s="38">
        <v>118887884.09999999</v>
      </c>
      <c r="G9" s="38">
        <v>96870005.540000007</v>
      </c>
      <c r="H9" s="38">
        <v>66379691.649999999</v>
      </c>
      <c r="I9" s="38">
        <v>96011603.840000004</v>
      </c>
      <c r="J9" s="38">
        <v>84265285.159999996</v>
      </c>
      <c r="K9" s="1">
        <f t="shared" si="0"/>
        <v>-11746318.680000007</v>
      </c>
    </row>
    <row r="10" spans="1:11" x14ac:dyDescent="0.3">
      <c r="A10" s="39" t="s">
        <v>264</v>
      </c>
      <c r="B10" s="40" t="s">
        <v>260</v>
      </c>
      <c r="C10" s="97">
        <f t="shared" ref="C10:J10" si="1">SUM(C2:C9)</f>
        <v>1239972630.8799999</v>
      </c>
      <c r="D10" s="97">
        <f t="shared" si="1"/>
        <v>1238843587.03</v>
      </c>
      <c r="E10" s="97">
        <f t="shared" si="1"/>
        <v>1211978660.6400001</v>
      </c>
      <c r="F10" s="97">
        <f t="shared" si="1"/>
        <v>1286696725.0699999</v>
      </c>
      <c r="G10" s="97">
        <f t="shared" si="1"/>
        <v>1247131735.4399998</v>
      </c>
      <c r="H10" s="97">
        <f>SUM(H2:H9)</f>
        <v>1242172337.1000001</v>
      </c>
      <c r="I10" s="97">
        <f>SUM(I2:I9)</f>
        <v>1462603574.1099999</v>
      </c>
      <c r="J10" s="97">
        <f t="shared" si="1"/>
        <v>1363111365.3399999</v>
      </c>
      <c r="K10" s="12">
        <f t="shared" si="0"/>
        <v>-99492208.769999981</v>
      </c>
    </row>
    <row r="11" spans="1:11" x14ac:dyDescent="0.3">
      <c r="A11" t="s">
        <v>244</v>
      </c>
      <c r="B11" s="30" t="s">
        <v>261</v>
      </c>
      <c r="C11" s="98">
        <v>2311245.29</v>
      </c>
      <c r="D11" s="1">
        <v>1889447.53</v>
      </c>
      <c r="E11" s="1">
        <v>1732356.91</v>
      </c>
      <c r="F11" s="1">
        <v>2230497.2200000002</v>
      </c>
      <c r="G11" s="1">
        <v>2336881.67</v>
      </c>
      <c r="H11" s="1">
        <v>9726106.4100000001</v>
      </c>
      <c r="I11" s="1">
        <v>4213551.6100000003</v>
      </c>
      <c r="J11" s="1">
        <v>2654961.0299999998</v>
      </c>
      <c r="K11" s="1">
        <f t="shared" si="0"/>
        <v>-1558590.5800000005</v>
      </c>
    </row>
    <row r="12" spans="1:11" x14ac:dyDescent="0.3">
      <c r="A12" t="s">
        <v>245</v>
      </c>
      <c r="B12" s="30" t="s">
        <v>261</v>
      </c>
      <c r="C12" s="98">
        <v>484415947.70999998</v>
      </c>
      <c r="D12" s="1">
        <v>452771204.54000002</v>
      </c>
      <c r="E12" s="1">
        <v>442984760.50999999</v>
      </c>
      <c r="F12" s="1">
        <v>448468569</v>
      </c>
      <c r="G12" s="1">
        <v>475886765.13999999</v>
      </c>
      <c r="H12" s="1">
        <v>452493286.75</v>
      </c>
      <c r="I12" s="1">
        <v>474330962.82999998</v>
      </c>
      <c r="J12" s="1">
        <v>562787466.89999998</v>
      </c>
      <c r="K12" s="1">
        <f t="shared" si="0"/>
        <v>88456504.069999993</v>
      </c>
    </row>
    <row r="13" spans="1:11" x14ac:dyDescent="0.3">
      <c r="A13" t="s">
        <v>246</v>
      </c>
      <c r="B13" s="30" t="s">
        <v>261</v>
      </c>
      <c r="C13" s="98">
        <v>3406729.94</v>
      </c>
      <c r="D13" s="1">
        <v>3040189.42</v>
      </c>
      <c r="E13" s="1">
        <v>3200510</v>
      </c>
      <c r="F13" s="1">
        <v>3067558.59</v>
      </c>
      <c r="G13" s="1">
        <v>3709549.41</v>
      </c>
      <c r="H13" s="1">
        <v>3131273.63</v>
      </c>
      <c r="I13" s="1">
        <v>3287037.9</v>
      </c>
      <c r="J13" s="1">
        <v>3707075.6</v>
      </c>
      <c r="K13" s="1">
        <f t="shared" si="0"/>
        <v>420037.70000000019</v>
      </c>
    </row>
    <row r="14" spans="1:11" x14ac:dyDescent="0.3">
      <c r="A14" t="s">
        <v>247</v>
      </c>
      <c r="B14" s="30" t="s">
        <v>261</v>
      </c>
      <c r="C14" s="98">
        <v>39457691.259999998</v>
      </c>
      <c r="D14" s="1">
        <v>70317711.010000005</v>
      </c>
      <c r="E14" s="1">
        <v>89990589.489999995</v>
      </c>
      <c r="F14" s="1">
        <v>152296865.09999999</v>
      </c>
      <c r="G14" s="1">
        <v>76007794.620000005</v>
      </c>
      <c r="H14" s="1">
        <v>144193062.16999999</v>
      </c>
      <c r="I14" s="1">
        <v>153531073.99000001</v>
      </c>
      <c r="J14" s="1">
        <v>203804237.91999999</v>
      </c>
      <c r="K14" s="1">
        <f t="shared" si="0"/>
        <v>50273163.929999977</v>
      </c>
    </row>
    <row r="15" spans="1:11" x14ac:dyDescent="0.3">
      <c r="A15" t="s">
        <v>248</v>
      </c>
      <c r="B15" s="30" t="s">
        <v>261</v>
      </c>
      <c r="C15" s="98">
        <v>373774226.14999998</v>
      </c>
      <c r="D15" s="1">
        <v>384478397.35000002</v>
      </c>
      <c r="E15" s="1">
        <v>399617743.86000001</v>
      </c>
      <c r="F15" s="1">
        <v>355577555.05000001</v>
      </c>
      <c r="G15" s="1">
        <v>362335444.22000003</v>
      </c>
      <c r="H15" s="1">
        <v>330199393.75</v>
      </c>
      <c r="I15" s="1">
        <v>350933941.31999999</v>
      </c>
      <c r="J15" s="1">
        <v>331908975.75</v>
      </c>
      <c r="K15" s="1">
        <f t="shared" si="0"/>
        <v>-19024965.569999993</v>
      </c>
    </row>
    <row r="16" spans="1:11" x14ac:dyDescent="0.3">
      <c r="A16" t="s">
        <v>249</v>
      </c>
      <c r="B16" s="30" t="s">
        <v>261</v>
      </c>
      <c r="C16" s="98">
        <v>127097939.43000001</v>
      </c>
      <c r="D16" s="1">
        <v>249642948.74000001</v>
      </c>
      <c r="E16" s="1">
        <v>129524484.13</v>
      </c>
      <c r="F16" s="1">
        <v>151462595.47999999</v>
      </c>
      <c r="G16" s="1">
        <v>336682202.98000002</v>
      </c>
      <c r="H16" s="1">
        <v>140879471.19999999</v>
      </c>
      <c r="I16" s="1">
        <v>170986667.56999999</v>
      </c>
      <c r="J16" s="1">
        <v>134656209.25999999</v>
      </c>
      <c r="K16" s="1">
        <f t="shared" si="0"/>
        <v>-36330458.310000002</v>
      </c>
    </row>
    <row r="17" spans="1:11" x14ac:dyDescent="0.3">
      <c r="A17" t="s">
        <v>250</v>
      </c>
      <c r="B17" s="30" t="s">
        <v>261</v>
      </c>
      <c r="C17" s="98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f t="shared" si="0"/>
        <v>0</v>
      </c>
    </row>
    <row r="18" spans="1:11" x14ac:dyDescent="0.3">
      <c r="A18" t="s">
        <v>251</v>
      </c>
      <c r="B18" s="30" t="s">
        <v>261</v>
      </c>
      <c r="C18" s="98"/>
      <c r="D18" s="1">
        <v>295000</v>
      </c>
      <c r="E18" s="1">
        <v>0</v>
      </c>
      <c r="F18" s="1">
        <v>2220987.2599999998</v>
      </c>
      <c r="G18" s="1">
        <v>1291600.48</v>
      </c>
      <c r="H18" s="1">
        <v>20116308.510000002</v>
      </c>
      <c r="I18" s="1">
        <v>1779791.45</v>
      </c>
      <c r="J18" s="1">
        <v>3193533.56</v>
      </c>
      <c r="K18" s="1">
        <f t="shared" si="0"/>
        <v>1413742.11</v>
      </c>
    </row>
    <row r="19" spans="1:11" x14ac:dyDescent="0.3">
      <c r="A19" t="s">
        <v>14</v>
      </c>
      <c r="B19" s="30" t="s">
        <v>261</v>
      </c>
      <c r="C19" s="98"/>
      <c r="D19" s="1">
        <v>2519361.08</v>
      </c>
      <c r="E19" s="1">
        <v>37427097.229999997</v>
      </c>
      <c r="F19" s="1">
        <v>22890657.300000001</v>
      </c>
      <c r="G19" s="1">
        <v>454941317.10000002</v>
      </c>
      <c r="H19" s="1">
        <v>4206735.0199999996</v>
      </c>
      <c r="I19" s="1">
        <v>12735913.26</v>
      </c>
      <c r="J19" s="1">
        <v>39025534.75</v>
      </c>
      <c r="K19" s="1">
        <f t="shared" si="0"/>
        <v>26289621.490000002</v>
      </c>
    </row>
    <row r="20" spans="1:11" x14ac:dyDescent="0.3">
      <c r="A20" s="36" t="s">
        <v>252</v>
      </c>
      <c r="B20" s="37" t="s">
        <v>261</v>
      </c>
      <c r="C20" s="99">
        <v>25072878.600000001</v>
      </c>
      <c r="D20" s="38">
        <v>29217361.390000001</v>
      </c>
      <c r="E20" s="38">
        <v>10160287.300000001</v>
      </c>
      <c r="F20" s="38">
        <v>37739883.490000002</v>
      </c>
      <c r="G20" s="38">
        <v>7980701.3899999997</v>
      </c>
      <c r="H20" s="38">
        <v>9924827.4499999993</v>
      </c>
      <c r="I20" s="38">
        <v>8850993.5999999996</v>
      </c>
      <c r="J20" s="38">
        <v>7409217.7300000004</v>
      </c>
      <c r="K20" s="1">
        <f t="shared" si="0"/>
        <v>-1441775.8699999992</v>
      </c>
    </row>
    <row r="21" spans="1:11" x14ac:dyDescent="0.3">
      <c r="A21" s="39" t="s">
        <v>265</v>
      </c>
      <c r="B21" s="40" t="s">
        <v>261</v>
      </c>
      <c r="C21" s="97">
        <f t="shared" ref="C21:J21" si="2">SUM(C11:C20)</f>
        <v>1055536658.38</v>
      </c>
      <c r="D21" s="97">
        <f t="shared" si="2"/>
        <v>1194171621.0600002</v>
      </c>
      <c r="E21" s="97">
        <f t="shared" si="2"/>
        <v>1114637829.4299998</v>
      </c>
      <c r="F21" s="97">
        <f t="shared" si="2"/>
        <v>1175955168.49</v>
      </c>
      <c r="G21" s="97">
        <f t="shared" si="2"/>
        <v>1721172257.01</v>
      </c>
      <c r="H21" s="97">
        <f>SUM(H11:H20)</f>
        <v>1114870464.8900001</v>
      </c>
      <c r="I21" s="97">
        <f>SUM(I11:I20)</f>
        <v>1180649933.5299997</v>
      </c>
      <c r="J21" s="97">
        <f t="shared" si="2"/>
        <v>1289147212.4999998</v>
      </c>
      <c r="K21" s="12">
        <f t="shared" si="0"/>
        <v>108497278.97000003</v>
      </c>
    </row>
    <row r="22" spans="1:11" x14ac:dyDescent="0.3">
      <c r="A22" t="s">
        <v>253</v>
      </c>
      <c r="B22" s="30" t="s">
        <v>260</v>
      </c>
      <c r="C22" s="98">
        <v>7926499.71</v>
      </c>
      <c r="D22" s="1">
        <v>28081392.829999998</v>
      </c>
      <c r="E22" s="1">
        <v>37334833.880000003</v>
      </c>
      <c r="F22" s="1">
        <v>84381902.650000006</v>
      </c>
      <c r="G22" s="1">
        <v>31275780.559999999</v>
      </c>
      <c r="H22" s="1">
        <v>21566687.390000001</v>
      </c>
      <c r="I22" s="1">
        <v>52343464.960000001</v>
      </c>
      <c r="J22" s="1">
        <v>39700567.399999999</v>
      </c>
      <c r="K22" s="1">
        <f t="shared" si="0"/>
        <v>-12642897.560000002</v>
      </c>
    </row>
    <row r="23" spans="1:11" x14ac:dyDescent="0.3">
      <c r="A23" t="s">
        <v>254</v>
      </c>
      <c r="B23" s="30" t="s">
        <v>261</v>
      </c>
      <c r="C23" s="98">
        <v>122781122.52999999</v>
      </c>
      <c r="D23" s="1">
        <v>121700109.65000001</v>
      </c>
      <c r="E23" s="1">
        <v>110034769.81</v>
      </c>
      <c r="F23" s="1">
        <v>116128876.45</v>
      </c>
      <c r="G23" s="1">
        <v>111837012.22</v>
      </c>
      <c r="H23" s="1">
        <v>104218054.90000001</v>
      </c>
      <c r="I23" s="1">
        <v>102099607.02</v>
      </c>
      <c r="J23" s="1">
        <v>95709534.700000003</v>
      </c>
      <c r="K23" s="1">
        <f t="shared" si="0"/>
        <v>-6390072.3199999928</v>
      </c>
    </row>
    <row r="24" spans="1:11" x14ac:dyDescent="0.3">
      <c r="A24" t="s">
        <v>255</v>
      </c>
      <c r="B24" s="30" t="s">
        <v>260</v>
      </c>
      <c r="C24" s="98"/>
      <c r="D24" s="1">
        <v>64977178.020000003</v>
      </c>
      <c r="E24" s="1">
        <v>99295383.049999997</v>
      </c>
      <c r="F24" s="1">
        <v>82809125.25</v>
      </c>
      <c r="G24" s="1">
        <v>41247517.32</v>
      </c>
      <c r="H24" s="1">
        <v>41929366.590000004</v>
      </c>
      <c r="I24" s="1">
        <v>-136001.42000000001</v>
      </c>
      <c r="J24" s="1">
        <v>-1508711</v>
      </c>
      <c r="K24" s="1">
        <f t="shared" si="0"/>
        <v>-1372709.58</v>
      </c>
    </row>
    <row r="25" spans="1:11" x14ac:dyDescent="0.3">
      <c r="A25" t="s">
        <v>256</v>
      </c>
      <c r="B25" s="30" t="s">
        <v>260</v>
      </c>
      <c r="C25" s="98">
        <v>879872246.73000002</v>
      </c>
      <c r="D25" s="1">
        <v>66661928.109999999</v>
      </c>
      <c r="E25" s="1">
        <v>49752483.719999999</v>
      </c>
      <c r="F25" s="1">
        <v>112038424.11</v>
      </c>
      <c r="G25" s="1">
        <v>46525548.369999997</v>
      </c>
      <c r="H25" s="1">
        <v>18825584.690000001</v>
      </c>
      <c r="I25" s="1">
        <v>205034981.30000001</v>
      </c>
      <c r="J25" s="1">
        <v>110936397.72</v>
      </c>
      <c r="K25" s="1">
        <f t="shared" si="0"/>
        <v>-94098583.580000013</v>
      </c>
    </row>
    <row r="26" spans="1:11" x14ac:dyDescent="0.3">
      <c r="A26" t="s">
        <v>257</v>
      </c>
      <c r="B26" s="30" t="s">
        <v>261</v>
      </c>
      <c r="C26" s="98">
        <v>562775512.12</v>
      </c>
      <c r="D26" s="1">
        <v>30676737.800000001</v>
      </c>
      <c r="E26" s="1">
        <v>33289336.16</v>
      </c>
      <c r="F26" s="1">
        <v>53706399.780000001</v>
      </c>
      <c r="G26" s="1">
        <v>36383451.32</v>
      </c>
      <c r="H26" s="1">
        <v>44690595.490000002</v>
      </c>
      <c r="I26" s="1">
        <v>123941502.25</v>
      </c>
      <c r="J26" s="1">
        <v>95339025.25</v>
      </c>
      <c r="K26" s="1">
        <f t="shared" si="0"/>
        <v>-28602477</v>
      </c>
    </row>
    <row r="27" spans="1:11" x14ac:dyDescent="0.3">
      <c r="A27" t="s">
        <v>258</v>
      </c>
      <c r="B27" s="30" t="s">
        <v>261</v>
      </c>
      <c r="C27" s="98">
        <v>27781283.239999998</v>
      </c>
      <c r="D27" s="1">
        <v>21146337.800000001</v>
      </c>
      <c r="E27" s="1">
        <v>22989786.940000001</v>
      </c>
      <c r="F27" s="1">
        <v>23455314.190000001</v>
      </c>
      <c r="G27" s="1">
        <v>21113942.699999999</v>
      </c>
      <c r="H27" s="1">
        <v>19314661.489999998</v>
      </c>
      <c r="I27" s="1">
        <v>20268409.23</v>
      </c>
      <c r="J27" s="1">
        <v>18820197.030000001</v>
      </c>
      <c r="K27" s="1">
        <f t="shared" si="0"/>
        <v>-1448212.1999999993</v>
      </c>
    </row>
    <row r="28" spans="1:11" x14ac:dyDescent="0.3">
      <c r="A28" s="11" t="s">
        <v>259</v>
      </c>
      <c r="B28" s="40" t="s">
        <v>262</v>
      </c>
      <c r="C28" s="100">
        <f t="shared" ref="C28:J28" si="3">SUM(C2:C9)-SUM(C11:C20)+C22-C23+C24+C25-C26-C27</f>
        <v>358896801.04999995</v>
      </c>
      <c r="D28" s="100">
        <f t="shared" si="3"/>
        <v>30869279.679999795</v>
      </c>
      <c r="E28" s="100">
        <f t="shared" si="3"/>
        <v>117409638.95000026</v>
      </c>
      <c r="F28" s="100">
        <f t="shared" si="3"/>
        <v>196680418.16999993</v>
      </c>
      <c r="G28" s="100">
        <f t="shared" si="3"/>
        <v>-524326081.56000012</v>
      </c>
      <c r="H28" s="100">
        <f>SUM(H2:H9)-SUM(H11:H20)+H22-H23+H24+H25-H26-H27</f>
        <v>41400199.000000015</v>
      </c>
      <c r="I28" s="100">
        <f>SUM(I2:I9)-SUM(I11:I20)+I22-I23+I24+I25-I26-I27</f>
        <v>292886566.9200002</v>
      </c>
      <c r="J28" s="100">
        <f t="shared" si="3"/>
        <v>13223649.980000153</v>
      </c>
      <c r="K28" s="41">
        <f t="shared" si="0"/>
        <v>-279662916.94000006</v>
      </c>
    </row>
    <row r="29" spans="1:11" x14ac:dyDescent="0.3">
      <c r="A29" s="76" t="s">
        <v>388</v>
      </c>
      <c r="B29" s="134"/>
      <c r="C29" s="135">
        <f>C10-SUM(C11:C15)+C17</f>
        <v>336606790.52999997</v>
      </c>
      <c r="D29" s="135">
        <f t="shared" ref="D29:J29" si="4">D10-SUM(D11:D15)+D17</f>
        <v>326346637.17999995</v>
      </c>
      <c r="E29" s="135">
        <f t="shared" si="4"/>
        <v>274452699.87000012</v>
      </c>
      <c r="F29" s="135">
        <f t="shared" si="4"/>
        <v>325055680.1099999</v>
      </c>
      <c r="G29" s="135">
        <f t="shared" si="4"/>
        <v>326855300.37999976</v>
      </c>
      <c r="H29" s="135">
        <f t="shared" si="4"/>
        <v>302429214.3900001</v>
      </c>
      <c r="I29" s="135">
        <f t="shared" si="4"/>
        <v>476307006.46000004</v>
      </c>
      <c r="J29" s="135">
        <f t="shared" si="4"/>
        <v>258248648.1400001</v>
      </c>
      <c r="K29" s="135">
        <f t="shared" si="0"/>
        <v>-218058358.31999993</v>
      </c>
    </row>
  </sheetData>
  <conditionalFormatting sqref="C28:G28 J28:K28 C29:K29">
    <cfRule type="cellIs" dxfId="76" priority="12" operator="greaterThan">
      <formula>0</formula>
    </cfRule>
  </conditionalFormatting>
  <conditionalFormatting sqref="H28">
    <cfRule type="cellIs" dxfId="75" priority="6" operator="greaterThan">
      <formula>0</formula>
    </cfRule>
  </conditionalFormatting>
  <conditionalFormatting sqref="I28">
    <cfRule type="cellIs" dxfId="74" priority="5" operator="greaterThan">
      <formula>0</formula>
    </cfRule>
  </conditionalFormatting>
  <conditionalFormatting sqref="C29:J29">
    <cfRule type="cellIs" dxfId="73" priority="3" operator="greaterThan">
      <formula>0</formula>
    </cfRule>
  </conditionalFormatting>
  <conditionalFormatting sqref="C29:J29">
    <cfRule type="cellIs" dxfId="72" priority="2" operator="greaterThan">
      <formula>0</formula>
    </cfRule>
  </conditionalFormatting>
  <conditionalFormatting sqref="C29:J29">
    <cfRule type="cellIs" dxfId="71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A9" sqref="A9:XFD9"/>
    </sheetView>
  </sheetViews>
  <sheetFormatPr defaultRowHeight="14.4" x14ac:dyDescent="0.3"/>
  <cols>
    <col min="1" max="1" width="50.6640625" bestFit="1" customWidth="1"/>
    <col min="2" max="9" width="13.33203125" bestFit="1" customWidth="1"/>
    <col min="10" max="10" width="12.33203125" bestFit="1" customWidth="1"/>
  </cols>
  <sheetData>
    <row r="1" spans="1:10" x14ac:dyDescent="0.3">
      <c r="A1" s="45"/>
      <c r="B1" s="46">
        <v>2015</v>
      </c>
      <c r="C1" s="46">
        <v>2016</v>
      </c>
      <c r="D1" s="46">
        <v>2017</v>
      </c>
      <c r="E1" s="46">
        <v>2018</v>
      </c>
      <c r="F1" s="46">
        <v>2019</v>
      </c>
      <c r="G1" s="46">
        <v>2020</v>
      </c>
      <c r="H1" s="46">
        <v>2021</v>
      </c>
      <c r="I1" s="46">
        <v>2022</v>
      </c>
      <c r="J1" s="46" t="s">
        <v>266</v>
      </c>
    </row>
    <row r="2" spans="1:10" x14ac:dyDescent="0.3">
      <c r="A2" s="75" t="s">
        <v>346</v>
      </c>
      <c r="B2" s="68">
        <f>Conto_economico!C10</f>
        <v>1239972630.8799999</v>
      </c>
      <c r="C2" s="68">
        <f>Conto_economico!D10</f>
        <v>1238843587.03</v>
      </c>
      <c r="D2" s="68">
        <f>Conto_economico!E10</f>
        <v>1211978660.6400001</v>
      </c>
      <c r="E2" s="68">
        <f>Conto_economico!F10</f>
        <v>1286696725.0699999</v>
      </c>
      <c r="F2" s="68">
        <f>Conto_economico!G10</f>
        <v>1247131735.4399998</v>
      </c>
      <c r="G2" s="68">
        <f>Conto_economico!H10</f>
        <v>1242172337.1000001</v>
      </c>
      <c r="H2" s="68">
        <f>Conto_economico!I10</f>
        <v>1462603574.1099999</v>
      </c>
      <c r="I2" s="68">
        <f>Conto_economico!J10</f>
        <v>1363111365.3399999</v>
      </c>
      <c r="J2" s="68">
        <f t="shared" ref="J2:J16" si="0">I2-H2</f>
        <v>-99492208.769999981</v>
      </c>
    </row>
    <row r="3" spans="1:10" x14ac:dyDescent="0.3">
      <c r="A3" s="75" t="s">
        <v>341</v>
      </c>
      <c r="B3" s="68">
        <f>Conto_economico!C2</f>
        <v>829742401.98000002</v>
      </c>
      <c r="C3" s="68">
        <f>Conto_economico!D2</f>
        <v>639108515.96000004</v>
      </c>
      <c r="D3" s="68">
        <f>Conto_economico!E2</f>
        <v>641573487.25999999</v>
      </c>
      <c r="E3" s="68">
        <f>Conto_economico!F2</f>
        <v>645193564.38999999</v>
      </c>
      <c r="F3" s="68">
        <f>Conto_economico!G2</f>
        <v>656851703.50999999</v>
      </c>
      <c r="G3" s="68">
        <f>Conto_economico!H2</f>
        <v>615635622.88999999</v>
      </c>
      <c r="H3" s="68">
        <f>Conto_economico!I2</f>
        <v>619387469.63999999</v>
      </c>
      <c r="I3" s="68">
        <f>Conto_economico!J2</f>
        <v>630241712.13999999</v>
      </c>
      <c r="J3" s="68">
        <f t="shared" si="0"/>
        <v>10854242.5</v>
      </c>
    </row>
    <row r="4" spans="1:10" x14ac:dyDescent="0.3">
      <c r="A4" s="75" t="s">
        <v>342</v>
      </c>
      <c r="B4" s="68">
        <f>Conto_economico!C4</f>
        <v>108133574.41</v>
      </c>
      <c r="C4" s="68">
        <f>Conto_economico!D4</f>
        <v>141775456.55000001</v>
      </c>
      <c r="D4" s="68">
        <f>Conto_economico!E4</f>
        <v>109421220.81999999</v>
      </c>
      <c r="E4" s="68">
        <f>Conto_economico!F4</f>
        <v>207887652.5</v>
      </c>
      <c r="F4" s="68">
        <f>Conto_economico!G4</f>
        <v>156819205.13</v>
      </c>
      <c r="G4" s="68">
        <f>Conto_economico!H4</f>
        <v>263541364.08000001</v>
      </c>
      <c r="H4" s="68">
        <f>Conto_economico!I4</f>
        <v>413095615.55000001</v>
      </c>
      <c r="I4" s="68">
        <f>Conto_economico!J4</f>
        <v>294398544.81999999</v>
      </c>
      <c r="J4" s="68">
        <f t="shared" si="0"/>
        <v>-118697070.73000002</v>
      </c>
    </row>
    <row r="5" spans="1:10" x14ac:dyDescent="0.3">
      <c r="A5" s="75" t="s">
        <v>347</v>
      </c>
      <c r="B5" s="69">
        <f>Conto_economico!C21</f>
        <v>1055536658.38</v>
      </c>
      <c r="C5" s="69">
        <f>Conto_economico!D21</f>
        <v>1194171621.0600002</v>
      </c>
      <c r="D5" s="69">
        <f>Conto_economico!E21</f>
        <v>1114637829.4299998</v>
      </c>
      <c r="E5" s="69">
        <f>Conto_economico!F21</f>
        <v>1175955168.49</v>
      </c>
      <c r="F5" s="69">
        <f>Conto_economico!G21</f>
        <v>1721172257.01</v>
      </c>
      <c r="G5" s="69">
        <f>Conto_economico!H21</f>
        <v>1114870464.8900001</v>
      </c>
      <c r="H5" s="69">
        <f>Conto_economico!I21</f>
        <v>1180649933.5299997</v>
      </c>
      <c r="I5" s="69">
        <f>Conto_economico!J21</f>
        <v>1289147212.4999998</v>
      </c>
      <c r="J5" s="68">
        <f t="shared" si="0"/>
        <v>108497278.97000003</v>
      </c>
    </row>
    <row r="6" spans="1:10" x14ac:dyDescent="0.3">
      <c r="A6" s="75" t="s">
        <v>343</v>
      </c>
      <c r="B6" s="68">
        <f>Conto_economico!C12</f>
        <v>484415947.70999998</v>
      </c>
      <c r="C6" s="68">
        <f>Conto_economico!D12</f>
        <v>452771204.54000002</v>
      </c>
      <c r="D6" s="68">
        <f>Conto_economico!E12</f>
        <v>442984760.50999999</v>
      </c>
      <c r="E6" s="68">
        <f>Conto_economico!F12</f>
        <v>448468569</v>
      </c>
      <c r="F6" s="68">
        <f>Conto_economico!G12</f>
        <v>475886765.13999999</v>
      </c>
      <c r="G6" s="68">
        <f>Conto_economico!H12</f>
        <v>452493286.75</v>
      </c>
      <c r="H6" s="68">
        <f>Conto_economico!I12</f>
        <v>474330962.82999998</v>
      </c>
      <c r="I6" s="68">
        <f>Conto_economico!J12</f>
        <v>562787466.89999998</v>
      </c>
      <c r="J6" s="68">
        <f t="shared" si="0"/>
        <v>88456504.069999993</v>
      </c>
    </row>
    <row r="7" spans="1:10" x14ac:dyDescent="0.3">
      <c r="A7" s="75" t="s">
        <v>344</v>
      </c>
      <c r="B7" s="68">
        <f>Conto_economico!C15</f>
        <v>373774226.14999998</v>
      </c>
      <c r="C7" s="68">
        <f>Conto_economico!D15</f>
        <v>384478397.35000002</v>
      </c>
      <c r="D7" s="68">
        <f>Conto_economico!E15</f>
        <v>399617743.86000001</v>
      </c>
      <c r="E7" s="68">
        <f>Conto_economico!F15</f>
        <v>355577555.05000001</v>
      </c>
      <c r="F7" s="68">
        <f>Conto_economico!G15</f>
        <v>362335444.22000003</v>
      </c>
      <c r="G7" s="68">
        <f>Conto_economico!H15</f>
        <v>330199393.75</v>
      </c>
      <c r="H7" s="68">
        <f>Conto_economico!I15</f>
        <v>350933941.31999999</v>
      </c>
      <c r="I7" s="68">
        <f>Conto_economico!J15</f>
        <v>331908975.75</v>
      </c>
      <c r="J7" s="68">
        <f t="shared" si="0"/>
        <v>-19024965.569999993</v>
      </c>
    </row>
    <row r="8" spans="1:10" x14ac:dyDescent="0.3">
      <c r="A8" s="75" t="s">
        <v>345</v>
      </c>
      <c r="B8" s="68">
        <f>Conto_economico!C16</f>
        <v>127097939.43000001</v>
      </c>
      <c r="C8" s="68">
        <f>Conto_economico!D16</f>
        <v>249642948.74000001</v>
      </c>
      <c r="D8" s="68">
        <f>Conto_economico!E16</f>
        <v>129524484.13</v>
      </c>
      <c r="E8" s="68">
        <f>Conto_economico!F16</f>
        <v>151462595.47999999</v>
      </c>
      <c r="F8" s="68">
        <f>Conto_economico!G16</f>
        <v>336682202.98000002</v>
      </c>
      <c r="G8" s="68">
        <f>Conto_economico!H16</f>
        <v>140879471.19999999</v>
      </c>
      <c r="H8" s="68">
        <f>Conto_economico!I16</f>
        <v>170986667.56999999</v>
      </c>
      <c r="I8" s="68">
        <f>Conto_economico!J16</f>
        <v>134656209.25999999</v>
      </c>
      <c r="J8" s="68">
        <f t="shared" si="0"/>
        <v>-36330458.310000002</v>
      </c>
    </row>
    <row r="9" spans="1:10" x14ac:dyDescent="0.3">
      <c r="A9" s="51" t="s">
        <v>388</v>
      </c>
      <c r="B9" s="70">
        <f>Conto_economico!C29</f>
        <v>336606790.52999997</v>
      </c>
      <c r="C9" s="70">
        <f>Conto_economico!D29</f>
        <v>326346637.17999995</v>
      </c>
      <c r="D9" s="70">
        <f>Conto_economico!E29</f>
        <v>274452699.87000012</v>
      </c>
      <c r="E9" s="70">
        <f>Conto_economico!F29</f>
        <v>325055680.1099999</v>
      </c>
      <c r="F9" s="70">
        <f>Conto_economico!G29</f>
        <v>326855300.37999976</v>
      </c>
      <c r="G9" s="70">
        <f>Conto_economico!H29</f>
        <v>302429214.3900001</v>
      </c>
      <c r="H9" s="70">
        <f>Conto_economico!I29</f>
        <v>476307006.46000004</v>
      </c>
      <c r="I9" s="70">
        <f>Conto_economico!J29</f>
        <v>258248648.1400001</v>
      </c>
      <c r="J9" s="70">
        <f>I9-H9</f>
        <v>-218058358.31999993</v>
      </c>
    </row>
    <row r="10" spans="1:10" x14ac:dyDescent="0.3">
      <c r="A10" s="51" t="s">
        <v>307</v>
      </c>
      <c r="B10" s="70">
        <f t="shared" ref="B10:I10" si="1">B2-B5</f>
        <v>184435972.49999988</v>
      </c>
      <c r="C10" s="70">
        <f t="shared" si="1"/>
        <v>44671965.96999979</v>
      </c>
      <c r="D10" s="70">
        <f t="shared" si="1"/>
        <v>97340831.210000277</v>
      </c>
      <c r="E10" s="70">
        <f t="shared" si="1"/>
        <v>110741556.57999992</v>
      </c>
      <c r="F10" s="70">
        <f t="shared" si="1"/>
        <v>-474040521.57000017</v>
      </c>
      <c r="G10" s="70">
        <f>G2-G5</f>
        <v>127301872.21000004</v>
      </c>
      <c r="H10" s="70">
        <f>H2-H5</f>
        <v>281953640.58000016</v>
      </c>
      <c r="I10" s="70">
        <f t="shared" si="1"/>
        <v>73964152.840000153</v>
      </c>
      <c r="J10" s="70">
        <f t="shared" si="0"/>
        <v>-207989487.74000001</v>
      </c>
    </row>
    <row r="11" spans="1:10" x14ac:dyDescent="0.3">
      <c r="A11" s="75" t="s">
        <v>308</v>
      </c>
      <c r="B11" s="68">
        <f>Conto_economico!C22-Conto_economico!C23</f>
        <v>-114854622.81999999</v>
      </c>
      <c r="C11" s="68">
        <f>Conto_economico!D22-Conto_economico!D23</f>
        <v>-93618716.820000008</v>
      </c>
      <c r="D11" s="68">
        <f>Conto_economico!E22-Conto_economico!E23</f>
        <v>-72699935.930000007</v>
      </c>
      <c r="E11" s="68">
        <f>Conto_economico!F22-Conto_economico!F23</f>
        <v>-31746973.799999997</v>
      </c>
      <c r="F11" s="68">
        <f>Conto_economico!G22-Conto_economico!G23</f>
        <v>-80561231.659999996</v>
      </c>
      <c r="G11" s="68">
        <f>Conto_economico!H22-Conto_economico!H23</f>
        <v>-82651367.510000005</v>
      </c>
      <c r="H11" s="68">
        <f>Conto_economico!I22-Conto_economico!I23</f>
        <v>-49756142.059999995</v>
      </c>
      <c r="I11" s="68">
        <f>Conto_economico!J22-Conto_economico!J23</f>
        <v>-56008967.300000004</v>
      </c>
      <c r="J11" s="68">
        <f t="shared" si="0"/>
        <v>-6252825.2400000095</v>
      </c>
    </row>
    <row r="12" spans="1:10" x14ac:dyDescent="0.3">
      <c r="A12" s="75" t="s">
        <v>309</v>
      </c>
      <c r="B12" s="69">
        <f>Conto_economico!C25-Conto_economico!C26</f>
        <v>317096734.61000001</v>
      </c>
      <c r="C12" s="69">
        <f>Conto_economico!D25-Conto_economico!D26</f>
        <v>35985190.310000002</v>
      </c>
      <c r="D12" s="69">
        <f>Conto_economico!E25-Conto_economico!E26</f>
        <v>16463147.559999999</v>
      </c>
      <c r="E12" s="69">
        <f>Conto_economico!F25-Conto_economico!F26</f>
        <v>58332024.329999998</v>
      </c>
      <c r="F12" s="69">
        <f>Conto_economico!G25-Conto_economico!G26</f>
        <v>10142097.049999997</v>
      </c>
      <c r="G12" s="69">
        <f>Conto_economico!H25-Conto_economico!H26</f>
        <v>-25865010.800000001</v>
      </c>
      <c r="H12" s="69">
        <f>Conto_economico!I25-Conto_economico!I26</f>
        <v>81093479.050000012</v>
      </c>
      <c r="I12" s="69">
        <f>Conto_economico!J25-Conto_economico!J26</f>
        <v>15597372.469999999</v>
      </c>
      <c r="J12" s="68">
        <f t="shared" si="0"/>
        <v>-65496106.580000013</v>
      </c>
    </row>
    <row r="13" spans="1:10" x14ac:dyDescent="0.3">
      <c r="A13" s="75" t="s">
        <v>255</v>
      </c>
      <c r="B13" s="69">
        <f>Conto_economico!C24</f>
        <v>0</v>
      </c>
      <c r="C13" s="69">
        <f>Conto_economico!D24</f>
        <v>64977178.020000003</v>
      </c>
      <c r="D13" s="69">
        <f>Conto_economico!E24</f>
        <v>99295383.049999997</v>
      </c>
      <c r="E13" s="69">
        <f>Conto_economico!F24</f>
        <v>82809125.25</v>
      </c>
      <c r="F13" s="69">
        <f>Conto_economico!G24</f>
        <v>41247517.32</v>
      </c>
      <c r="G13" s="69">
        <f>Conto_economico!H24</f>
        <v>41929366.590000004</v>
      </c>
      <c r="H13" s="69">
        <f>Conto_economico!I24</f>
        <v>-136001.42000000001</v>
      </c>
      <c r="I13" s="69">
        <f>Conto_economico!J24</f>
        <v>-1508711</v>
      </c>
      <c r="J13" s="68">
        <f t="shared" si="0"/>
        <v>-1372709.58</v>
      </c>
    </row>
    <row r="14" spans="1:10" x14ac:dyDescent="0.3">
      <c r="A14" s="51" t="s">
        <v>310</v>
      </c>
      <c r="B14" s="70">
        <f t="shared" ref="B14:I14" si="2">SUM(B10:B13)</f>
        <v>386678084.2899999</v>
      </c>
      <c r="C14" s="70">
        <f t="shared" si="2"/>
        <v>52015617.479999788</v>
      </c>
      <c r="D14" s="70">
        <f t="shared" si="2"/>
        <v>140399425.89000028</v>
      </c>
      <c r="E14" s="70">
        <f t="shared" si="2"/>
        <v>220135732.35999992</v>
      </c>
      <c r="F14" s="70">
        <f t="shared" si="2"/>
        <v>-503212138.86000019</v>
      </c>
      <c r="G14" s="70">
        <f>SUM(G10:G13)</f>
        <v>60714860.490000039</v>
      </c>
      <c r="H14" s="70">
        <f>SUM(H10:H13)</f>
        <v>313154976.15000015</v>
      </c>
      <c r="I14" s="70">
        <f t="shared" si="2"/>
        <v>32043847.010000147</v>
      </c>
      <c r="J14" s="70">
        <f t="shared" si="0"/>
        <v>-281111129.13999999</v>
      </c>
    </row>
    <row r="15" spans="1:10" x14ac:dyDescent="0.3">
      <c r="A15" s="75" t="s">
        <v>258</v>
      </c>
      <c r="B15" s="68">
        <f>Conto_economico!C27</f>
        <v>27781283.239999998</v>
      </c>
      <c r="C15" s="68">
        <f>Conto_economico!D27</f>
        <v>21146337.800000001</v>
      </c>
      <c r="D15" s="68">
        <f>Conto_economico!E27</f>
        <v>22989786.940000001</v>
      </c>
      <c r="E15" s="68">
        <f>Conto_economico!F27</f>
        <v>23455314.190000001</v>
      </c>
      <c r="F15" s="68">
        <f>Conto_economico!G27</f>
        <v>21113942.699999999</v>
      </c>
      <c r="G15" s="68">
        <f>Conto_economico!H27</f>
        <v>19314661.489999998</v>
      </c>
      <c r="H15" s="68">
        <f>Conto_economico!I27</f>
        <v>20268409.23</v>
      </c>
      <c r="I15" s="68">
        <f>Conto_economico!J27</f>
        <v>18820197.030000001</v>
      </c>
      <c r="J15" s="68">
        <f t="shared" si="0"/>
        <v>-1448212.1999999993</v>
      </c>
    </row>
    <row r="16" spans="1:10" x14ac:dyDescent="0.3">
      <c r="A16" s="74" t="s">
        <v>259</v>
      </c>
      <c r="B16" s="71">
        <f t="shared" ref="B16:I16" si="3">B14-B15</f>
        <v>358896801.04999989</v>
      </c>
      <c r="C16" s="71">
        <f t="shared" si="3"/>
        <v>30869279.679999787</v>
      </c>
      <c r="D16" s="71">
        <f t="shared" si="3"/>
        <v>117409638.95000029</v>
      </c>
      <c r="E16" s="71">
        <f t="shared" si="3"/>
        <v>196680418.16999993</v>
      </c>
      <c r="F16" s="71">
        <f t="shared" si="3"/>
        <v>-524326081.56000018</v>
      </c>
      <c r="G16" s="71">
        <f>G14-G15</f>
        <v>41400199.000000045</v>
      </c>
      <c r="H16" s="71">
        <f>H14-H15</f>
        <v>292886566.92000014</v>
      </c>
      <c r="I16" s="71">
        <f t="shared" si="3"/>
        <v>13223649.980000146</v>
      </c>
      <c r="J16" s="71">
        <f t="shared" si="0"/>
        <v>-279662916.94</v>
      </c>
    </row>
  </sheetData>
  <conditionalFormatting sqref="B16:F16 I16:J16">
    <cfRule type="cellIs" dxfId="70" priority="13" operator="greaterThan">
      <formula>0</formula>
    </cfRule>
  </conditionalFormatting>
  <conditionalFormatting sqref="B10:F10 B14:F14 I14:J14 I10:J10">
    <cfRule type="cellIs" dxfId="69" priority="12" operator="lessThan">
      <formula>0</formula>
    </cfRule>
  </conditionalFormatting>
  <conditionalFormatting sqref="G16">
    <cfRule type="cellIs" dxfId="68" priority="7" operator="greaterThan">
      <formula>0</formula>
    </cfRule>
  </conditionalFormatting>
  <conditionalFormatting sqref="G14 G10">
    <cfRule type="cellIs" dxfId="67" priority="6" operator="lessThan">
      <formula>0</formula>
    </cfRule>
  </conditionalFormatting>
  <conditionalFormatting sqref="H16">
    <cfRule type="cellIs" dxfId="66" priority="5" operator="greaterThan">
      <formula>0</formula>
    </cfRule>
  </conditionalFormatting>
  <conditionalFormatting sqref="H14 H10">
    <cfRule type="cellIs" dxfId="65" priority="4" operator="lessThan">
      <formula>0</formula>
    </cfRule>
  </conditionalFormatting>
  <conditionalFormatting sqref="B9:J9">
    <cfRule type="cellIs" dxfId="64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Entrate_Uscite</vt:lpstr>
      <vt:lpstr>Tav_Entrate</vt:lpstr>
      <vt:lpstr>Tav_Uscite</vt:lpstr>
      <vt:lpstr>Tav_Saldi</vt:lpstr>
      <vt:lpstr>Mission12_Programmi</vt:lpstr>
      <vt:lpstr>Missione12_Macroaggregati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2024-01-14T12:20:06Z</dcterms:modified>
</cp:coreProperties>
</file>