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8" activeTab="10"/>
  </bookViews>
  <sheets>
    <sheet name="Entrate_Uscite" sheetId="2" r:id="rId1"/>
    <sheet name="Tav_Entrate" sheetId="7" r:id="rId2"/>
    <sheet name="Tav_Uscite" sheetId="8" r:id="rId3"/>
    <sheet name="Tav_Saldi" sheetId="9" r:id="rId4"/>
    <sheet name="Missione12_Programmi" sheetId="14" r:id="rId5"/>
    <sheet name="Missione12_Macroaggregati" sheetId="15" r:id="rId6"/>
    <sheet name="Risultato_amministrazione" sheetId="1" r:id="rId7"/>
    <sheet name="Conto_economico" sheetId="6" r:id="rId8"/>
    <sheet name="Tav_contoeconomico" sheetId="10" r:id="rId9"/>
    <sheet name="Stato_patrimoniale" sheetId="5" r:id="rId10"/>
    <sheet name="Piano_indicatori" sheetId="4" r:id="rId11"/>
    <sheet name="Tav_indicatori" sheetId="12" r:id="rId12"/>
    <sheet name="Popolazione" sheetId="13" r:id="rId13"/>
  </sheets>
  <calcPr calcId="152511"/>
</workbook>
</file>

<file path=xl/calcChain.xml><?xml version="1.0" encoding="utf-8"?>
<calcChain xmlns="http://schemas.openxmlformats.org/spreadsheetml/2006/main">
  <c r="J9" i="12" l="1"/>
  <c r="J8" i="12"/>
  <c r="J7" i="12"/>
  <c r="J6" i="12"/>
  <c r="J5" i="12"/>
  <c r="J4" i="12"/>
  <c r="J3" i="12"/>
  <c r="J2" i="12"/>
  <c r="I6" i="9"/>
  <c r="I5" i="9"/>
  <c r="I4" i="9"/>
  <c r="I3" i="9"/>
  <c r="I2" i="9"/>
  <c r="G6" i="9"/>
  <c r="G5" i="9"/>
  <c r="G4" i="9"/>
  <c r="G3" i="9"/>
  <c r="G2" i="9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7" i="8" s="1"/>
  <c r="G23" i="8"/>
  <c r="G22" i="8"/>
  <c r="G19" i="8"/>
  <c r="G18" i="8"/>
  <c r="G17" i="8"/>
  <c r="G16" i="8"/>
  <c r="G14" i="8"/>
  <c r="G13" i="8"/>
  <c r="G12" i="8"/>
  <c r="G11" i="8"/>
  <c r="G15" i="8" s="1"/>
  <c r="G9" i="8"/>
  <c r="G8" i="8"/>
  <c r="G7" i="8"/>
  <c r="G6" i="8"/>
  <c r="G5" i="8"/>
  <c r="G4" i="8"/>
  <c r="G3" i="8"/>
  <c r="G2" i="8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2" i="7"/>
  <c r="G15" i="7" s="1"/>
  <c r="G10" i="7"/>
  <c r="G9" i="7"/>
  <c r="G8" i="7"/>
  <c r="G7" i="7"/>
  <c r="G6" i="7"/>
  <c r="G4" i="7"/>
  <c r="G3" i="7"/>
  <c r="G2" i="7"/>
  <c r="T53" i="2"/>
  <c r="U52" i="2"/>
  <c r="T52" i="2"/>
  <c r="U51" i="2"/>
  <c r="T51" i="2"/>
  <c r="U50" i="2"/>
  <c r="T50" i="2"/>
  <c r="U49" i="2"/>
  <c r="T49" i="2"/>
  <c r="U48" i="2"/>
  <c r="T48" i="2"/>
  <c r="T20" i="2"/>
  <c r="W20" i="2" s="1"/>
  <c r="U16" i="2"/>
  <c r="T16" i="2"/>
  <c r="U15" i="2"/>
  <c r="T15" i="2"/>
  <c r="U14" i="2"/>
  <c r="U20" i="2" s="1"/>
  <c r="T14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R57" i="2"/>
  <c r="R54" i="2"/>
  <c r="R55" i="2" s="1"/>
  <c r="Q53" i="2"/>
  <c r="S53" i="2" s="1"/>
  <c r="R52" i="2"/>
  <c r="Q52" i="2"/>
  <c r="S52" i="2" s="1"/>
  <c r="R51" i="2"/>
  <c r="Q51" i="2"/>
  <c r="S51" i="2" s="1"/>
  <c r="R50" i="2"/>
  <c r="Q50" i="2"/>
  <c r="S50" i="2" s="1"/>
  <c r="R49" i="2"/>
  <c r="Q49" i="2"/>
  <c r="S49" i="2" s="1"/>
  <c r="S48" i="2"/>
  <c r="R48" i="2"/>
  <c r="R61" i="2" s="1"/>
  <c r="Q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R20" i="2"/>
  <c r="R21" i="2" s="1"/>
  <c r="R59" i="2" s="1"/>
  <c r="S19" i="2"/>
  <c r="S18" i="2"/>
  <c r="S17" i="2"/>
  <c r="R16" i="2"/>
  <c r="Q16" i="2"/>
  <c r="S16" i="2" s="1"/>
  <c r="S15" i="2"/>
  <c r="R15" i="2"/>
  <c r="Q15" i="2"/>
  <c r="Q57" i="2" s="1"/>
  <c r="R14" i="2"/>
  <c r="R56" i="2" s="1"/>
  <c r="Q14" i="2"/>
  <c r="Q56" i="2" s="1"/>
  <c r="S13" i="2"/>
  <c r="S12" i="2"/>
  <c r="S11" i="2"/>
  <c r="S10" i="2"/>
  <c r="S9" i="2"/>
  <c r="S8" i="2"/>
  <c r="S7" i="2"/>
  <c r="S6" i="2"/>
  <c r="S5" i="2"/>
  <c r="S4" i="2"/>
  <c r="S3" i="2"/>
  <c r="I27" i="5"/>
  <c r="I28" i="5" s="1"/>
  <c r="I26" i="5"/>
  <c r="I13" i="5"/>
  <c r="I9" i="10"/>
  <c r="J9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I15" i="10"/>
  <c r="I13" i="10"/>
  <c r="I12" i="10"/>
  <c r="I11" i="10"/>
  <c r="I8" i="10"/>
  <c r="I7" i="10"/>
  <c r="I6" i="10"/>
  <c r="I5" i="10"/>
  <c r="I4" i="10"/>
  <c r="I3" i="10"/>
  <c r="I2" i="10"/>
  <c r="I10" i="10" s="1"/>
  <c r="I14" i="10" s="1"/>
  <c r="I16" i="10" s="1"/>
  <c r="C9" i="10"/>
  <c r="D9" i="10"/>
  <c r="E9" i="10"/>
  <c r="F9" i="10"/>
  <c r="G9" i="10"/>
  <c r="H9" i="10"/>
  <c r="B9" i="10"/>
  <c r="L29" i="6"/>
  <c r="K29" i="6"/>
  <c r="J29" i="6"/>
  <c r="I29" i="6"/>
  <c r="H29" i="6"/>
  <c r="G29" i="6"/>
  <c r="F29" i="6"/>
  <c r="E29" i="6"/>
  <c r="D29" i="6"/>
  <c r="C29" i="6"/>
  <c r="G10" i="8" l="1"/>
  <c r="G30" i="8" s="1"/>
  <c r="G31" i="8" s="1"/>
  <c r="G20" i="8"/>
  <c r="G21" i="8"/>
  <c r="G5" i="7"/>
  <c r="G11" i="7"/>
  <c r="G16" i="7"/>
  <c r="G20" i="7"/>
  <c r="G21" i="7" s="1"/>
  <c r="X20" i="2"/>
  <c r="U21" i="2"/>
  <c r="X21" i="2" s="1"/>
  <c r="T21" i="2"/>
  <c r="W21" i="2" s="1"/>
  <c r="Q20" i="2"/>
  <c r="Q54" i="2"/>
  <c r="Q58" i="2"/>
  <c r="R58" i="2"/>
  <c r="S14" i="2"/>
  <c r="R60" i="2"/>
  <c r="Q55" i="2" l="1"/>
  <c r="S55" i="2" s="1"/>
  <c r="S54" i="2"/>
  <c r="Q21" i="2"/>
  <c r="S20" i="2"/>
  <c r="S21" i="2" l="1"/>
  <c r="Q59" i="2"/>
  <c r="L27" i="6" l="1"/>
  <c r="L26" i="6"/>
  <c r="L25" i="6"/>
  <c r="L24" i="6"/>
  <c r="L23" i="6"/>
  <c r="L22" i="6"/>
  <c r="L20" i="6"/>
  <c r="L19" i="6"/>
  <c r="L18" i="6"/>
  <c r="L17" i="6"/>
  <c r="L16" i="6"/>
  <c r="L15" i="6"/>
  <c r="L14" i="6"/>
  <c r="L13" i="6"/>
  <c r="L12" i="6"/>
  <c r="L11" i="6"/>
  <c r="L9" i="6"/>
  <c r="L8" i="6"/>
  <c r="L7" i="6"/>
  <c r="L6" i="6"/>
  <c r="L5" i="6"/>
  <c r="L4" i="6"/>
  <c r="L3" i="6"/>
  <c r="L2" i="6"/>
  <c r="J21" i="6"/>
  <c r="J10" i="6"/>
  <c r="J28" i="6" s="1"/>
  <c r="I23" i="1" l="1"/>
  <c r="I19" i="1"/>
  <c r="I13" i="1"/>
  <c r="I21" i="1" s="1"/>
  <c r="I7" i="1"/>
  <c r="G17" i="15" l="1"/>
  <c r="G16" i="15"/>
  <c r="G18" i="15" s="1"/>
  <c r="G15" i="15"/>
  <c r="G101" i="14"/>
  <c r="G100" i="14"/>
  <c r="G99" i="14"/>
  <c r="G98" i="14"/>
  <c r="G97" i="14"/>
  <c r="G96" i="14"/>
  <c r="G95" i="14"/>
  <c r="G94" i="14"/>
  <c r="G93" i="14"/>
  <c r="C24" i="14"/>
  <c r="B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H17" i="15"/>
  <c r="F17" i="15"/>
  <c r="E17" i="15"/>
  <c r="D17" i="15"/>
  <c r="C17" i="15"/>
  <c r="B17" i="15"/>
  <c r="H16" i="15"/>
  <c r="F16" i="15"/>
  <c r="F18" i="15" s="1"/>
  <c r="E16" i="15"/>
  <c r="E18" i="15" s="1"/>
  <c r="D16" i="15"/>
  <c r="C16" i="15"/>
  <c r="C18" i="15" s="1"/>
  <c r="B16" i="15"/>
  <c r="B18" i="15" s="1"/>
  <c r="H15" i="15"/>
  <c r="I8" i="15" s="1"/>
  <c r="F15" i="15"/>
  <c r="E15" i="15"/>
  <c r="D15" i="15"/>
  <c r="D18" i="15" s="1"/>
  <c r="C15" i="15"/>
  <c r="B15" i="15"/>
  <c r="H101" i="14"/>
  <c r="F101" i="14"/>
  <c r="E101" i="14"/>
  <c r="D101" i="14"/>
  <c r="C101" i="14"/>
  <c r="B101" i="14"/>
  <c r="H100" i="14"/>
  <c r="F100" i="14"/>
  <c r="E100" i="14"/>
  <c r="D100" i="14"/>
  <c r="C100" i="14"/>
  <c r="B100" i="14"/>
  <c r="H99" i="14"/>
  <c r="F99" i="14"/>
  <c r="E99" i="14"/>
  <c r="D99" i="14"/>
  <c r="C99" i="14"/>
  <c r="B99" i="14"/>
  <c r="H98" i="14"/>
  <c r="F98" i="14"/>
  <c r="E98" i="14"/>
  <c r="D98" i="14"/>
  <c r="C98" i="14"/>
  <c r="B98" i="14"/>
  <c r="H97" i="14"/>
  <c r="F97" i="14"/>
  <c r="E97" i="14"/>
  <c r="D97" i="14"/>
  <c r="C97" i="14"/>
  <c r="B97" i="14"/>
  <c r="H96" i="14"/>
  <c r="F96" i="14"/>
  <c r="E96" i="14"/>
  <c r="D96" i="14"/>
  <c r="C96" i="14"/>
  <c r="B96" i="14"/>
  <c r="H95" i="14"/>
  <c r="F95" i="14"/>
  <c r="E95" i="14"/>
  <c r="D95" i="14"/>
  <c r="C95" i="14"/>
  <c r="B95" i="14"/>
  <c r="H94" i="14"/>
  <c r="F94" i="14"/>
  <c r="E94" i="14"/>
  <c r="D94" i="14"/>
  <c r="C94" i="14"/>
  <c r="B94" i="14"/>
  <c r="H93" i="14"/>
  <c r="F93" i="14"/>
  <c r="E93" i="14"/>
  <c r="D93" i="14"/>
  <c r="C93" i="14"/>
  <c r="B93" i="14"/>
  <c r="C89" i="14"/>
  <c r="B89" i="14"/>
  <c r="F86" i="14" s="1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C76" i="14"/>
  <c r="B76" i="14"/>
  <c r="F75" i="14" s="1"/>
  <c r="E75" i="14"/>
  <c r="D75" i="14"/>
  <c r="E74" i="14"/>
  <c r="D74" i="14"/>
  <c r="E73" i="14"/>
  <c r="D73" i="14"/>
  <c r="F72" i="14"/>
  <c r="E72" i="14"/>
  <c r="D72" i="14"/>
  <c r="E71" i="14"/>
  <c r="D71" i="14"/>
  <c r="E70" i="14"/>
  <c r="D70" i="14"/>
  <c r="E69" i="14"/>
  <c r="D69" i="14"/>
  <c r="E68" i="14"/>
  <c r="D68" i="14"/>
  <c r="F67" i="14"/>
  <c r="E67" i="14"/>
  <c r="D67" i="14"/>
  <c r="C63" i="14"/>
  <c r="B63" i="14"/>
  <c r="F59" i="14" s="1"/>
  <c r="F62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C50" i="14"/>
  <c r="B50" i="14"/>
  <c r="D50" i="14" s="1"/>
  <c r="F49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C37" i="14"/>
  <c r="B37" i="14"/>
  <c r="F38" i="14" s="1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C11" i="14"/>
  <c r="B11" i="14"/>
  <c r="F32" i="14" s="1"/>
  <c r="E10" i="14"/>
  <c r="D10" i="14"/>
  <c r="E9" i="14"/>
  <c r="D9" i="14"/>
  <c r="E8" i="14"/>
  <c r="D8" i="14"/>
  <c r="E7" i="14"/>
  <c r="D7" i="14"/>
  <c r="E6" i="14"/>
  <c r="D6" i="14"/>
  <c r="E5" i="14"/>
  <c r="D5" i="14"/>
  <c r="E4" i="14"/>
  <c r="D4" i="14"/>
  <c r="E3" i="14"/>
  <c r="D3" i="14"/>
  <c r="E2" i="14"/>
  <c r="D2" i="14"/>
  <c r="I12" i="15" l="1"/>
  <c r="I4" i="15"/>
  <c r="I2" i="15"/>
  <c r="I11" i="15"/>
  <c r="I16" i="15"/>
  <c r="I6" i="15"/>
  <c r="I13" i="15"/>
  <c r="I7" i="15"/>
  <c r="I3" i="15"/>
  <c r="I5" i="15"/>
  <c r="I9" i="15"/>
  <c r="I17" i="15"/>
  <c r="I15" i="15"/>
  <c r="I14" i="15"/>
  <c r="I10" i="15"/>
  <c r="H18" i="15"/>
  <c r="G102" i="14"/>
  <c r="C102" i="14"/>
  <c r="F46" i="14"/>
  <c r="F43" i="14"/>
  <c r="B102" i="14"/>
  <c r="F57" i="14"/>
  <c r="E24" i="14"/>
  <c r="F54" i="14"/>
  <c r="F25" i="14"/>
  <c r="F22" i="14"/>
  <c r="F7" i="14"/>
  <c r="F4" i="14"/>
  <c r="F10" i="14"/>
  <c r="F37" i="14"/>
  <c r="F17" i="14"/>
  <c r="F20" i="14"/>
  <c r="F15" i="14"/>
  <c r="F23" i="14"/>
  <c r="F12" i="14"/>
  <c r="F35" i="14"/>
  <c r="F18" i="14"/>
  <c r="F2" i="14"/>
  <c r="F21" i="14"/>
  <c r="F16" i="14"/>
  <c r="F24" i="14"/>
  <c r="F19" i="14"/>
  <c r="D24" i="14"/>
  <c r="E50" i="14"/>
  <c r="F55" i="14"/>
  <c r="F73" i="14"/>
  <c r="F33" i="14"/>
  <c r="E37" i="14"/>
  <c r="F50" i="14"/>
  <c r="F58" i="14"/>
  <c r="E63" i="14"/>
  <c r="F68" i="14"/>
  <c r="F77" i="14"/>
  <c r="D102" i="14"/>
  <c r="F102" i="14"/>
  <c r="F41" i="14"/>
  <c r="F44" i="14"/>
  <c r="F60" i="14"/>
  <c r="F70" i="14"/>
  <c r="D76" i="14"/>
  <c r="D63" i="14"/>
  <c r="F76" i="14"/>
  <c r="F30" i="14"/>
  <c r="F45" i="14"/>
  <c r="F48" i="14"/>
  <c r="F51" i="14"/>
  <c r="F61" i="14"/>
  <c r="F63" i="14"/>
  <c r="F71" i="14"/>
  <c r="F83" i="14"/>
  <c r="E102" i="14"/>
  <c r="H102" i="14"/>
  <c r="F56" i="14"/>
  <c r="F64" i="14"/>
  <c r="F74" i="14"/>
  <c r="F69" i="14"/>
  <c r="F87" i="14"/>
  <c r="F82" i="14"/>
  <c r="F90" i="14"/>
  <c r="E76" i="14"/>
  <c r="F81" i="14"/>
  <c r="F8" i="14"/>
  <c r="F89" i="14"/>
  <c r="F3" i="14"/>
  <c r="D11" i="14"/>
  <c r="F34" i="14"/>
  <c r="F6" i="14"/>
  <c r="E11" i="14"/>
  <c r="F29" i="14"/>
  <c r="D37" i="14"/>
  <c r="F47" i="14"/>
  <c r="F85" i="14"/>
  <c r="D89" i="14"/>
  <c r="F5" i="14"/>
  <c r="F28" i="14"/>
  <c r="F36" i="14"/>
  <c r="F84" i="14"/>
  <c r="E89" i="14"/>
  <c r="F31" i="14"/>
  <c r="F9" i="14"/>
  <c r="F11" i="14"/>
  <c r="F42" i="14"/>
  <c r="F80" i="14"/>
  <c r="F88" i="14"/>
  <c r="G3" i="13" l="1"/>
  <c r="G4" i="13"/>
  <c r="C28" i="5" l="1"/>
  <c r="D28" i="5"/>
  <c r="E28" i="5"/>
  <c r="F28" i="5"/>
  <c r="G28" i="5"/>
  <c r="H28" i="5"/>
  <c r="B28" i="5"/>
  <c r="G5" i="13" l="1"/>
  <c r="G6" i="13"/>
  <c r="G7" i="13"/>
  <c r="G8" i="13"/>
  <c r="G9" i="13"/>
  <c r="G10" i="13"/>
  <c r="J27" i="5" l="1"/>
  <c r="H27" i="5"/>
  <c r="G27" i="5"/>
  <c r="F27" i="5"/>
  <c r="E27" i="5"/>
  <c r="D27" i="5"/>
  <c r="C27" i="5"/>
  <c r="B27" i="5"/>
  <c r="I9" i="12" l="1"/>
  <c r="I8" i="12"/>
  <c r="I7" i="12"/>
  <c r="I6" i="12"/>
  <c r="I5" i="12"/>
  <c r="I4" i="12"/>
  <c r="I3" i="12"/>
  <c r="I2" i="12"/>
  <c r="F29" i="8"/>
  <c r="F28" i="8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15" i="8" l="1"/>
  <c r="F15" i="7"/>
  <c r="F27" i="8"/>
  <c r="F20" i="8"/>
  <c r="F10" i="8"/>
  <c r="F5" i="7"/>
  <c r="F11" i="7"/>
  <c r="F16" i="7" l="1"/>
  <c r="F20" i="7"/>
  <c r="F21" i="7" s="1"/>
  <c r="F21" i="8"/>
  <c r="F30" i="8"/>
  <c r="O54" i="2"/>
  <c r="O55" i="2" s="1"/>
  <c r="N53" i="2"/>
  <c r="P53" i="2" s="1"/>
  <c r="O52" i="2"/>
  <c r="N52" i="2"/>
  <c r="P52" i="2" s="1"/>
  <c r="O51" i="2"/>
  <c r="N51" i="2"/>
  <c r="P51" i="2" s="1"/>
  <c r="O50" i="2"/>
  <c r="N50" i="2"/>
  <c r="P50" i="2" s="1"/>
  <c r="O49" i="2"/>
  <c r="N49" i="2"/>
  <c r="P49" i="2" s="1"/>
  <c r="P48" i="2"/>
  <c r="O48" i="2"/>
  <c r="O61" i="2" s="1"/>
  <c r="N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N20" i="2"/>
  <c r="P19" i="2"/>
  <c r="P18" i="2"/>
  <c r="P17" i="2"/>
  <c r="O16" i="2"/>
  <c r="N16" i="2"/>
  <c r="O15" i="2"/>
  <c r="N15" i="2"/>
  <c r="O14" i="2"/>
  <c r="N14" i="2"/>
  <c r="P13" i="2"/>
  <c r="P12" i="2"/>
  <c r="P11" i="2"/>
  <c r="P10" i="2"/>
  <c r="P9" i="2"/>
  <c r="P8" i="2"/>
  <c r="P7" i="2"/>
  <c r="P6" i="2"/>
  <c r="P5" i="2"/>
  <c r="P4" i="2"/>
  <c r="P3" i="2"/>
  <c r="H26" i="5"/>
  <c r="H13" i="5"/>
  <c r="H15" i="10"/>
  <c r="H13" i="10"/>
  <c r="H12" i="10"/>
  <c r="H11" i="10"/>
  <c r="H8" i="10"/>
  <c r="H7" i="10"/>
  <c r="H6" i="10"/>
  <c r="H5" i="10"/>
  <c r="H4" i="10"/>
  <c r="H3" i="10"/>
  <c r="H2" i="10"/>
  <c r="H10" i="10" s="1"/>
  <c r="I21" i="6"/>
  <c r="I10" i="6"/>
  <c r="I28" i="6" s="1"/>
  <c r="H23" i="1"/>
  <c r="H19" i="1"/>
  <c r="H13" i="1"/>
  <c r="H7" i="1"/>
  <c r="H21" i="1" s="1"/>
  <c r="N21" i="2" l="1"/>
  <c r="F4" i="9"/>
  <c r="P16" i="2"/>
  <c r="O20" i="2"/>
  <c r="N56" i="2"/>
  <c r="F2" i="9" s="1"/>
  <c r="N57" i="2"/>
  <c r="O56" i="2"/>
  <c r="F31" i="8"/>
  <c r="H14" i="10"/>
  <c r="H16" i="10" s="1"/>
  <c r="N54" i="2"/>
  <c r="O57" i="2"/>
  <c r="N58" i="2"/>
  <c r="F5" i="9" s="1"/>
  <c r="O58" i="2"/>
  <c r="P15" i="2"/>
  <c r="P14" i="2"/>
  <c r="O60" i="2"/>
  <c r="O21" i="2" l="1"/>
  <c r="F3" i="9"/>
  <c r="P20" i="2"/>
  <c r="N55" i="2"/>
  <c r="P54" i="2"/>
  <c r="H9" i="12"/>
  <c r="H8" i="12"/>
  <c r="H7" i="12"/>
  <c r="H6" i="12"/>
  <c r="H5" i="12"/>
  <c r="H4" i="12"/>
  <c r="H3" i="12"/>
  <c r="H2" i="12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E5" i="7" s="1"/>
  <c r="O59" i="2" l="1"/>
  <c r="P21" i="2"/>
  <c r="P55" i="2"/>
  <c r="N59" i="2"/>
  <c r="F6" i="9" s="1"/>
  <c r="E27" i="8"/>
  <c r="E10" i="8"/>
  <c r="E15" i="8"/>
  <c r="E20" i="8"/>
  <c r="E11" i="7"/>
  <c r="E15" i="7"/>
  <c r="E16" i="7" l="1"/>
  <c r="E21" i="8"/>
  <c r="E20" i="7"/>
  <c r="E21" i="7" l="1"/>
  <c r="K53" i="2"/>
  <c r="L52" i="2"/>
  <c r="K52" i="2"/>
  <c r="L51" i="2"/>
  <c r="K51" i="2"/>
  <c r="M50" i="2"/>
  <c r="L50" i="2"/>
  <c r="K50" i="2"/>
  <c r="L49" i="2"/>
  <c r="K49" i="2"/>
  <c r="L48" i="2"/>
  <c r="K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19" i="2"/>
  <c r="M18" i="2"/>
  <c r="M17" i="2"/>
  <c r="L16" i="2"/>
  <c r="K16" i="2"/>
  <c r="L15" i="2"/>
  <c r="K15" i="2"/>
  <c r="L14" i="2"/>
  <c r="K14" i="2"/>
  <c r="M14" i="2" s="1"/>
  <c r="M13" i="2"/>
  <c r="M12" i="2"/>
  <c r="M11" i="2"/>
  <c r="M10" i="2"/>
  <c r="M9" i="2"/>
  <c r="M8" i="2"/>
  <c r="M7" i="2"/>
  <c r="M6" i="2"/>
  <c r="M5" i="2"/>
  <c r="M4" i="2"/>
  <c r="M3" i="2"/>
  <c r="K54" i="2" l="1"/>
  <c r="L54" i="2"/>
  <c r="L55" i="2" s="1"/>
  <c r="K57" i="2"/>
  <c r="L57" i="2"/>
  <c r="E29" i="8"/>
  <c r="M51" i="2"/>
  <c r="M16" i="2"/>
  <c r="E4" i="9"/>
  <c r="M49" i="2"/>
  <c r="M52" i="2"/>
  <c r="E28" i="8"/>
  <c r="L60" i="2"/>
  <c r="L61" i="2"/>
  <c r="K20" i="2"/>
  <c r="M53" i="2"/>
  <c r="L20" i="2"/>
  <c r="L56" i="2"/>
  <c r="K55" i="2"/>
  <c r="L58" i="2"/>
  <c r="K58" i="2"/>
  <c r="E5" i="9" s="1"/>
  <c r="M15" i="2"/>
  <c r="M48" i="2"/>
  <c r="K56" i="2"/>
  <c r="E2" i="9" s="1"/>
  <c r="J26" i="5"/>
  <c r="J28" i="5" s="1"/>
  <c r="J13" i="5"/>
  <c r="J15" i="10"/>
  <c r="J13" i="10"/>
  <c r="J12" i="10"/>
  <c r="J11" i="10"/>
  <c r="J8" i="10"/>
  <c r="J7" i="10"/>
  <c r="J6" i="10"/>
  <c r="J4" i="10"/>
  <c r="J3" i="10"/>
  <c r="K21" i="6"/>
  <c r="L21" i="6" s="1"/>
  <c r="K10" i="6"/>
  <c r="L10" i="6" s="1"/>
  <c r="J23" i="1"/>
  <c r="J19" i="1"/>
  <c r="J13" i="1"/>
  <c r="J7" i="1"/>
  <c r="K9" i="12"/>
  <c r="K8" i="12"/>
  <c r="K7" i="12"/>
  <c r="K6" i="12"/>
  <c r="K5" i="12"/>
  <c r="K4" i="12"/>
  <c r="K3" i="12"/>
  <c r="K2" i="12"/>
  <c r="H4" i="9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T58" i="2"/>
  <c r="W58" i="2" s="1"/>
  <c r="T57" i="2"/>
  <c r="H3" i="9" s="1"/>
  <c r="T56" i="2"/>
  <c r="W56" i="2" s="1"/>
  <c r="U61" i="2"/>
  <c r="J4" i="9"/>
  <c r="U60" i="2"/>
  <c r="H53" i="2"/>
  <c r="D29" i="8" s="1"/>
  <c r="I52" i="2"/>
  <c r="H52" i="2"/>
  <c r="J52" i="2" s="1"/>
  <c r="I51" i="2"/>
  <c r="H51" i="2"/>
  <c r="J51" i="2" s="1"/>
  <c r="I50" i="2"/>
  <c r="H50" i="2"/>
  <c r="J50" i="2" s="1"/>
  <c r="I49" i="2"/>
  <c r="H49" i="2"/>
  <c r="I48" i="2"/>
  <c r="H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I16" i="2"/>
  <c r="H16" i="2"/>
  <c r="J16" i="2" s="1"/>
  <c r="I15" i="2"/>
  <c r="H15" i="2"/>
  <c r="I14" i="2"/>
  <c r="H14" i="2"/>
  <c r="J13" i="2"/>
  <c r="J12" i="2"/>
  <c r="J11" i="2"/>
  <c r="J10" i="2"/>
  <c r="J9" i="2"/>
  <c r="J8" i="2"/>
  <c r="J7" i="2"/>
  <c r="J6" i="2"/>
  <c r="J5" i="2"/>
  <c r="J4" i="2"/>
  <c r="J3" i="2"/>
  <c r="J2" i="10" l="1"/>
  <c r="K28" i="6"/>
  <c r="L28" i="6" s="1"/>
  <c r="J5" i="10"/>
  <c r="M20" i="2"/>
  <c r="J49" i="2"/>
  <c r="M55" i="2"/>
  <c r="M54" i="2"/>
  <c r="J53" i="2"/>
  <c r="K21" i="2"/>
  <c r="I58" i="2"/>
  <c r="H57" i="2"/>
  <c r="E3" i="9"/>
  <c r="I57" i="2"/>
  <c r="L21" i="2"/>
  <c r="E30" i="8"/>
  <c r="H5" i="9"/>
  <c r="H2" i="9"/>
  <c r="K59" i="2"/>
  <c r="E6" i="9" s="1"/>
  <c r="D10" i="8"/>
  <c r="D15" i="8"/>
  <c r="D20" i="8"/>
  <c r="D27" i="8"/>
  <c r="J21" i="1"/>
  <c r="D3" i="9"/>
  <c r="U56" i="2"/>
  <c r="X56" i="2" s="1"/>
  <c r="U57" i="2"/>
  <c r="J3" i="9" s="1"/>
  <c r="U58" i="2"/>
  <c r="X58" i="2" s="1"/>
  <c r="D28" i="8"/>
  <c r="I60" i="2"/>
  <c r="J14" i="2"/>
  <c r="I54" i="2"/>
  <c r="H56" i="2"/>
  <c r="H58" i="2"/>
  <c r="I61" i="2"/>
  <c r="J15" i="2"/>
  <c r="H54" i="2"/>
  <c r="I56" i="2"/>
  <c r="D5" i="7"/>
  <c r="D4" i="9"/>
  <c r="D11" i="7"/>
  <c r="D15" i="7"/>
  <c r="I20" i="2"/>
  <c r="J48" i="2"/>
  <c r="H20" i="2"/>
  <c r="G26" i="5"/>
  <c r="G13" i="5"/>
  <c r="G15" i="10"/>
  <c r="G13" i="10"/>
  <c r="G12" i="10"/>
  <c r="G11" i="10"/>
  <c r="G8" i="10"/>
  <c r="G7" i="10"/>
  <c r="G6" i="10"/>
  <c r="G4" i="10"/>
  <c r="G3" i="10"/>
  <c r="H21" i="6"/>
  <c r="H10" i="6"/>
  <c r="G2" i="10" s="1"/>
  <c r="J5" i="9" l="1"/>
  <c r="M21" i="2"/>
  <c r="J10" i="10"/>
  <c r="J54" i="2"/>
  <c r="H55" i="2"/>
  <c r="E31" i="8"/>
  <c r="L59" i="2"/>
  <c r="D21" i="8"/>
  <c r="J2" i="9"/>
  <c r="D30" i="8"/>
  <c r="D31" i="8" s="1"/>
  <c r="G5" i="10"/>
  <c r="D2" i="9"/>
  <c r="I21" i="2"/>
  <c r="D16" i="7"/>
  <c r="D5" i="9"/>
  <c r="I55" i="2"/>
  <c r="D20" i="7"/>
  <c r="J20" i="2"/>
  <c r="H21" i="2"/>
  <c r="H28" i="6"/>
  <c r="F23" i="1"/>
  <c r="G23" i="1"/>
  <c r="E23" i="1"/>
  <c r="D23" i="1"/>
  <c r="C23" i="1"/>
  <c r="B23" i="1"/>
  <c r="G19" i="1"/>
  <c r="G13" i="1"/>
  <c r="G7" i="1"/>
  <c r="J14" i="10" l="1"/>
  <c r="J55" i="2"/>
  <c r="G10" i="10"/>
  <c r="I59" i="2"/>
  <c r="H59" i="2"/>
  <c r="D6" i="9" s="1"/>
  <c r="D21" i="7"/>
  <c r="J21" i="2"/>
  <c r="G21" i="1"/>
  <c r="E53" i="2"/>
  <c r="F52" i="2"/>
  <c r="E52" i="2"/>
  <c r="F51" i="2"/>
  <c r="E51" i="2"/>
  <c r="F50" i="2"/>
  <c r="E50" i="2"/>
  <c r="F49" i="2"/>
  <c r="E49" i="2"/>
  <c r="F48" i="2"/>
  <c r="E48" i="2"/>
  <c r="F16" i="2"/>
  <c r="E16" i="2"/>
  <c r="C4" i="9" s="1"/>
  <c r="F15" i="2"/>
  <c r="E15" i="2"/>
  <c r="F14" i="2"/>
  <c r="E14" i="2"/>
  <c r="J16" i="10" l="1"/>
  <c r="G14" i="10"/>
  <c r="E56" i="2"/>
  <c r="C2" i="9" s="1"/>
  <c r="E58" i="2"/>
  <c r="C5" i="9" s="1"/>
  <c r="F20" i="2"/>
  <c r="F21" i="2" s="1"/>
  <c r="F60" i="2"/>
  <c r="F58" i="2"/>
  <c r="F56" i="2"/>
  <c r="E20" i="2"/>
  <c r="E21" i="2" s="1"/>
  <c r="E57" i="2"/>
  <c r="C3" i="9" s="1"/>
  <c r="F57" i="2"/>
  <c r="F61" i="2"/>
  <c r="B53" i="2"/>
  <c r="C52" i="2"/>
  <c r="B52" i="2"/>
  <c r="C51" i="2"/>
  <c r="B51" i="2"/>
  <c r="C50" i="2"/>
  <c r="B50" i="2"/>
  <c r="C49" i="2"/>
  <c r="B49" i="2"/>
  <c r="C48" i="2"/>
  <c r="B48" i="2"/>
  <c r="C16" i="2"/>
  <c r="B16" i="2"/>
  <c r="C15" i="2"/>
  <c r="B15" i="2"/>
  <c r="C14" i="2"/>
  <c r="B14" i="2"/>
  <c r="G16" i="10" l="1"/>
  <c r="C57" i="2"/>
  <c r="B20" i="2"/>
  <c r="B21" i="2" s="1"/>
  <c r="B57" i="2"/>
  <c r="B3" i="9" s="1"/>
  <c r="B58" i="2"/>
  <c r="B5" i="9" s="1"/>
  <c r="B56" i="2"/>
  <c r="B2" i="9" s="1"/>
  <c r="C61" i="2"/>
  <c r="B4" i="9"/>
  <c r="C20" i="2"/>
  <c r="C21" i="2" s="1"/>
  <c r="C58" i="2"/>
  <c r="C56" i="2"/>
  <c r="C60" i="2"/>
  <c r="C12" i="1"/>
  <c r="B19" i="1"/>
  <c r="B13" i="1"/>
  <c r="B7" i="1"/>
  <c r="C13" i="1"/>
  <c r="C19" i="1"/>
  <c r="C7" i="1"/>
  <c r="B24" i="5"/>
  <c r="B23" i="5"/>
  <c r="C21" i="5"/>
  <c r="C24" i="5"/>
  <c r="C23" i="5"/>
  <c r="B5" i="5"/>
  <c r="B13" i="5" s="1"/>
  <c r="C5" i="5"/>
  <c r="C16" i="6"/>
  <c r="C14" i="6"/>
  <c r="C5" i="6"/>
  <c r="C4" i="6"/>
  <c r="D16" i="6"/>
  <c r="D5" i="6"/>
  <c r="D4" i="6"/>
  <c r="B26" i="5" l="1"/>
  <c r="B21" i="1"/>
  <c r="C21" i="1"/>
  <c r="F21" i="6" l="1"/>
  <c r="G21" i="6"/>
  <c r="E21" i="6"/>
  <c r="G10" i="6"/>
  <c r="F10" i="6"/>
  <c r="E10" i="6"/>
  <c r="C26" i="5" l="1"/>
  <c r="C13" i="5"/>
  <c r="E19" i="1"/>
  <c r="D19" i="1"/>
  <c r="F19" i="1"/>
  <c r="D13" i="1"/>
  <c r="E13" i="1"/>
  <c r="F13" i="1"/>
  <c r="D7" i="1"/>
  <c r="E7" i="1"/>
  <c r="F7" i="1"/>
  <c r="B15" i="10" l="1"/>
  <c r="B13" i="10"/>
  <c r="B12" i="10"/>
  <c r="B11" i="10"/>
  <c r="B8" i="10"/>
  <c r="B7" i="10"/>
  <c r="B6" i="10"/>
  <c r="B4" i="10"/>
  <c r="B3" i="10"/>
  <c r="C10" i="6"/>
  <c r="B2" i="10" s="1"/>
  <c r="C21" i="6"/>
  <c r="B5" i="10" s="1"/>
  <c r="C28" i="6"/>
  <c r="B10" i="10" l="1"/>
  <c r="B14" i="10" s="1"/>
  <c r="B16" i="10" s="1"/>
  <c r="F26" i="5"/>
  <c r="E26" i="5"/>
  <c r="D26" i="5"/>
  <c r="F13" i="5"/>
  <c r="E13" i="5"/>
  <c r="D13" i="5"/>
  <c r="F28" i="6"/>
  <c r="G28" i="6"/>
  <c r="E28" i="6"/>
  <c r="D10" i="6" l="1"/>
  <c r="D21" i="1"/>
  <c r="E21" i="1"/>
  <c r="F21" i="1"/>
  <c r="C6" i="10" l="1"/>
  <c r="D6" i="10"/>
  <c r="E6" i="10"/>
  <c r="F6" i="10"/>
  <c r="C7" i="10"/>
  <c r="D7" i="10"/>
  <c r="E7" i="10"/>
  <c r="F7" i="10"/>
  <c r="C8" i="10"/>
  <c r="D8" i="10"/>
  <c r="E8" i="10"/>
  <c r="F8" i="10"/>
  <c r="C3" i="10"/>
  <c r="D3" i="10"/>
  <c r="E3" i="10"/>
  <c r="F3" i="10"/>
  <c r="C4" i="10"/>
  <c r="D4" i="10"/>
  <c r="E4" i="10"/>
  <c r="F4" i="10"/>
  <c r="D28" i="6" l="1"/>
  <c r="D21" i="6"/>
  <c r="G6" i="12" l="1"/>
  <c r="F2" i="12"/>
  <c r="G2" i="12"/>
  <c r="F3" i="12"/>
  <c r="G3" i="12"/>
  <c r="F4" i="12"/>
  <c r="G4" i="12"/>
  <c r="F5" i="12"/>
  <c r="G5" i="12"/>
  <c r="F6" i="12"/>
  <c r="F7" i="12"/>
  <c r="G7" i="12"/>
  <c r="F8" i="12"/>
  <c r="G8" i="12"/>
  <c r="F9" i="12"/>
  <c r="G9" i="12"/>
  <c r="E9" i="12"/>
  <c r="E8" i="12"/>
  <c r="E7" i="12"/>
  <c r="E6" i="12"/>
  <c r="E5" i="12"/>
  <c r="E4" i="12"/>
  <c r="E3" i="12"/>
  <c r="E2" i="12"/>
  <c r="D11" i="10"/>
  <c r="E11" i="10"/>
  <c r="F11" i="10"/>
  <c r="D12" i="10"/>
  <c r="E12" i="10"/>
  <c r="F12" i="10"/>
  <c r="D13" i="10"/>
  <c r="E13" i="10"/>
  <c r="F13" i="10"/>
  <c r="D15" i="10"/>
  <c r="E15" i="10"/>
  <c r="F15" i="10"/>
  <c r="C15" i="10"/>
  <c r="C13" i="10"/>
  <c r="C12" i="10"/>
  <c r="C11" i="10"/>
  <c r="K2" i="8" l="1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H23" i="8"/>
  <c r="L23" i="8" s="1"/>
  <c r="H22" i="8"/>
  <c r="L22" i="8" s="1"/>
  <c r="H19" i="8"/>
  <c r="L19" i="8" s="1"/>
  <c r="H18" i="8"/>
  <c r="L18" i="8" s="1"/>
  <c r="H17" i="8"/>
  <c r="L17" i="8" s="1"/>
  <c r="H16" i="8"/>
  <c r="L16" i="8" s="1"/>
  <c r="H14" i="8"/>
  <c r="H13" i="8"/>
  <c r="L13" i="8" s="1"/>
  <c r="H12" i="8"/>
  <c r="H11" i="8"/>
  <c r="H9" i="8"/>
  <c r="H8" i="8"/>
  <c r="H7" i="8"/>
  <c r="H6" i="8"/>
  <c r="H5" i="8"/>
  <c r="H4" i="8"/>
  <c r="H3" i="8"/>
  <c r="H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H18" i="7"/>
  <c r="L18" i="7" s="1"/>
  <c r="H17" i="7"/>
  <c r="H14" i="7"/>
  <c r="L14" i="7" s="1"/>
  <c r="H13" i="7"/>
  <c r="L13" i="7" s="1"/>
  <c r="H12" i="7"/>
  <c r="L12" i="7" s="1"/>
  <c r="H10" i="7"/>
  <c r="H9" i="7"/>
  <c r="H8" i="7"/>
  <c r="H7" i="7"/>
  <c r="H6" i="7"/>
  <c r="H4" i="7"/>
  <c r="H3" i="7"/>
  <c r="H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17" i="7" l="1"/>
  <c r="L7" i="8"/>
  <c r="L3" i="7"/>
  <c r="L8" i="7"/>
  <c r="L19" i="7"/>
  <c r="L5" i="8"/>
  <c r="L9" i="8"/>
  <c r="L14" i="8"/>
  <c r="L9" i="7"/>
  <c r="L2" i="8"/>
  <c r="L6" i="8"/>
  <c r="L11" i="8"/>
  <c r="L4" i="7"/>
  <c r="L3" i="8"/>
  <c r="L12" i="8"/>
  <c r="L6" i="7"/>
  <c r="L10" i="7"/>
  <c r="L2" i="7"/>
  <c r="L7" i="7"/>
  <c r="L4" i="8"/>
  <c r="L8" i="8"/>
  <c r="L24" i="8"/>
  <c r="K20" i="8"/>
  <c r="K11" i="7"/>
  <c r="H15" i="8"/>
  <c r="B5" i="7"/>
  <c r="K15" i="7"/>
  <c r="B11" i="7"/>
  <c r="B27" i="8"/>
  <c r="B15" i="7"/>
  <c r="H27" i="8"/>
  <c r="K27" i="8"/>
  <c r="K15" i="8"/>
  <c r="C27" i="8"/>
  <c r="K10" i="8"/>
  <c r="H10" i="8"/>
  <c r="H20" i="8"/>
  <c r="L20" i="8" s="1"/>
  <c r="C10" i="8"/>
  <c r="C15" i="8"/>
  <c r="C20" i="8"/>
  <c r="B20" i="8"/>
  <c r="B15" i="8"/>
  <c r="B10" i="8"/>
  <c r="K5" i="7"/>
  <c r="C15" i="7"/>
  <c r="C11" i="7"/>
  <c r="H11" i="7"/>
  <c r="H5" i="7"/>
  <c r="H15" i="7"/>
  <c r="L15" i="7" s="1"/>
  <c r="C5" i="7"/>
  <c r="L15" i="8" l="1"/>
  <c r="L5" i="7"/>
  <c r="L10" i="8"/>
  <c r="L11" i="7"/>
  <c r="L27" i="8"/>
  <c r="H21" i="8"/>
  <c r="B21" i="8"/>
  <c r="C21" i="8"/>
  <c r="K21" i="8"/>
  <c r="C16" i="7"/>
  <c r="K16" i="7"/>
  <c r="H16" i="7"/>
  <c r="B16" i="7"/>
  <c r="B20" i="7"/>
  <c r="B21" i="7" s="1"/>
  <c r="K20" i="7"/>
  <c r="K21" i="7" s="1"/>
  <c r="C30" i="8"/>
  <c r="C31" i="8" s="1"/>
  <c r="B30" i="8"/>
  <c r="B31" i="8" s="1"/>
  <c r="C20" i="7"/>
  <c r="C21" i="7" s="1"/>
  <c r="H20" i="7"/>
  <c r="H21" i="7" l="1"/>
  <c r="L20" i="7"/>
  <c r="L21" i="8"/>
  <c r="L16" i="7"/>
  <c r="K28" i="8"/>
  <c r="K30" i="8" s="1"/>
  <c r="K31" i="8" s="1"/>
  <c r="I7" i="7" l="1"/>
  <c r="I8" i="7"/>
  <c r="I10" i="7"/>
  <c r="I9" i="7"/>
  <c r="I21" i="7"/>
  <c r="I12" i="7"/>
  <c r="I16" i="7"/>
  <c r="I5" i="7"/>
  <c r="I15" i="7"/>
  <c r="I11" i="7"/>
  <c r="L21" i="7"/>
  <c r="I13" i="7"/>
  <c r="I2" i="7"/>
  <c r="I14" i="7"/>
  <c r="I18" i="7"/>
  <c r="I4" i="7"/>
  <c r="I6" i="7"/>
  <c r="I17" i="7"/>
  <c r="I3" i="7"/>
  <c r="C5" i="10"/>
  <c r="C2" i="10"/>
  <c r="C10" i="10" l="1"/>
  <c r="C14" i="10" l="1"/>
  <c r="C16" i="10" s="1"/>
  <c r="E5" i="10" l="1"/>
  <c r="F5" i="10"/>
  <c r="D5" i="10"/>
  <c r="E2" i="10"/>
  <c r="F2" i="10"/>
  <c r="D2" i="10"/>
  <c r="E10" i="10" l="1"/>
  <c r="E14" i="10" s="1"/>
  <c r="E16" i="10" s="1"/>
  <c r="D10" i="10"/>
  <c r="D14" i="10" s="1"/>
  <c r="D16" i="10" s="1"/>
  <c r="F10" i="10"/>
  <c r="E54" i="2"/>
  <c r="E55" i="2" s="1"/>
  <c r="E59" i="2" s="1"/>
  <c r="C6" i="9" s="1"/>
  <c r="F54" i="2"/>
  <c r="F55" i="2" s="1"/>
  <c r="F59" i="2" s="1"/>
  <c r="F14" i="10" l="1"/>
  <c r="F16" i="10" l="1"/>
  <c r="V47" i="2" l="1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H28" i="8" l="1"/>
  <c r="L28" i="8" s="1"/>
  <c r="V53" i="2" l="1"/>
  <c r="H29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H30" i="8" l="1"/>
  <c r="U55" i="2"/>
  <c r="X55" i="2" s="1"/>
  <c r="L29" i="8"/>
  <c r="V21" i="2"/>
  <c r="V20" i="2"/>
  <c r="T55" i="2"/>
  <c r="W55" i="2" s="1"/>
  <c r="V54" i="2"/>
  <c r="G12" i="2"/>
  <c r="D53" i="2"/>
  <c r="D52" i="2"/>
  <c r="H31" i="8" l="1"/>
  <c r="L30" i="8"/>
  <c r="V55" i="2"/>
  <c r="T59" i="2"/>
  <c r="H6" i="9" s="1"/>
  <c r="U59" i="2"/>
  <c r="J6" i="9" s="1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12" i="8" l="1"/>
  <c r="I13" i="8"/>
  <c r="I16" i="8"/>
  <c r="I20" i="8"/>
  <c r="I9" i="8"/>
  <c r="I27" i="8"/>
  <c r="I19" i="8"/>
  <c r="I22" i="8"/>
  <c r="I5" i="8"/>
  <c r="I6" i="8"/>
  <c r="I10" i="8"/>
  <c r="I25" i="8"/>
  <c r="I8" i="8"/>
  <c r="I17" i="8"/>
  <c r="I4" i="8"/>
  <c r="I3" i="8"/>
  <c r="I31" i="8"/>
  <c r="I15" i="8"/>
  <c r="I11" i="8"/>
  <c r="I14" i="8"/>
  <c r="L31" i="8"/>
  <c r="I2" i="8"/>
  <c r="I26" i="8"/>
  <c r="I18" i="8"/>
  <c r="I21" i="8"/>
  <c r="I28" i="8"/>
  <c r="I7" i="8"/>
  <c r="I24" i="8"/>
  <c r="I23" i="8"/>
  <c r="G20" i="2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<sst xmlns="http://schemas.openxmlformats.org/spreadsheetml/2006/main" count="609" uniqueCount="387">
  <si>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</si>
  <si>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</si>
  <si>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</si>
  <si>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</si>
  <si>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</si>
  <si>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</si>
  <si>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</si>
  <si>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</si>
  <si>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</si>
  <si>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</si>
  <si>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</si>
  <si>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</si>
  <si>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</si>
  <si>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</si>
  <si>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</si>
  <si>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</si>
  <si>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</si>
  <si>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</si>
  <si>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</si>
  <si>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</si>
  <si>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</si>
  <si>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</si>
  <si>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</si>
  <si>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</si>
  <si>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</si>
  <si>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</si>
  <si>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</si>
  <si>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</si>
  <si>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</si>
  <si>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</si>
  <si>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</si>
  <si>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</si>
  <si>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</si>
  <si>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</si>
  <si>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</si>
  <si>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</si>
  <si>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</si>
  <si>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</si>
  <si>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</si>
  <si>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</si>
  <si>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</si>
  <si>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</si>
  <si>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</si>
  <si>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</si>
  <si>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</si>
  <si>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</si>
  <si>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</si>
  <si>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</si>
  <si>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</si>
  <si>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</si>
  <si>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</si>
  <si>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</si>
  <si>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</si>
  <si>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</si>
  <si>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</si>
  <si>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</si>
  <si>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</si>
  <si>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</si>
  <si>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</si>
  <si>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</si>
  <si>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</si>
  <si>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</si>
  <si>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</si>
  <si>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</si>
  <si>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</si>
  <si>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</si>
  <si>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</si>
  <si>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</si>
  <si>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</si>
  <si>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</si>
  <si>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</si>
  <si>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</si>
  <si>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</si>
  <si>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</si>
  <si>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</si>
  <si>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</si>
  <si>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</si>
  <si>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</si>
  <si>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</si>
  <si>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</si>
  <si>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</si>
  <si>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</si>
  <si>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</si>
  <si>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</si>
  <si>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</si>
  <si>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</si>
  <si>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</si>
  <si>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</si>
  <si>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</si>
  <si>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</si>
  <si>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</si>
  <si>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</si>
  <si>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</si>
  <si>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</si>
  <si>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</si>
  <si>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</si>
  <si>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</si>
  <si>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</si>
  <si>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</si>
  <si>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</si>
  <si>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</si>
  <si>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</si>
  <si>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</si>
  <si>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</si>
  <si>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</si>
  <si>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</si>
  <si>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</si>
  <si>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</si>
  <si>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</si>
  <si>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</si>
  <si>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</si>
  <si>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</si>
  <si>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</si>
  <si>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</si>
  <si>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</si>
  <si>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</si>
  <si>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</si>
  <si>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</si>
  <si>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</si>
  <si>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</si>
  <si>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</si>
  <si>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</si>
  <si>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</si>
  <si>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</si>
  <si>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</si>
  <si>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</si>
  <si>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</si>
  <si>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</si>
  <si>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</si>
  <si>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</si>
  <si>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</si>
  <si>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</si>
  <si>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</si>
  <si>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</si>
  <si>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</si>
  <si>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</si>
  <si>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</si>
  <si>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</si>
  <si>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</si>
  <si>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</si>
  <si>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</si>
  <si>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</si>
  <si>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</si>
  <si>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</si>
  <si>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</si>
  <si>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</si>
  <si>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</si>
  <si>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</si>
  <si>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</si>
  <si>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</si>
  <si>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</si>
  <si>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</si>
  <si>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</si>
  <si>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</si>
  <si>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</si>
  <si>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</si>
  <si>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</si>
  <si>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</si>
  <si>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</si>
  <si>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</si>
  <si>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</si>
  <si>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</si>
  <si>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</si>
  <si>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</si>
  <si>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</si>
  <si>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</si>
  <si>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</si>
  <si>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</si>
  <si>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</si>
  <si>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</si>
  <si>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</si>
  <si>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</si>
  <si>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</si>
  <si>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</si>
  <si>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</si>
  <si>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</si>
  <si>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</si>
  <si>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</si>
  <si>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</si>
  <si>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</si>
  <si>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</si>
  <si>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</si>
  <si>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</si>
  <si>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</si>
  <si>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</si>
  <si>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</si>
  <si>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</si>
  <si>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</si>
  <si>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</si>
  <si>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</si>
  <si>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</si>
  <si>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</si>
  <si>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</si>
  <si>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</si>
  <si>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</si>
  <si>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</si>
  <si>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</si>
  <si>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</si>
  <si>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</si>
  <si>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</si>
  <si>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</si>
  <si>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</si>
  <si>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</si>
  <si>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</si>
  <si>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</si>
  <si>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</si>
  <si>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</si>
  <si>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</si>
  <si>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</si>
  <si>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</si>
  <si>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</si>
  <si>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</si>
  <si>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</si>
  <si>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</si>
  <si>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</si>
  <si>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</si>
  <si>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</si>
  <si>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</si>
  <si>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</si>
  <si>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</si>
  <si>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</si>
  <si>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</si>
  <si>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</si>
  <si>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</si>
  <si>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</si>
  <si>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</si>
  <si>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</si>
  <si>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</si>
  <si>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</si>
  <si>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</si>
  <si>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</si>
  <si>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</si>
  <si>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</si>
  <si>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</si>
  <si>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</si>
  <si>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</si>
  <si>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</si>
  <si>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</si>
  <si>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</si>
  <si>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</si>
  <si>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</si>
  <si>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</si>
  <si>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</si>
  <si>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</si>
  <si>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</si>
  <si>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</si>
  <si>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</si>
  <si>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</si>
  <si>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</si>
  <si>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</si>
  <si>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</si>
  <si>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</si>
  <si>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</si>
  <si>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</si>
  <si>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</si>
  <si>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</si>
  <si>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</si>
  <si>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</si>
  <si>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</si>
  <si>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</si>
  <si>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</si>
  <si>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</si>
  <si>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</si>
  <si>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</si>
  <si>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</si>
  <si>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</si>
  <si>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</si>
  <si>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</si>
  <si>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</si>
  <si>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</si>
  <si>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</si>
  <si>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</si>
  <si>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</si>
  <si>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</si>
  <si>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</si>
  <si>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</si>
  <si>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</si>
  <si>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</si>
  <si>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</si>
  <si>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</si>
  <si>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</si>
  <si>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</si>
  <si>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</si>
  <si>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</si>
  <si>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</si>
  <si>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</si>
  <si>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</si>
  <si>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</si>
  <si>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</si>
  <si>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</si>
  <si>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</si>
  <si>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</si>
  <si>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</si>
  <si>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</si>
  <si>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</si>
  <si>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</si>
  <si>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</si>
  <si>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</si>
  <si>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</si>
  <si>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</si>
  <si>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</si>
  <si>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</si>
  <si>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</si>
  <si>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</si>
  <si>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</si>
  <si>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</si>
  <si>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</si>
  <si>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</si>
  <si>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</si>
  <si>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</si>
  <si>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</si>
  <si>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</si>
  <si>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</si>
  <si>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</si>
  <si>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</si>
  <si>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</si>
  <si>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</si>
  <si>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</si>
  <si>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</si>
  <si>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</si>
  <si>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</si>
  <si>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</si>
  <si>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</si>
  <si>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</si>
  <si>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</si>
  <si>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</si>
  <si>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</si>
  <si>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</si>
  <si>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</si>
  <si>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</si>
  <si>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</si>
  <si>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</si>
  <si>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</si>
  <si>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</si>
  <si>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</si>
  <si>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</si>
  <si>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</si>
  <si>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</si>
  <si>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</si>
  <si>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</si>
  <si>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</si>
  <si>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</si>
  <si>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</si>
  <si>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</si>
  <si>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</si>
  <si>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</si>
  <si>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</si>
  <si>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</si>
  <si>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</si>
  <si>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</si>
  <si>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</si>
  <si>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Città metro-politana</t>
  </si>
  <si>
    <t>Saldo naturale</t>
  </si>
  <si>
    <t>Saldo migratorio</t>
  </si>
  <si>
    <t>Verifica</t>
  </si>
  <si>
    <t>Riaccertamento residui attivi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</si>
  <si>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</si>
  <si>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</si>
  <si>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</si>
  <si>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</si>
  <si>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</si>
  <si>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>Risultato economico di esercizi precedenti (A4)</t>
  </si>
  <si>
    <t>Riserve negative per beni indisponibili (A5)</t>
  </si>
  <si>
    <t>Saldo censuario</t>
  </si>
  <si>
    <t>Impegni</t>
  </si>
  <si>
    <t>Pagamenti</t>
  </si>
  <si>
    <t>Residui</t>
  </si>
  <si>
    <t>Cap. pagamento</t>
  </si>
  <si>
    <t>Composizione spesa</t>
  </si>
  <si>
    <t>Infanzia, minori, asili nido</t>
  </si>
  <si>
    <t>Disabilità</t>
  </si>
  <si>
    <t>Anziani</t>
  </si>
  <si>
    <t>Soggetti a rischio esclusione sociale</t>
  </si>
  <si>
    <t>Famiglie</t>
  </si>
  <si>
    <t>Diritto alla casa</t>
  </si>
  <si>
    <t>Rete dei servizi sociosanitari e sociali</t>
  </si>
  <si>
    <t>Cooperazione e associazionismo</t>
  </si>
  <si>
    <t>Servizio necroscopico e cimiteriale</t>
  </si>
  <si>
    <t>Spesa finale</t>
  </si>
  <si>
    <t>Totale</t>
  </si>
  <si>
    <t>Spesa corrente</t>
  </si>
  <si>
    <t>Spesa in conto capitale</t>
  </si>
  <si>
    <t>%Spesa corrente</t>
  </si>
  <si>
    <t>Margine operativo lordo</t>
  </si>
  <si>
    <t>Riscossioni 2022</t>
  </si>
  <si>
    <t>Pagamenti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</si>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</sst>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_-;\-* #,##0_-;_-* &quot;-&quot;??_-;_-@_-"/>
    <numFmt numFmtId="165" formatCode="0.0"/>
    <numFmt numFmtId="166" formatCode="#,##0_ ;\-#,##0\ "/>
    <numFmt numFmtId="167" formatCode="#,##0.0_ ;\-#,##0.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4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0" fillId="0" borderId="0" xfId="0" quotePrefix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1" applyNumberFormat="1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4" fontId="0" fillId="4" borderId="0" xfId="0" applyNumberFormat="1" applyFont="1" applyFill="1"/>
    <xf numFmtId="165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6" fontId="0" fillId="4" borderId="0" xfId="0" applyNumberFormat="1" applyFont="1" applyFill="1"/>
    <xf numFmtId="166" fontId="3" fillId="4" borderId="0" xfId="1" applyNumberFormat="1" applyFont="1" applyFill="1"/>
    <xf numFmtId="166" fontId="6" fillId="0" borderId="0" xfId="0" applyNumberFormat="1" applyFont="1"/>
    <xf numFmtId="166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6" fontId="0" fillId="4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6" fontId="1" fillId="4" borderId="0" xfId="0" applyNumberFormat="1" applyFont="1" applyFill="1" applyAlignment="1">
      <alignment horizontal="center" vertical="center"/>
    </xf>
    <xf numFmtId="166" fontId="1" fillId="6" borderId="0" xfId="1" applyNumberFormat="1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166" fontId="9" fillId="4" borderId="0" xfId="1" applyNumberFormat="1" applyFont="1" applyFill="1" applyAlignment="1">
      <alignment horizontal="center" vertical="center"/>
    </xf>
    <xf numFmtId="166" fontId="1" fillId="6" borderId="0" xfId="0" applyNumberFormat="1" applyFont="1" applyFill="1" applyAlignment="1">
      <alignment horizontal="center" vertical="center"/>
    </xf>
    <xf numFmtId="166" fontId="6" fillId="4" borderId="0" xfId="0" quotePrefix="1" applyNumberFormat="1" applyFont="1" applyFill="1" applyAlignment="1">
      <alignment horizontal="center" vertical="center"/>
    </xf>
    <xf numFmtId="166" fontId="6" fillId="6" borderId="0" xfId="1" quotePrefix="1" applyNumberFormat="1" applyFont="1" applyFill="1" applyAlignment="1">
      <alignment horizontal="center" vertical="center"/>
    </xf>
    <xf numFmtId="166" fontId="6" fillId="6" borderId="0" xfId="0" quotePrefix="1" applyNumberFormat="1" applyFont="1" applyFill="1" applyAlignment="1">
      <alignment horizontal="center" vertical="center"/>
    </xf>
    <xf numFmtId="166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2" fillId="0" borderId="1" xfId="0" applyNumberFormat="1" applyFont="1" applyFill="1" applyBorder="1"/>
    <xf numFmtId="166" fontId="0" fillId="0" borderId="0" xfId="0" applyNumberFormat="1"/>
    <xf numFmtId="164" fontId="0" fillId="0" borderId="0" xfId="1" applyNumberFormat="1" applyFont="1" applyFill="1"/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2" borderId="0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167" fontId="9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6" fontId="3" fillId="0" borderId="0" xfId="1" applyNumberFormat="1" applyFont="1" applyFill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165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165" fontId="2" fillId="0" borderId="0" xfId="0" applyNumberFormat="1" applyFont="1"/>
    <xf numFmtId="0" fontId="0" fillId="0" borderId="0" xfId="0" applyAlignment="1">
      <alignment vertical="center"/>
    </xf>
    <xf numFmtId="0" fontId="11" fillId="0" borderId="0" xfId="2" applyFont="1" applyFill="1" applyBorder="1" applyAlignment="1" applyProtection="1">
      <alignment vertical="center" readingOrder="1"/>
    </xf>
    <xf numFmtId="0" fontId="12" fillId="0" borderId="0" xfId="2" applyFont="1" applyFill="1" applyBorder="1" applyAlignment="1" applyProtection="1">
      <alignment vertical="center" readingOrder="1"/>
    </xf>
    <xf numFmtId="165" fontId="13" fillId="0" borderId="0" xfId="0" applyNumberFormat="1" applyFont="1"/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88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360116429587997E-2"/>
          <c:y val="5.2090612906515517E-2"/>
          <c:w val="0.54691650385807045"/>
          <c:h val="0.89251404924077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alpha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8995699861841595"/>
                  <c:y val="0.12604740813648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9746416833031E-2"/>
                  <c:y val="-5.1561953193350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851961072433513E-2"/>
                  <c:y val="-4.275754593175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869512932505059E-2"/>
                  <c:y val="-3.0348862642169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56770944172553E-2"/>
                  <c:y val="-6.9138779527559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2761107564257169E-2"/>
                  <c:y val="-2.8923611111111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7409783236554891E-2"/>
                  <c:y val="0.10510225284339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Missione12_Programmi!$A$2:$A$10</c:f>
              <c:strCache>
                <c:ptCount val="9"/>
                <c:pt idx="0">
                  <c:v>Infanzia, minori, asili nido</c:v>
                </c:pt>
                <c:pt idx="1">
                  <c:v>Disabilità</c:v>
                </c:pt>
                <c:pt idx="2">
                  <c:v>Anziani</c:v>
                </c:pt>
                <c:pt idx="3">
                  <c:v>Soggetti a rischio esclusione sociale</c:v>
                </c:pt>
                <c:pt idx="4">
                  <c:v>Famiglie</c:v>
                </c:pt>
                <c:pt idx="5">
                  <c:v>Diritto alla casa</c:v>
                </c:pt>
                <c:pt idx="6">
                  <c:v>Rete dei servizi sociosanitari e sociali</c:v>
                </c:pt>
                <c:pt idx="7">
                  <c:v>Cooperazione e associazionismo</c:v>
                </c:pt>
                <c:pt idx="8">
                  <c:v>Servizio necroscopico e cimiteriale</c:v>
                </c:pt>
              </c:strCache>
            </c:strRef>
          </c:cat>
          <c:val>
            <c:numRef>
              <c:f>Missione12_Programmi!$B$2:$B$10</c:f>
              <c:numCache>
                <c:formatCode>#,##0</c:formatCode>
                <c:ptCount val="9"/>
                <c:pt idx="0">
                  <c:v>24562136.670000002</c:v>
                </c:pt>
                <c:pt idx="1">
                  <c:v>827045.93</c:v>
                </c:pt>
                <c:pt idx="2">
                  <c:v>1977018.77</c:v>
                </c:pt>
                <c:pt idx="3">
                  <c:v>1196441.23</c:v>
                </c:pt>
                <c:pt idx="4">
                  <c:v>0</c:v>
                </c:pt>
                <c:pt idx="5">
                  <c:v>4402001.8899999997</c:v>
                </c:pt>
                <c:pt idx="6">
                  <c:v>32453041.149999999</c:v>
                </c:pt>
                <c:pt idx="7">
                  <c:v>0</c:v>
                </c:pt>
                <c:pt idx="8">
                  <c:v>3019689.16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905368777131741"/>
          <c:y val="3.1215427490599516E-2"/>
          <c:w val="0.37732233402704773"/>
          <c:h val="0.92108789244360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189E-2"/>
          <c:w val="0.9122665336936"/>
          <c:h val="0.7262500698051042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77.11</c:v>
                </c:pt>
                <c:pt idx="1">
                  <c:v>67.48</c:v>
                </c:pt>
                <c:pt idx="2">
                  <c:v>70.14</c:v>
                </c:pt>
                <c:pt idx="3">
                  <c:v>75.819999999999993</c:v>
                </c:pt>
                <c:pt idx="4">
                  <c:v>62.12</c:v>
                </c:pt>
                <c:pt idx="5">
                  <c:v>69.17</c:v>
                </c:pt>
                <c:pt idx="6">
                  <c:v>71.55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87.35</c:v>
                </c:pt>
                <c:pt idx="1">
                  <c:v>75.77</c:v>
                </c:pt>
                <c:pt idx="2">
                  <c:v>83.7</c:v>
                </c:pt>
                <c:pt idx="3">
                  <c:v>81.99</c:v>
                </c:pt>
                <c:pt idx="4">
                  <c:v>88.51</c:v>
                </c:pt>
                <c:pt idx="5">
                  <c:v>82.4</c:v>
                </c:pt>
                <c:pt idx="6">
                  <c:v>82.24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76.209999999999994</c:v>
                </c:pt>
                <c:pt idx="1">
                  <c:v>76.239999999999995</c:v>
                </c:pt>
                <c:pt idx="2">
                  <c:v>90.47</c:v>
                </c:pt>
                <c:pt idx="3">
                  <c:v>84.54</c:v>
                </c:pt>
                <c:pt idx="4">
                  <c:v>89.8</c:v>
                </c:pt>
                <c:pt idx="5">
                  <c:v>87.01</c:v>
                </c:pt>
                <c:pt idx="6">
                  <c:v>91.36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67.930000000000007</c:v>
                </c:pt>
                <c:pt idx="1">
                  <c:v>62.29</c:v>
                </c:pt>
                <c:pt idx="2">
                  <c:v>66.77</c:v>
                </c:pt>
                <c:pt idx="3">
                  <c:v>70.069999999999993</c:v>
                </c:pt>
                <c:pt idx="4">
                  <c:v>62.98</c:v>
                </c:pt>
                <c:pt idx="5">
                  <c:v>65.48</c:v>
                </c:pt>
                <c:pt idx="6">
                  <c:v>69.489999999999995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216352"/>
        <c:axId val="-253215808"/>
      </c:lineChart>
      <c:catAx>
        <c:axId val="-25321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3215808"/>
        <c:crosses val="autoZero"/>
        <c:auto val="1"/>
        <c:lblAlgn val="ctr"/>
        <c:lblOffset val="100"/>
        <c:noMultiLvlLbl val="0"/>
      </c:catAx>
      <c:valAx>
        <c:axId val="-253215808"/>
        <c:scaling>
          <c:orientation val="minMax"/>
          <c:max val="95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5321635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7007734405539761"/>
          <c:w val="0.9843888070692195"/>
          <c:h val="0.1025252694477021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564E-2"/>
          <c:y val="0"/>
          <c:w val="0.95679921453118133"/>
          <c:h val="0.8024871129335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249.74</c:v>
                </c:pt>
                <c:pt idx="1">
                  <c:v>244.18</c:v>
                </c:pt>
                <c:pt idx="2">
                  <c:v>245.5</c:v>
                </c:pt>
                <c:pt idx="3">
                  <c:v>259.58</c:v>
                </c:pt>
                <c:pt idx="4">
                  <c:v>257.18</c:v>
                </c:pt>
                <c:pt idx="5">
                  <c:v>260.13</c:v>
                </c:pt>
                <c:pt idx="6">
                  <c:v>254.94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8851712"/>
        <c:axId val="-68853888"/>
      </c:barChart>
      <c:catAx>
        <c:axId val="-6885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68853888"/>
        <c:crosses val="autoZero"/>
        <c:auto val="1"/>
        <c:lblAlgn val="ctr"/>
        <c:lblOffset val="100"/>
        <c:noMultiLvlLbl val="0"/>
      </c:catAx>
      <c:valAx>
        <c:axId val="-68853888"/>
        <c:scaling>
          <c:orientation val="minMax"/>
          <c:max val="42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68851712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91809716170241E-3"/>
          <c:y val="4.1702144416021866E-2"/>
          <c:w val="0.9949708190283828"/>
          <c:h val="0.77186527390942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124.22</c:v>
                </c:pt>
                <c:pt idx="1">
                  <c:v>189.99</c:v>
                </c:pt>
                <c:pt idx="2">
                  <c:v>124.55</c:v>
                </c:pt>
                <c:pt idx="3">
                  <c:v>163</c:v>
                </c:pt>
                <c:pt idx="4">
                  <c:v>133.19999999999999</c:v>
                </c:pt>
                <c:pt idx="5">
                  <c:v>114.27</c:v>
                </c:pt>
                <c:pt idx="6">
                  <c:v>116.41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1.15406809001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8854432"/>
        <c:axId val="-68856064"/>
      </c:barChart>
      <c:catAx>
        <c:axId val="-688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68856064"/>
        <c:crosses val="autoZero"/>
        <c:auto val="1"/>
        <c:lblAlgn val="ctr"/>
        <c:lblOffset val="100"/>
        <c:noMultiLvlLbl val="0"/>
      </c:catAx>
      <c:valAx>
        <c:axId val="-68856064"/>
        <c:scaling>
          <c:orientation val="minMax"/>
          <c:max val="235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68854432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585E-2"/>
          <c:y val="3.3240997229916899E-2"/>
          <c:w val="0.956799214531182"/>
          <c:h val="0.90959699289666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9.8183603338242911E-3"/>
                  <c:y val="3.69344413665743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2CA-41D6-B03F-8C1FB85F7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910162002945524E-3"/>
                  <c:y val="3.69344413665743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CA-41D6-B03F-8C1FB85F7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1.77</c:v>
                </c:pt>
                <c:pt idx="1">
                  <c:v>-1.59</c:v>
                </c:pt>
                <c:pt idx="2">
                  <c:v>2.29</c:v>
                </c:pt>
                <c:pt idx="3">
                  <c:v>-3.72</c:v>
                </c:pt>
                <c:pt idx="4">
                  <c:v>-16.98</c:v>
                </c:pt>
                <c:pt idx="5">
                  <c:v>-18.440000000000001</c:v>
                </c:pt>
                <c:pt idx="6">
                  <c:v>-15.72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8855520"/>
        <c:axId val="-68852256"/>
      </c:barChart>
      <c:catAx>
        <c:axId val="-6885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68852256"/>
        <c:crosses val="autoZero"/>
        <c:auto val="1"/>
        <c:lblAlgn val="ctr"/>
        <c:lblOffset val="100"/>
        <c:noMultiLvlLbl val="0"/>
      </c:catAx>
      <c:valAx>
        <c:axId val="-68852256"/>
        <c:scaling>
          <c:orientation val="minMax"/>
          <c:max val="40"/>
          <c:min val="-20"/>
        </c:scaling>
        <c:delete val="1"/>
        <c:axPos val="l"/>
        <c:numFmt formatCode="0" sourceLinked="0"/>
        <c:majorTickMark val="out"/>
        <c:minorTickMark val="none"/>
        <c:tickLblPos val="none"/>
        <c:crossAx val="-6885552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8205544948164049"/>
          <c:y val="0.88875177388746796"/>
          <c:w val="0.35341924944752645"/>
          <c:h val="8.816686431218602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36720667648509E-2"/>
          <c:y val="5.9095106186518934E-2"/>
          <c:w val="0.956799214531182"/>
          <c:h val="0.73231167433710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293.5</c:v>
                </c:pt>
                <c:pt idx="1">
                  <c:v>283.87</c:v>
                </c:pt>
                <c:pt idx="2">
                  <c:v>265.98</c:v>
                </c:pt>
                <c:pt idx="3">
                  <c:v>249.8</c:v>
                </c:pt>
                <c:pt idx="4">
                  <c:v>248.75</c:v>
                </c:pt>
                <c:pt idx="5">
                  <c:v>276.14999999999998</c:v>
                </c:pt>
                <c:pt idx="6">
                  <c:v>268.33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8854976"/>
        <c:axId val="-68858240"/>
      </c:barChart>
      <c:catAx>
        <c:axId val="-6885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68858240"/>
        <c:crosses val="autoZero"/>
        <c:auto val="1"/>
        <c:lblAlgn val="ctr"/>
        <c:lblOffset val="100"/>
        <c:noMultiLvlLbl val="0"/>
      </c:catAx>
      <c:valAx>
        <c:axId val="-68858240"/>
        <c:scaling>
          <c:orientation val="minMax"/>
          <c:max val="183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68854976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87944588737157137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316736</c:v>
                </c:pt>
                <c:pt idx="1">
                  <c:v>315948</c:v>
                </c:pt>
                <c:pt idx="2">
                  <c:v>317205</c:v>
                </c:pt>
                <c:pt idx="3">
                  <c:v>315284</c:v>
                </c:pt>
                <c:pt idx="4">
                  <c:v>316491</c:v>
                </c:pt>
                <c:pt idx="5">
                  <c:v>316758</c:v>
                </c:pt>
                <c:pt idx="6">
                  <c:v>316893</c:v>
                </c:pt>
                <c:pt idx="7">
                  <c:v>318234</c:v>
                </c:pt>
                <c:pt idx="8">
                  <c:v>318031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8857152"/>
        <c:axId val="-68853344"/>
      </c:barChart>
      <c:catAx>
        <c:axId val="-6885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68853344"/>
        <c:crosses val="autoZero"/>
        <c:auto val="1"/>
        <c:lblAlgn val="ctr"/>
        <c:lblOffset val="100"/>
        <c:noMultiLvlLbl val="0"/>
      </c:catAx>
      <c:valAx>
        <c:axId val="-68853344"/>
        <c:scaling>
          <c:orientation val="minMax"/>
          <c:max val="38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68857152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2230057669705"/>
          <c:y val="3.8314176245210725E-2"/>
          <c:w val="0.87070933128718542"/>
          <c:h val="0.74534017887262527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Missione12_Programmi!$A$93</c:f>
              <c:strCache>
                <c:ptCount val="1"/>
                <c:pt idx="0">
                  <c:v>Rete dei servizi sociosanitari e sociali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Missione12_Programmi!$B$93:$H$93</c:f>
              <c:numCache>
                <c:formatCode>#,##0</c:formatCode>
                <c:ptCount val="7"/>
                <c:pt idx="0">
                  <c:v>23825810.059999999</c:v>
                </c:pt>
                <c:pt idx="1">
                  <c:v>15600962.300000001</c:v>
                </c:pt>
                <c:pt idx="2">
                  <c:v>21714543.43</c:v>
                </c:pt>
                <c:pt idx="3">
                  <c:v>21304080.23</c:v>
                </c:pt>
                <c:pt idx="4">
                  <c:v>33512281.16</c:v>
                </c:pt>
                <c:pt idx="5">
                  <c:v>27628890.75</c:v>
                </c:pt>
                <c:pt idx="6">
                  <c:v>32453041.149999999</c:v>
                </c:pt>
              </c:numCache>
            </c:numRef>
          </c:val>
        </c:ser>
        <c:ser>
          <c:idx val="0"/>
          <c:order val="1"/>
          <c:tx>
            <c:strRef>
              <c:f>Missione12_Programmi!$A$94</c:f>
              <c:strCache>
                <c:ptCount val="1"/>
                <c:pt idx="0">
                  <c:v>Infanzia, minori, asili nido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Missione12_Programmi!$B$94:$H$94</c:f>
              <c:numCache>
                <c:formatCode>#,##0</c:formatCode>
                <c:ptCount val="7"/>
                <c:pt idx="0">
                  <c:v>25162105.84</c:v>
                </c:pt>
                <c:pt idx="1">
                  <c:v>23284978.719999999</c:v>
                </c:pt>
                <c:pt idx="2">
                  <c:v>20900190.93</c:v>
                </c:pt>
                <c:pt idx="3">
                  <c:v>22929712.34</c:v>
                </c:pt>
                <c:pt idx="4">
                  <c:v>21961252.350000001</c:v>
                </c:pt>
                <c:pt idx="5">
                  <c:v>19748961.789999999</c:v>
                </c:pt>
                <c:pt idx="6">
                  <c:v>24562136.670000002</c:v>
                </c:pt>
              </c:numCache>
            </c:numRef>
          </c:val>
        </c:ser>
        <c:ser>
          <c:idx val="5"/>
          <c:order val="2"/>
          <c:tx>
            <c:strRef>
              <c:f>Missione12_Programmi!$A$95</c:f>
              <c:strCache>
                <c:ptCount val="1"/>
                <c:pt idx="0">
                  <c:v>Diritto alla casa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Missione12_Programmi!$B$95:$H$95</c:f>
              <c:numCache>
                <c:formatCode>#,##0</c:formatCode>
                <c:ptCount val="7"/>
                <c:pt idx="0">
                  <c:v>43188</c:v>
                </c:pt>
                <c:pt idx="1">
                  <c:v>66233.8</c:v>
                </c:pt>
                <c:pt idx="2">
                  <c:v>14981.6</c:v>
                </c:pt>
                <c:pt idx="3">
                  <c:v>0</c:v>
                </c:pt>
                <c:pt idx="4">
                  <c:v>469335</c:v>
                </c:pt>
                <c:pt idx="5">
                  <c:v>4772457.5</c:v>
                </c:pt>
                <c:pt idx="6">
                  <c:v>4402001.8899999997</c:v>
                </c:pt>
              </c:numCache>
            </c:numRef>
          </c:val>
        </c:ser>
        <c:ser>
          <c:idx val="8"/>
          <c:order val="3"/>
          <c:tx>
            <c:strRef>
              <c:f>Missione12_Programmi!$A$96</c:f>
              <c:strCache>
                <c:ptCount val="1"/>
                <c:pt idx="0">
                  <c:v>Servizio necroscopico e cimiteriale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Missione12_Programmi!$B$96:$H$96</c:f>
              <c:numCache>
                <c:formatCode>#,##0</c:formatCode>
                <c:ptCount val="7"/>
                <c:pt idx="0">
                  <c:v>2435386.7400000002</c:v>
                </c:pt>
                <c:pt idx="1">
                  <c:v>1985483.04</c:v>
                </c:pt>
                <c:pt idx="2">
                  <c:v>2792428.28</c:v>
                </c:pt>
                <c:pt idx="3">
                  <c:v>2426091.63</c:v>
                </c:pt>
                <c:pt idx="4">
                  <c:v>5049126.3899999997</c:v>
                </c:pt>
                <c:pt idx="5">
                  <c:v>2950842.6</c:v>
                </c:pt>
                <c:pt idx="6">
                  <c:v>3019689.16</c:v>
                </c:pt>
              </c:numCache>
            </c:numRef>
          </c:val>
        </c:ser>
        <c:ser>
          <c:idx val="2"/>
          <c:order val="4"/>
          <c:tx>
            <c:strRef>
              <c:f>Missione12_Programmi!$A$97</c:f>
              <c:strCache>
                <c:ptCount val="1"/>
                <c:pt idx="0">
                  <c:v>Anziani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Missione12_Programmi!$B$97:$H$97</c:f>
              <c:numCache>
                <c:formatCode>#,##0</c:formatCode>
                <c:ptCount val="7"/>
                <c:pt idx="0">
                  <c:v>3292456.94</c:v>
                </c:pt>
                <c:pt idx="1">
                  <c:v>2722711.22</c:v>
                </c:pt>
                <c:pt idx="2">
                  <c:v>2807451.69</c:v>
                </c:pt>
                <c:pt idx="3">
                  <c:v>2464215.52</c:v>
                </c:pt>
                <c:pt idx="4">
                  <c:v>2392813.39</c:v>
                </c:pt>
                <c:pt idx="5">
                  <c:v>2281201.0699999998</c:v>
                </c:pt>
                <c:pt idx="6">
                  <c:v>1977018.77</c:v>
                </c:pt>
              </c:numCache>
            </c:numRef>
          </c:val>
        </c:ser>
        <c:ser>
          <c:idx val="3"/>
          <c:order val="5"/>
          <c:tx>
            <c:strRef>
              <c:f>Missione12_Programmi!$A$98</c:f>
              <c:strCache>
                <c:ptCount val="1"/>
                <c:pt idx="0">
                  <c:v>Soggetti a rischio esclusione sociale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Missione12_Programmi!$B$98:$H$98</c:f>
              <c:numCache>
                <c:formatCode>#,##0</c:formatCode>
                <c:ptCount val="7"/>
                <c:pt idx="0">
                  <c:v>87626.5</c:v>
                </c:pt>
                <c:pt idx="1">
                  <c:v>1023070.77</c:v>
                </c:pt>
                <c:pt idx="2">
                  <c:v>2504138.1</c:v>
                </c:pt>
                <c:pt idx="3">
                  <c:v>2666306.39</c:v>
                </c:pt>
                <c:pt idx="4">
                  <c:v>1390935.19</c:v>
                </c:pt>
                <c:pt idx="5">
                  <c:v>1210116.3999999999</c:v>
                </c:pt>
                <c:pt idx="6">
                  <c:v>1196441.23</c:v>
                </c:pt>
              </c:numCache>
            </c:numRef>
          </c:val>
        </c:ser>
        <c:ser>
          <c:idx val="1"/>
          <c:order val="6"/>
          <c:tx>
            <c:strRef>
              <c:f>Missione12_Programmi!$A$99</c:f>
              <c:strCache>
                <c:ptCount val="1"/>
                <c:pt idx="0">
                  <c:v>Disabilità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Missione12_Programmi!$B$99:$H$99</c:f>
              <c:numCache>
                <c:formatCode>#,##0</c:formatCode>
                <c:ptCount val="7"/>
                <c:pt idx="0">
                  <c:v>896455.39</c:v>
                </c:pt>
                <c:pt idx="1">
                  <c:v>847023.19</c:v>
                </c:pt>
                <c:pt idx="2">
                  <c:v>886324.93</c:v>
                </c:pt>
                <c:pt idx="3">
                  <c:v>664043.79</c:v>
                </c:pt>
                <c:pt idx="4">
                  <c:v>869999.68</c:v>
                </c:pt>
                <c:pt idx="5">
                  <c:v>802133.29</c:v>
                </c:pt>
                <c:pt idx="6">
                  <c:v>827045.93</c:v>
                </c:pt>
              </c:numCache>
            </c:numRef>
          </c:val>
        </c:ser>
        <c:ser>
          <c:idx val="4"/>
          <c:order val="7"/>
          <c:tx>
            <c:strRef>
              <c:f>Missione12_Programmi!$A$100</c:f>
              <c:strCache>
                <c:ptCount val="1"/>
                <c:pt idx="0">
                  <c:v>Famiglie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Missione12_Programmi!$B$100:$H$100</c:f>
              <c:numCache>
                <c:formatCode>#,##0</c:formatCode>
                <c:ptCount val="7"/>
                <c:pt idx="0">
                  <c:v>245280</c:v>
                </c:pt>
                <c:pt idx="1">
                  <c:v>146956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7"/>
          <c:order val="8"/>
          <c:tx>
            <c:strRef>
              <c:f>Missione12_Programmi!$A$101</c:f>
              <c:strCache>
                <c:ptCount val="1"/>
                <c:pt idx="0">
                  <c:v>Cooperazione e associazionismo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Missione12_Programmi!$B$92:$H$92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Missione12_Programmi!$B$101:$H$101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131008"/>
        <c:axId val="-62129920"/>
      </c:barChart>
      <c:catAx>
        <c:axId val="-6213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2129920"/>
        <c:crosses val="autoZero"/>
        <c:auto val="1"/>
        <c:lblAlgn val="ctr"/>
        <c:lblOffset val="100"/>
        <c:noMultiLvlLbl val="0"/>
      </c:catAx>
      <c:valAx>
        <c:axId val="-62129920"/>
        <c:scaling>
          <c:orientation val="minMax"/>
          <c:max val="7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213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046750826680301E-2"/>
          <c:y val="0.85327288634375253"/>
          <c:w val="0.95810603430951646"/>
          <c:h val="0.12582847206795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493713310.61000001</c:v>
                </c:pt>
                <c:pt idx="1">
                  <c:v>419882385.67000002</c:v>
                </c:pt>
                <c:pt idx="2">
                  <c:v>411523864.19999999</c:v>
                </c:pt>
                <c:pt idx="3">
                  <c:v>408383765.56999999</c:v>
                </c:pt>
                <c:pt idx="4">
                  <c:v>362488364.88999999</c:v>
                </c:pt>
                <c:pt idx="5">
                  <c:v>353344178.47000003</c:v>
                </c:pt>
                <c:pt idx="6">
                  <c:v>402818981.04000002</c:v>
                </c:pt>
                <c:pt idx="7">
                  <c:v>418596938.06</c:v>
                </c:pt>
                <c:pt idx="8">
                  <c:v>382953755.95999998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Risultato_amministrazione!$B$4:$J$4</c:f>
              <c:numCache>
                <c:formatCode>#,##0</c:formatCode>
                <c:ptCount val="9"/>
                <c:pt idx="0">
                  <c:v>202154094.15000001</c:v>
                </c:pt>
                <c:pt idx="1">
                  <c:v>155438030.63</c:v>
                </c:pt>
                <c:pt idx="2">
                  <c:v>157171170.90000001</c:v>
                </c:pt>
                <c:pt idx="3">
                  <c:v>143493198.61000001</c:v>
                </c:pt>
                <c:pt idx="4">
                  <c:v>121891045.01000001</c:v>
                </c:pt>
                <c:pt idx="5">
                  <c:v>116770918.02</c:v>
                </c:pt>
                <c:pt idx="6">
                  <c:v>120954039.41</c:v>
                </c:pt>
                <c:pt idx="7">
                  <c:v>117418539.94</c:v>
                </c:pt>
                <c:pt idx="8">
                  <c:v>136059193.09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129376"/>
        <c:axId val="-62131552"/>
      </c:lineChart>
      <c:catAx>
        <c:axId val="-6212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62131552"/>
        <c:crosses val="autoZero"/>
        <c:auto val="1"/>
        <c:lblAlgn val="ctr"/>
        <c:lblOffset val="100"/>
        <c:noMultiLvlLbl val="0"/>
      </c:catAx>
      <c:valAx>
        <c:axId val="-62131552"/>
        <c:scaling>
          <c:orientation val="minMax"/>
          <c:max val="50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62129376"/>
        <c:crosses val="autoZero"/>
        <c:crossBetween val="between"/>
        <c:majorUnit val="1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493713310.61000001</c:v>
                </c:pt>
                <c:pt idx="1">
                  <c:v>419882385.67000002</c:v>
                </c:pt>
                <c:pt idx="2">
                  <c:v>411523864.19999999</c:v>
                </c:pt>
                <c:pt idx="3">
                  <c:v>408383765.56999999</c:v>
                </c:pt>
                <c:pt idx="4">
                  <c:v>362488364.88999999</c:v>
                </c:pt>
                <c:pt idx="5">
                  <c:v>353344178.47000003</c:v>
                </c:pt>
                <c:pt idx="6">
                  <c:v>402818981.04000002</c:v>
                </c:pt>
                <c:pt idx="7">
                  <c:v>418596938.06</c:v>
                </c:pt>
                <c:pt idx="8">
                  <c:v>382953755.95999998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Risultato_amministrazione!$B$8:$J$8</c:f>
              <c:numCache>
                <c:formatCode>#,##0</c:formatCode>
                <c:ptCount val="9"/>
                <c:pt idx="0">
                  <c:v>160037150.43000001</c:v>
                </c:pt>
                <c:pt idx="1">
                  <c:v>140240175.27000001</c:v>
                </c:pt>
                <c:pt idx="2">
                  <c:v>166543572.19</c:v>
                </c:pt>
                <c:pt idx="3">
                  <c:v>192060558.05000001</c:v>
                </c:pt>
                <c:pt idx="4">
                  <c:v>187563101.34</c:v>
                </c:pt>
                <c:pt idx="5">
                  <c:v>192576535.88999999</c:v>
                </c:pt>
                <c:pt idx="6">
                  <c:v>216480546.99000001</c:v>
                </c:pt>
                <c:pt idx="7">
                  <c:v>225849108.13</c:v>
                </c:pt>
                <c:pt idx="8">
                  <c:v>202082093.68000001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2130464"/>
        <c:axId val="-62128832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Risultato_amministrazione!$B$23:$J$23</c:f>
              <c:numCache>
                <c:formatCode>0.0</c:formatCode>
                <c:ptCount val="9"/>
                <c:pt idx="0">
                  <c:v>32.414996110246349</c:v>
                </c:pt>
                <c:pt idx="1">
                  <c:v>33.399871024887332</c:v>
                </c:pt>
                <c:pt idx="2">
                  <c:v>40.469967036725741</c:v>
                </c:pt>
                <c:pt idx="3">
                  <c:v>47.029430217906011</c:v>
                </c:pt>
                <c:pt idx="4">
                  <c:v>51.743205991430244</c:v>
                </c:pt>
                <c:pt idx="5">
                  <c:v>54.501120330853368</c:v>
                </c:pt>
                <c:pt idx="6">
                  <c:v>53.741396800887955</c:v>
                </c:pt>
                <c:pt idx="7">
                  <c:v>53.953836637387845</c:v>
                </c:pt>
                <c:pt idx="8">
                  <c:v>52.769320194657588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219616"/>
        <c:axId val="-253213088"/>
      </c:lineChart>
      <c:catAx>
        <c:axId val="-6213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2128832"/>
        <c:crosses val="autoZero"/>
        <c:auto val="1"/>
        <c:lblAlgn val="ctr"/>
        <c:lblOffset val="100"/>
        <c:noMultiLvlLbl val="0"/>
      </c:catAx>
      <c:valAx>
        <c:axId val="-621288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2130464"/>
        <c:crosses val="autoZero"/>
        <c:crossBetween val="between"/>
      </c:valAx>
      <c:valAx>
        <c:axId val="-253213088"/>
        <c:scaling>
          <c:orientation val="minMax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53219616"/>
        <c:crosses val="max"/>
        <c:crossBetween val="between"/>
      </c:valAx>
      <c:catAx>
        <c:axId val="-25321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53213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793867901838211E-2"/>
          <c:y val="1.9924567458000819E-3"/>
          <c:w val="0.88429505966180766"/>
          <c:h val="0.921092699056468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06-4DEC-A245-773C9C410BA8}"/>
              </c:ext>
            </c:extLst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E06-4DEC-A245-773C9C410B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752631940946308E-3"/>
                  <c:y val="6.28392164617342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E06-4DEC-A245-773C9C410BA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118551494083554E-3"/>
                  <c:y val="4.9093040609880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06-4DEC-A245-773C9C410BA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4017834112811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ACA-45AD-85C3-FFAB06718EB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Conto_economico!$C$1:$K$1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Conto_economico!$C$28:$K$28</c:f>
              <c:numCache>
                <c:formatCode>#,##0</c:formatCode>
                <c:ptCount val="9"/>
                <c:pt idx="0">
                  <c:v>-54056597.469999924</c:v>
                </c:pt>
                <c:pt idx="1">
                  <c:v>-67461773.759999946</c:v>
                </c:pt>
                <c:pt idx="2">
                  <c:v>27364479.67000008</c:v>
                </c:pt>
                <c:pt idx="3">
                  <c:v>-13250631.05000001</c:v>
                </c:pt>
                <c:pt idx="4">
                  <c:v>-21710140.109999906</c:v>
                </c:pt>
                <c:pt idx="5">
                  <c:v>-17056839.410000071</c:v>
                </c:pt>
                <c:pt idx="6">
                  <c:v>-3602510.0799999847</c:v>
                </c:pt>
                <c:pt idx="7">
                  <c:v>-30690536.090000082</c:v>
                </c:pt>
                <c:pt idx="8">
                  <c:v>-18757404.30999998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3216896"/>
        <c:axId val="-253217440"/>
      </c:barChart>
      <c:catAx>
        <c:axId val="-25321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253217440"/>
        <c:crosses val="autoZero"/>
        <c:auto val="1"/>
        <c:lblAlgn val="ctr"/>
        <c:lblOffset val="100"/>
        <c:noMultiLvlLbl val="0"/>
      </c:catAx>
      <c:valAx>
        <c:axId val="-253217440"/>
        <c:scaling>
          <c:orientation val="minMax"/>
          <c:max val="40000000"/>
          <c:min val="-100000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1200">
                <a:noFill/>
              </a:defRPr>
            </a:pPr>
            <a:endParaRPr lang="it-IT"/>
          </a:p>
        </c:txPr>
        <c:crossAx val="-2532168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3614191443256"/>
          <c:y val="3.3577328446416373E-2"/>
          <c:w val="0.87671373124907126"/>
          <c:h val="0.78017770949363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Stato_patrimoniale!$B$21:$J$21</c:f>
              <c:numCache>
                <c:formatCode>#,##0</c:formatCode>
                <c:ptCount val="9"/>
                <c:pt idx="0">
                  <c:v>100546831.13</c:v>
                </c:pt>
                <c:pt idx="1">
                  <c:v>102633539.17</c:v>
                </c:pt>
                <c:pt idx="2">
                  <c:v>95780348.680000007</c:v>
                </c:pt>
                <c:pt idx="3">
                  <c:v>92639645.409999996</c:v>
                </c:pt>
                <c:pt idx="4">
                  <c:v>86230790.109999999</c:v>
                </c:pt>
                <c:pt idx="5">
                  <c:v>80152154.079999998</c:v>
                </c:pt>
                <c:pt idx="6">
                  <c:v>78428160.230000004</c:v>
                </c:pt>
                <c:pt idx="7">
                  <c:v>87595432.900000006</c:v>
                </c:pt>
                <c:pt idx="8">
                  <c:v>84779796.5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Stato_patrimoniale!$B$22:$J$22</c:f>
              <c:numCache>
                <c:formatCode>#,##0</c:formatCode>
                <c:ptCount val="9"/>
                <c:pt idx="0">
                  <c:v>43021754.68</c:v>
                </c:pt>
                <c:pt idx="1">
                  <c:v>35393732.979999997</c:v>
                </c:pt>
                <c:pt idx="2">
                  <c:v>85048566.730000004</c:v>
                </c:pt>
                <c:pt idx="3">
                  <c:v>84569238.689999998</c:v>
                </c:pt>
                <c:pt idx="4">
                  <c:v>67217611.900000006</c:v>
                </c:pt>
                <c:pt idx="5">
                  <c:v>62943588.390000001</c:v>
                </c:pt>
                <c:pt idx="6">
                  <c:v>64007389.140000001</c:v>
                </c:pt>
                <c:pt idx="7">
                  <c:v>64966597.990000002</c:v>
                </c:pt>
                <c:pt idx="8">
                  <c:v>60894929.539999999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Stato_patrimoniale!$B$23:$J$23</c:f>
              <c:numCache>
                <c:formatCode>#,##0</c:formatCode>
                <c:ptCount val="9"/>
                <c:pt idx="0">
                  <c:v>11944807.99</c:v>
                </c:pt>
                <c:pt idx="1">
                  <c:v>9991732.8699999992</c:v>
                </c:pt>
                <c:pt idx="2">
                  <c:v>13924967.710000001</c:v>
                </c:pt>
                <c:pt idx="3">
                  <c:v>9261027.3699999992</c:v>
                </c:pt>
                <c:pt idx="4">
                  <c:v>11465468.91</c:v>
                </c:pt>
                <c:pt idx="5">
                  <c:v>7291362.71</c:v>
                </c:pt>
                <c:pt idx="6">
                  <c:v>9432912.8399999999</c:v>
                </c:pt>
                <c:pt idx="7">
                  <c:v>9603052.7799999993</c:v>
                </c:pt>
                <c:pt idx="8">
                  <c:v>12926553.76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Stato_patrimoniale!$B$24:$J$24</c:f>
              <c:numCache>
                <c:formatCode>#,##0</c:formatCode>
                <c:ptCount val="9"/>
                <c:pt idx="0">
                  <c:v>66240752.159999996</c:v>
                </c:pt>
                <c:pt idx="1">
                  <c:v>64432248.719999999</c:v>
                </c:pt>
                <c:pt idx="2">
                  <c:v>73776442.849999994</c:v>
                </c:pt>
                <c:pt idx="3">
                  <c:v>63773672.960000001</c:v>
                </c:pt>
                <c:pt idx="4">
                  <c:v>48517288.130000003</c:v>
                </c:pt>
                <c:pt idx="5">
                  <c:v>46535966.920000002</c:v>
                </c:pt>
                <c:pt idx="6">
                  <c:v>47513737.43</c:v>
                </c:pt>
                <c:pt idx="7">
                  <c:v>42848889.170000002</c:v>
                </c:pt>
                <c:pt idx="8">
                  <c:v>62237709.789999999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3214176"/>
        <c:axId val="-253213632"/>
      </c:barChart>
      <c:catAx>
        <c:axId val="-2532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3213632"/>
        <c:crosses val="autoZero"/>
        <c:auto val="1"/>
        <c:lblAlgn val="ctr"/>
        <c:lblOffset val="100"/>
        <c:noMultiLvlLbl val="0"/>
      </c:catAx>
      <c:valAx>
        <c:axId val="-253213632"/>
        <c:scaling>
          <c:orientation val="minMax"/>
          <c:max val="30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253214176"/>
        <c:crosses val="autoZero"/>
        <c:crossBetween val="between"/>
        <c:majorUnit val="1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667982447076296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Stato_patrimoniale!$B$14:$J$14</c:f>
              <c:numCache>
                <c:formatCode>#,##0</c:formatCode>
                <c:ptCount val="9"/>
                <c:pt idx="0">
                  <c:v>1249177319.99</c:v>
                </c:pt>
                <c:pt idx="1">
                  <c:v>1195120722.52</c:v>
                </c:pt>
                <c:pt idx="2">
                  <c:v>1195120722.52</c:v>
                </c:pt>
                <c:pt idx="3">
                  <c:v>183030011.12</c:v>
                </c:pt>
                <c:pt idx="4">
                  <c:v>183030011.12</c:v>
                </c:pt>
                <c:pt idx="5">
                  <c:v>183030011.12</c:v>
                </c:pt>
                <c:pt idx="6">
                  <c:v>183030011.12</c:v>
                </c:pt>
                <c:pt idx="7">
                  <c:v>183030011.12</c:v>
                </c:pt>
                <c:pt idx="8">
                  <c:v>183030011.12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Stato_patrimoniale!$B$15:$J$15</c:f>
              <c:numCache>
                <c:formatCode>#,##0</c:formatCode>
                <c:ptCount val="9"/>
                <c:pt idx="0">
                  <c:v>89225576.790000007</c:v>
                </c:pt>
                <c:pt idx="1">
                  <c:v>91472004.340000004</c:v>
                </c:pt>
                <c:pt idx="2">
                  <c:v>28003329.260000002</c:v>
                </c:pt>
                <c:pt idx="3">
                  <c:v>1075557844.51</c:v>
                </c:pt>
                <c:pt idx="4">
                  <c:v>1073667684.96</c:v>
                </c:pt>
                <c:pt idx="5">
                  <c:v>1064369650.7</c:v>
                </c:pt>
                <c:pt idx="6">
                  <c:v>1057508349.96</c:v>
                </c:pt>
                <c:pt idx="7">
                  <c:v>1096605302.1700001</c:v>
                </c:pt>
                <c:pt idx="8">
                  <c:v>1112317966.3599999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Stato_patrimoniale!$B$17:$J$17</c:f>
              <c:numCache>
                <c:formatCode>#,##0</c:formatCode>
                <c:ptCount val="9"/>
                <c:pt idx="0">
                  <c:v>-54056597.469999999</c:v>
                </c:pt>
                <c:pt idx="1">
                  <c:v>-67461773.760000005</c:v>
                </c:pt>
                <c:pt idx="2">
                  <c:v>27364479.670000002</c:v>
                </c:pt>
                <c:pt idx="3">
                  <c:v>-13250631.050000001</c:v>
                </c:pt>
                <c:pt idx="4">
                  <c:v>-21710140.109999999</c:v>
                </c:pt>
                <c:pt idx="5">
                  <c:v>-17056839.41</c:v>
                </c:pt>
                <c:pt idx="6">
                  <c:v>-3602510.08</c:v>
                </c:pt>
                <c:pt idx="7">
                  <c:v>-30690536.09</c:v>
                </c:pt>
                <c:pt idx="8">
                  <c:v>-18757404.309999999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ser>
          <c:idx val="3"/>
          <c:order val="3"/>
          <c:tx>
            <c:strRef>
              <c:f>Stato_patrimoniale!$A$18</c:f>
              <c:strCache>
                <c:ptCount val="1"/>
                <c:pt idx="0">
                  <c:v>Risultato economico di esercizi precedenti (A4)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Stato_patrimoniale!$B$18:$J$18</c:f>
              <c:numCache>
                <c:formatCode>#,##0</c:formatCode>
                <c:ptCount val="9"/>
                <c:pt idx="6">
                  <c:v>0</c:v>
                </c:pt>
                <c:pt idx="7">
                  <c:v>-20659349.489999998</c:v>
                </c:pt>
                <c:pt idx="8">
                  <c:v>-51349885.579999998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3217984"/>
        <c:axId val="-253220160"/>
      </c:barChart>
      <c:catAx>
        <c:axId val="-25321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53220160"/>
        <c:crosses val="autoZero"/>
        <c:auto val="1"/>
        <c:lblAlgn val="ctr"/>
        <c:lblOffset val="100"/>
        <c:noMultiLvlLbl val="0"/>
      </c:catAx>
      <c:valAx>
        <c:axId val="-253220160"/>
        <c:scaling>
          <c:orientation val="minMax"/>
          <c:max val="1300000000"/>
          <c:min val="-100000000"/>
        </c:scaling>
        <c:delete val="0"/>
        <c:axPos val="b"/>
        <c:numFmt formatCode="#,##0" sourceLinked="0"/>
        <c:majorTickMark val="none"/>
        <c:minorTickMark val="none"/>
        <c:tickLblPos val="nextTo"/>
        <c:crossAx val="-253217984"/>
        <c:crosses val="autoZero"/>
        <c:crossBetween val="between"/>
        <c:majorUnit val="5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68E-2"/>
          <c:y val="3.0301278829508022E-2"/>
          <c:w val="0.91226637907374686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55.98</c:v>
                </c:pt>
                <c:pt idx="1">
                  <c:v>59.99</c:v>
                </c:pt>
                <c:pt idx="2">
                  <c:v>60.65</c:v>
                </c:pt>
                <c:pt idx="3">
                  <c:v>62.06</c:v>
                </c:pt>
                <c:pt idx="4">
                  <c:v>54.71</c:v>
                </c:pt>
                <c:pt idx="5">
                  <c:v>59.12</c:v>
                </c:pt>
                <c:pt idx="6">
                  <c:v>61.44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49.514338502015086</c:v>
                </c:pt>
                <c:pt idx="1">
                  <c:v>50.488968678958834</c:v>
                </c:pt>
                <c:pt idx="2">
                  <c:v>54.748083441875764</c:v>
                </c:pt>
                <c:pt idx="3">
                  <c:v>54.798177708966001</c:v>
                </c:pt>
                <c:pt idx="4">
                  <c:v>50.363740506418466</c:v>
                </c:pt>
                <c:pt idx="5">
                  <c:v>51.620788368318756</c:v>
                </c:pt>
                <c:pt idx="6">
                  <c:v>56.661914346359602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47.325510522072548</c:v>
                </c:pt>
                <c:pt idx="1">
                  <c:v>48.456725518613496</c:v>
                </c:pt>
                <c:pt idx="2">
                  <c:v>52.435132900433402</c:v>
                </c:pt>
                <c:pt idx="3">
                  <c:v>52.741273963056123</c:v>
                </c:pt>
                <c:pt idx="4">
                  <c:v>48.176423277937872</c:v>
                </c:pt>
                <c:pt idx="5">
                  <c:v>48.377333846261067</c:v>
                </c:pt>
                <c:pt idx="6">
                  <c:v>54.864838975492106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3215264"/>
        <c:axId val="-253214720"/>
      </c:lineChart>
      <c:catAx>
        <c:axId val="-25321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3214720"/>
        <c:crosses val="autoZero"/>
        <c:auto val="1"/>
        <c:lblAlgn val="ctr"/>
        <c:lblOffset val="100"/>
        <c:noMultiLvlLbl val="0"/>
      </c:catAx>
      <c:valAx>
        <c:axId val="-253214720"/>
        <c:scaling>
          <c:orientation val="minMax"/>
          <c:max val="65"/>
          <c:min val="45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5321526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799"/>
          <c:w val="0.96177967444791346"/>
          <c:h val="0.1795680460155254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3.3901356969247662E-2"/>
          <c:w val="0.9029842635309353"/>
          <c:h val="0.70826803427145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8.4134881149806517</c:v>
                </c:pt>
                <c:pt idx="1">
                  <c:v>8.2937603533959141</c:v>
                </c:pt>
                <c:pt idx="2">
                  <c:v>7.3503127792672025</c:v>
                </c:pt>
                <c:pt idx="3">
                  <c:v>6.8300255017185938</c:v>
                </c:pt>
                <c:pt idx="4">
                  <c:v>6.712072942985829</c:v>
                </c:pt>
                <c:pt idx="5">
                  <c:v>6.4475778940186492</c:v>
                </c:pt>
                <c:pt idx="6">
                  <c:v>6.1359137893116342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19.027086788280819</c:v>
                </c:pt>
                <c:pt idx="1">
                  <c:v>21.855328547763666</c:v>
                </c:pt>
                <c:pt idx="2">
                  <c:v>21.67113494191242</c:v>
                </c:pt>
                <c:pt idx="3">
                  <c:v>21.79842554606941</c:v>
                </c:pt>
                <c:pt idx="4">
                  <c:v>19.938481819180488</c:v>
                </c:pt>
                <c:pt idx="5">
                  <c:v>21.071184898794634</c:v>
                </c:pt>
                <c:pt idx="6">
                  <c:v>19.166483395645482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19.668325041459369</c:v>
                </c:pt>
                <c:pt idx="1">
                  <c:v>19.62451684152402</c:v>
                </c:pt>
                <c:pt idx="2">
                  <c:v>18.029490616621985</c:v>
                </c:pt>
                <c:pt idx="3">
                  <c:v>15.94411797316776</c:v>
                </c:pt>
                <c:pt idx="4">
                  <c:v>20.333955838734486</c:v>
                </c:pt>
                <c:pt idx="5">
                  <c:v>18.785535592449399</c:v>
                </c:pt>
                <c:pt idx="6">
                  <c:v>16.989223663954256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12.769485903814262</c:v>
                </c:pt>
                <c:pt idx="1">
                  <c:v>11.187189398122586</c:v>
                </c:pt>
                <c:pt idx="2">
                  <c:v>12.846291331546023</c:v>
                </c:pt>
                <c:pt idx="3">
                  <c:v>13.016964186716931</c:v>
                </c:pt>
                <c:pt idx="4">
                  <c:v>15.588267604086564</c:v>
                </c:pt>
                <c:pt idx="5">
                  <c:v>15.07846258812827</c:v>
                </c:pt>
                <c:pt idx="6">
                  <c:v>15.405762040906094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3219072"/>
        <c:axId val="-253218528"/>
      </c:barChart>
      <c:catAx>
        <c:axId val="-25321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53218528"/>
        <c:crosses val="autoZero"/>
        <c:auto val="1"/>
        <c:lblAlgn val="ctr"/>
        <c:lblOffset val="100"/>
        <c:noMultiLvlLbl val="0"/>
      </c:catAx>
      <c:valAx>
        <c:axId val="-253218528"/>
        <c:scaling>
          <c:orientation val="minMax"/>
          <c:max val="7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53219072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3670972494627494"/>
          <c:w val="0.95561111111111163"/>
          <c:h val="0.1355127579508450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106680</xdr:rowOff>
    </xdr:from>
    <xdr:to>
      <xdr:col>16</xdr:col>
      <xdr:colOff>403860</xdr:colOff>
      <xdr:row>17</xdr:row>
      <xdr:rowOff>167640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541020</xdr:colOff>
      <xdr:row>89</xdr:row>
      <xdr:rowOff>118110</xdr:rowOff>
    </xdr:from>
    <xdr:to>
      <xdr:col>20</xdr:col>
      <xdr:colOff>403860</xdr:colOff>
      <xdr:row>109</xdr:row>
      <xdr:rowOff>106680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1200149</xdr:colOff>
      <xdr:row>24</xdr:row>
      <xdr:rowOff>28575</xdr:rowOff>
    </xdr:from>
    <xdr:to>
      <xdr:col>12</xdr:col>
      <xdr:colOff>266700</xdr:colOff>
      <xdr:row>48</xdr:row>
      <xdr:rowOff>85725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1533525</xdr:colOff>
      <xdr:row>49</xdr:row>
      <xdr:rowOff>133350</xdr:rowOff>
    </xdr:from>
    <xdr:to>
      <xdr:col>11</xdr:col>
      <xdr:colOff>590550</xdr:colOff>
      <xdr:row>71</xdr:row>
      <xdr:rowOff>180975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220979</xdr:colOff>
      <xdr:row>31</xdr:row>
      <xdr:rowOff>163829</xdr:rowOff>
    </xdr:from>
    <xdr:to>
      <xdr:col>15</xdr:col>
      <xdr:colOff>268605</xdr:colOff>
      <xdr:row>52</xdr:row>
      <xdr:rowOff>87630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1158239</xdr:colOff>
      <xdr:row>29</xdr:row>
      <xdr:rowOff>76199</xdr:rowOff>
    </xdr:from>
    <xdr:to>
      <xdr:col>9</xdr:col>
      <xdr:colOff>297181</xdr:colOff>
      <xdr:row>53</xdr:row>
      <xdr:rowOff>83820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1150620</xdr:colOff>
      <xdr:row>56</xdr:row>
      <xdr:rowOff>22860</xdr:rowOff>
    </xdr:from>
    <xdr:to>
      <xdr:col>10</xdr:col>
      <xdr:colOff>114300</xdr:colOff>
      <xdr:row>82</xdr:row>
      <xdr:rowOff>38100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11</xdr:row>
      <xdr:rowOff>19048</xdr:rowOff>
    </xdr:from>
    <xdr:to>
      <xdr:col>11</xdr:col>
      <xdr:colOff>541020</xdr:colOff>
      <xdr:row>28</xdr:row>
      <xdr:rowOff>91439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M40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bestFit="1" customWidth="1"/>
    <col min="13" max="13" width="7.109375" customWidth="1"/>
    <col min="14" max="15" width="15.33203125" bestFit="1" customWidth="1"/>
    <col min="16" max="16" width="7.109375" customWidth="1"/>
    <col min="17" max="18" width="15.33203125" bestFit="1" customWidth="1"/>
    <col min="19" max="19" width="7.109375" customWidth="1"/>
    <col min="20" max="21" width="15.33203125" bestFit="1" customWidth="1"/>
    <col min="22" max="22" width="7.109375" customWidth="1"/>
  </cols>
  <sheetData>
    <row r="1" spans="1:24" x14ac:dyDescent="0.3">
      <c r="B1" s="136">
        <v>2016</v>
      </c>
      <c r="C1" s="136"/>
      <c r="D1" s="137"/>
      <c r="E1" s="138">
        <v>2017</v>
      </c>
      <c r="F1" s="139"/>
      <c r="G1" s="140"/>
      <c r="H1" s="138">
        <v>2018</v>
      </c>
      <c r="I1" s="139"/>
      <c r="J1" s="140"/>
      <c r="K1" s="138">
        <v>2019</v>
      </c>
      <c r="L1" s="139"/>
      <c r="M1" s="140"/>
      <c r="N1" s="138">
        <v>2020</v>
      </c>
      <c r="O1" s="139"/>
      <c r="P1" s="140"/>
      <c r="Q1" s="138">
        <v>2021</v>
      </c>
      <c r="R1" s="139"/>
      <c r="S1" s="140"/>
      <c r="T1" s="138">
        <v>2022</v>
      </c>
      <c r="U1" s="139"/>
      <c r="V1" s="140"/>
      <c r="W1" s="135" t="s">
        <v>233</v>
      </c>
      <c r="X1" s="135"/>
    </row>
    <row r="2" spans="1:24" x14ac:dyDescent="0.3">
      <c r="B2" s="17" t="s">
        <v>73</v>
      </c>
      <c r="C2" s="17" t="s">
        <v>74</v>
      </c>
      <c r="D2" s="18" t="s">
        <v>234</v>
      </c>
      <c r="E2" s="23" t="s">
        <v>73</v>
      </c>
      <c r="F2" s="17" t="s">
        <v>74</v>
      </c>
      <c r="G2" s="18" t="s">
        <v>234</v>
      </c>
      <c r="H2" s="23" t="s">
        <v>73</v>
      </c>
      <c r="I2" s="105" t="s">
        <v>74</v>
      </c>
      <c r="J2" s="106" t="s">
        <v>234</v>
      </c>
      <c r="K2" s="23" t="s">
        <v>73</v>
      </c>
      <c r="L2" s="112" t="s">
        <v>74</v>
      </c>
      <c r="M2" s="113" t="s">
        <v>234</v>
      </c>
      <c r="N2" s="23" t="s">
        <v>73</v>
      </c>
      <c r="O2" s="118" t="s">
        <v>74</v>
      </c>
      <c r="P2" s="119" t="s">
        <v>234</v>
      </c>
      <c r="Q2" s="23" t="s">
        <v>73</v>
      </c>
      <c r="R2" s="121" t="s">
        <v>74</v>
      </c>
      <c r="S2" s="122" t="s">
        <v>234</v>
      </c>
      <c r="T2" s="23" t="s">
        <v>73</v>
      </c>
      <c r="U2" s="17" t="s">
        <v>74</v>
      </c>
      <c r="V2" s="18" t="s">
        <v>234</v>
      </c>
      <c r="W2" s="12" t="s">
        <v>73</v>
      </c>
      <c r="X2" s="12" t="s">
        <v>74</v>
      </c>
    </row>
    <row r="3" spans="1:24" x14ac:dyDescent="0.3">
      <c r="A3" t="s">
        <v>20</v>
      </c>
      <c r="B3" s="28">
        <v>247723841.08000001</v>
      </c>
      <c r="C3" s="28">
        <v>175051421.61000001</v>
      </c>
      <c r="D3" s="20">
        <f>IF(B3&gt;0,C3/B3*100,"-")</f>
        <v>70.663938055711341</v>
      </c>
      <c r="E3" s="28">
        <v>240814061.72999999</v>
      </c>
      <c r="F3" s="28">
        <v>180990319.63</v>
      </c>
      <c r="G3" s="20">
        <f>IF(E3&gt;0,F3/E3*100,"-")</f>
        <v>75.157703968685112</v>
      </c>
      <c r="H3" s="19">
        <v>236718538.53999999</v>
      </c>
      <c r="I3" s="19">
        <v>184436817.65000001</v>
      </c>
      <c r="J3" s="20">
        <f>IF(H3&gt;0,I3/H3*100,"-")</f>
        <v>77.913972765945587</v>
      </c>
      <c r="K3" s="19">
        <v>241361265.88</v>
      </c>
      <c r="L3" s="19">
        <v>188005533.28</v>
      </c>
      <c r="M3" s="20">
        <f>IF(K3&gt;0,L3/K3*100,"-")</f>
        <v>77.893829647658791</v>
      </c>
      <c r="N3" s="19">
        <v>232492853.25999999</v>
      </c>
      <c r="O3" s="19">
        <v>165835373.03999999</v>
      </c>
      <c r="P3" s="20">
        <f>IF(N3&gt;0,O3/N3*100,"-")</f>
        <v>71.329234733311992</v>
      </c>
      <c r="Q3" s="19">
        <v>238278404.44</v>
      </c>
      <c r="R3" s="19">
        <v>175021348.71000001</v>
      </c>
      <c r="S3" s="20">
        <f>IF(Q3&gt;0,R3/Q3*100,"-")</f>
        <v>73.452459580352567</v>
      </c>
      <c r="T3" s="19">
        <v>248512641.72</v>
      </c>
      <c r="U3" s="19">
        <v>180941400.58000001</v>
      </c>
      <c r="V3" s="20">
        <f>IF(T3&gt;0,U3/T3*100,"-")</f>
        <v>72.809736892124505</v>
      </c>
      <c r="W3" s="13">
        <f>IF(Q3&gt;0,T3/Q3*100-100,"-")</f>
        <v>4.2950754618541538</v>
      </c>
      <c r="X3" s="13">
        <f>IF(R3&gt;0,U3/R3*100-100,"-")</f>
        <v>3.3824741459450109</v>
      </c>
    </row>
    <row r="4" spans="1:24" x14ac:dyDescent="0.3">
      <c r="A4" t="s">
        <v>21</v>
      </c>
      <c r="B4" s="28">
        <v>53129096.119999997</v>
      </c>
      <c r="C4" s="28">
        <v>46356760.25</v>
      </c>
      <c r="D4" s="20">
        <f t="shared" ref="D4:D21" si="0">IF(B4&gt;0,C4/B4*100,"-")</f>
        <v>87.253056489604745</v>
      </c>
      <c r="E4" s="28">
        <v>49891604.920000002</v>
      </c>
      <c r="F4" s="28">
        <v>43518467.219999999</v>
      </c>
      <c r="G4" s="20">
        <f t="shared" ref="G4:G21" si="1">IF(E4&gt;0,F4/E4*100,"-")</f>
        <v>87.226031894104878</v>
      </c>
      <c r="H4" s="19">
        <v>56557268.369999997</v>
      </c>
      <c r="I4" s="19">
        <v>45275806.960000001</v>
      </c>
      <c r="J4" s="20">
        <f t="shared" ref="J4:J13" si="2">IF(H4&gt;0,I4/H4*100,"-")</f>
        <v>80.053029902016831</v>
      </c>
      <c r="K4" s="19">
        <v>64878003.890000001</v>
      </c>
      <c r="L4" s="19">
        <v>51344357.289999999</v>
      </c>
      <c r="M4" s="20">
        <f t="shared" ref="M4:M13" si="3">IF(K4&gt;0,L4/K4*100,"-")</f>
        <v>79.139853588981921</v>
      </c>
      <c r="N4" s="19">
        <v>105659276.04000001</v>
      </c>
      <c r="O4" s="19">
        <v>90302396.659999996</v>
      </c>
      <c r="P4" s="20">
        <f t="shared" ref="P4:P13" si="4">IF(N4&gt;0,O4/N4*100,"-")</f>
        <v>85.465659092547369</v>
      </c>
      <c r="Q4" s="19">
        <v>91498535.549999997</v>
      </c>
      <c r="R4" s="19">
        <v>74753463.980000004</v>
      </c>
      <c r="S4" s="20">
        <f t="shared" ref="S4:S13" si="5">IF(Q4&gt;0,R4/Q4*100,"-")</f>
        <v>81.699082428647685</v>
      </c>
      <c r="T4" s="19">
        <v>87328645.049999997</v>
      </c>
      <c r="U4" s="19">
        <v>66834752.960000001</v>
      </c>
      <c r="V4" s="20">
        <f t="shared" ref="V4:V21" si="6">IF(T4&gt;0,U4/T4*100,"-")</f>
        <v>76.532451547523479</v>
      </c>
      <c r="W4" s="13">
        <f t="shared" ref="W4:X58" si="7">IF(Q4&gt;0,T4/Q4*100-100,"-")</f>
        <v>-4.5573303167473398</v>
      </c>
      <c r="X4" s="13">
        <f t="shared" si="7"/>
        <v>-10.593102444213983</v>
      </c>
    </row>
    <row r="5" spans="1:24" x14ac:dyDescent="0.3">
      <c r="A5" t="s">
        <v>22</v>
      </c>
      <c r="B5" s="28">
        <v>45611258.579999998</v>
      </c>
      <c r="C5" s="28">
        <v>21547494.129999999</v>
      </c>
      <c r="D5" s="20">
        <f t="shared" si="0"/>
        <v>47.241612708859392</v>
      </c>
      <c r="E5" s="28">
        <v>42228460.329999998</v>
      </c>
      <c r="F5" s="28">
        <v>22177021.600000001</v>
      </c>
      <c r="G5" s="20">
        <f t="shared" si="1"/>
        <v>52.516765770512762</v>
      </c>
      <c r="H5" s="19">
        <v>46957590.479999997</v>
      </c>
      <c r="I5" s="19">
        <v>29249622.190000001</v>
      </c>
      <c r="J5" s="20">
        <f t="shared" si="2"/>
        <v>62.289444349700808</v>
      </c>
      <c r="K5" s="19">
        <v>52236667.18</v>
      </c>
      <c r="L5" s="19">
        <v>26218300.510000002</v>
      </c>
      <c r="M5" s="20">
        <f t="shared" si="3"/>
        <v>50.191373082159949</v>
      </c>
      <c r="N5" s="19">
        <v>41998288.920000002</v>
      </c>
      <c r="O5" s="19">
        <v>20127190.140000001</v>
      </c>
      <c r="P5" s="20">
        <f t="shared" si="4"/>
        <v>47.923833702699334</v>
      </c>
      <c r="Q5" s="19">
        <v>50493816.18</v>
      </c>
      <c r="R5" s="19">
        <v>26131982.399999999</v>
      </c>
      <c r="S5" s="20">
        <f t="shared" si="5"/>
        <v>51.75283703423186</v>
      </c>
      <c r="T5" s="19">
        <v>52555818.780000001</v>
      </c>
      <c r="U5" s="19">
        <v>30331217.27</v>
      </c>
      <c r="V5" s="20">
        <f t="shared" si="6"/>
        <v>57.712386514169346</v>
      </c>
      <c r="W5" s="13">
        <f t="shared" si="7"/>
        <v>4.0836735188510858</v>
      </c>
      <c r="X5" s="13">
        <f t="shared" si="7"/>
        <v>16.069331464114271</v>
      </c>
    </row>
    <row r="6" spans="1:24" x14ac:dyDescent="0.3">
      <c r="A6" t="s">
        <v>23</v>
      </c>
      <c r="B6" s="28">
        <v>172219.14</v>
      </c>
      <c r="C6" s="28">
        <v>129314.6</v>
      </c>
      <c r="D6" s="20">
        <f t="shared" si="0"/>
        <v>75.087240593583275</v>
      </c>
      <c r="E6" s="28">
        <v>115847.98</v>
      </c>
      <c r="F6" s="28">
        <v>97858.92</v>
      </c>
      <c r="G6" s="20">
        <f t="shared" si="1"/>
        <v>84.471839733416161</v>
      </c>
      <c r="H6" s="19">
        <v>201752.32000000001</v>
      </c>
      <c r="I6" s="19">
        <v>198515.71</v>
      </c>
      <c r="J6" s="20">
        <f t="shared" si="2"/>
        <v>98.395750789879386</v>
      </c>
      <c r="K6" s="19">
        <v>106795.17</v>
      </c>
      <c r="L6" s="19">
        <v>81522.720000000001</v>
      </c>
      <c r="M6" s="20">
        <f t="shared" si="3"/>
        <v>76.335587086944102</v>
      </c>
      <c r="N6" s="19">
        <v>46107.26</v>
      </c>
      <c r="O6" s="19">
        <v>35152.53</v>
      </c>
      <c r="P6" s="20">
        <f t="shared" si="4"/>
        <v>76.240769891769759</v>
      </c>
      <c r="Q6" s="19">
        <v>126076.37</v>
      </c>
      <c r="R6" s="19">
        <v>117389.49</v>
      </c>
      <c r="S6" s="20">
        <f t="shared" si="5"/>
        <v>93.109827004061117</v>
      </c>
      <c r="T6" s="19">
        <v>24609.67</v>
      </c>
      <c r="U6" s="19">
        <v>24383.09</v>
      </c>
      <c r="V6" s="20">
        <f t="shared" si="6"/>
        <v>99.079305004902551</v>
      </c>
      <c r="W6" s="13">
        <f t="shared" si="7"/>
        <v>-80.480346951613541</v>
      </c>
      <c r="X6" s="13">
        <f t="shared" si="7"/>
        <v>-79.228898600717997</v>
      </c>
    </row>
    <row r="7" spans="1:24" x14ac:dyDescent="0.3">
      <c r="A7" t="s">
        <v>24</v>
      </c>
      <c r="B7" s="28">
        <v>13347371.43</v>
      </c>
      <c r="C7" s="28">
        <v>6019072.6600000001</v>
      </c>
      <c r="D7" s="20">
        <f t="shared" si="0"/>
        <v>45.095565756650267</v>
      </c>
      <c r="E7" s="28">
        <v>42679098.289999999</v>
      </c>
      <c r="F7" s="28">
        <v>14728002.060000001</v>
      </c>
      <c r="G7" s="20">
        <f t="shared" si="1"/>
        <v>34.508700160262926</v>
      </c>
      <c r="H7" s="19">
        <v>20450916.27</v>
      </c>
      <c r="I7" s="19">
        <v>12028433.15</v>
      </c>
      <c r="J7" s="20">
        <f t="shared" si="2"/>
        <v>58.816108731738503</v>
      </c>
      <c r="K7" s="19">
        <v>23962545.390000001</v>
      </c>
      <c r="L7" s="19">
        <v>12372310.98</v>
      </c>
      <c r="M7" s="20">
        <f t="shared" si="3"/>
        <v>51.631872902630739</v>
      </c>
      <c r="N7" s="19">
        <v>29376693.129999999</v>
      </c>
      <c r="O7" s="19">
        <v>9774334.9700000007</v>
      </c>
      <c r="P7" s="20">
        <f t="shared" si="4"/>
        <v>33.272414041791102</v>
      </c>
      <c r="Q7" s="19">
        <v>18130591.960000001</v>
      </c>
      <c r="R7" s="19">
        <v>7093691.3399999999</v>
      </c>
      <c r="S7" s="20">
        <f t="shared" si="5"/>
        <v>39.12553630708922</v>
      </c>
      <c r="T7" s="19">
        <v>74376697.409999996</v>
      </c>
      <c r="U7" s="19">
        <v>64216598.899999999</v>
      </c>
      <c r="V7" s="20">
        <f t="shared" si="6"/>
        <v>86.339675108195962</v>
      </c>
      <c r="W7" s="13">
        <f t="shared" si="7"/>
        <v>310.22762838682291</v>
      </c>
      <c r="X7" s="13">
        <f t="shared" si="7"/>
        <v>805.26350558692332</v>
      </c>
    </row>
    <row r="8" spans="1:24" x14ac:dyDescent="0.3">
      <c r="A8" t="s">
        <v>25</v>
      </c>
      <c r="B8" s="28">
        <v>0</v>
      </c>
      <c r="C8" s="28">
        <v>0</v>
      </c>
      <c r="D8" s="20" t="str">
        <f t="shared" si="0"/>
        <v>-</v>
      </c>
      <c r="E8" s="28">
        <v>0</v>
      </c>
      <c r="F8" s="28">
        <v>0</v>
      </c>
      <c r="G8" s="20" t="str">
        <f t="shared" si="1"/>
        <v>-</v>
      </c>
      <c r="H8" s="19">
        <v>516.46</v>
      </c>
      <c r="I8" s="19">
        <v>516.46</v>
      </c>
      <c r="J8" s="20">
        <f t="shared" si="2"/>
        <v>100</v>
      </c>
      <c r="K8" s="19">
        <v>0</v>
      </c>
      <c r="L8" s="19">
        <v>0</v>
      </c>
      <c r="M8" s="20" t="str">
        <f t="shared" si="3"/>
        <v>-</v>
      </c>
      <c r="N8" s="19">
        <v>0</v>
      </c>
      <c r="O8" s="19">
        <v>0</v>
      </c>
      <c r="P8" s="20" t="str">
        <f t="shared" si="4"/>
        <v>-</v>
      </c>
      <c r="Q8" s="19">
        <v>0</v>
      </c>
      <c r="R8" s="19">
        <v>0</v>
      </c>
      <c r="S8" s="20" t="str">
        <f t="shared" si="5"/>
        <v>-</v>
      </c>
      <c r="T8" s="19">
        <v>0</v>
      </c>
      <c r="U8" s="19">
        <v>0</v>
      </c>
      <c r="V8" s="20" t="str">
        <f t="shared" si="6"/>
        <v>-</v>
      </c>
      <c r="W8" s="13" t="str">
        <f t="shared" si="7"/>
        <v>-</v>
      </c>
      <c r="X8" s="13" t="str">
        <f t="shared" si="7"/>
        <v>-</v>
      </c>
    </row>
    <row r="9" spans="1:24" x14ac:dyDescent="0.3">
      <c r="A9" t="s">
        <v>26</v>
      </c>
      <c r="B9" s="28">
        <v>572704.21</v>
      </c>
      <c r="C9" s="28">
        <v>567986.23</v>
      </c>
      <c r="D9" s="20">
        <f t="shared" si="0"/>
        <v>99.176192540997747</v>
      </c>
      <c r="E9" s="28">
        <v>1045739.61</v>
      </c>
      <c r="F9" s="28">
        <v>1040886.74</v>
      </c>
      <c r="G9" s="20">
        <f t="shared" si="1"/>
        <v>99.535938970505285</v>
      </c>
      <c r="H9" s="19">
        <v>527099.63</v>
      </c>
      <c r="I9" s="19">
        <v>522351.33</v>
      </c>
      <c r="J9" s="20">
        <f t="shared" si="2"/>
        <v>99.09916461144168</v>
      </c>
      <c r="K9" s="19">
        <v>1666349.56</v>
      </c>
      <c r="L9" s="19">
        <v>1661564.92</v>
      </c>
      <c r="M9" s="20">
        <f t="shared" si="3"/>
        <v>99.712866968920963</v>
      </c>
      <c r="N9" s="19">
        <v>2011174.26</v>
      </c>
      <c r="O9" s="19">
        <v>2006447.01</v>
      </c>
      <c r="P9" s="20">
        <f t="shared" si="4"/>
        <v>99.764950750712174</v>
      </c>
      <c r="Q9" s="19">
        <v>1091910.94</v>
      </c>
      <c r="R9" s="19">
        <v>1087259.99</v>
      </c>
      <c r="S9" s="20">
        <f t="shared" si="5"/>
        <v>99.574054089063353</v>
      </c>
      <c r="T9" s="19">
        <v>1500949.95</v>
      </c>
      <c r="U9" s="19">
        <v>1491304.86</v>
      </c>
      <c r="V9" s="20">
        <f t="shared" si="6"/>
        <v>99.357400957973326</v>
      </c>
      <c r="W9" s="13">
        <f t="shared" si="7"/>
        <v>37.460839983890992</v>
      </c>
      <c r="X9" s="13">
        <f t="shared" si="7"/>
        <v>37.161752820500652</v>
      </c>
    </row>
    <row r="10" spans="1:24" x14ac:dyDescent="0.3">
      <c r="A10" t="s">
        <v>27</v>
      </c>
      <c r="B10" s="28">
        <v>6124095.1500000004</v>
      </c>
      <c r="C10" s="28">
        <v>5947330.46</v>
      </c>
      <c r="D10" s="20">
        <f t="shared" si="0"/>
        <v>97.113619470788265</v>
      </c>
      <c r="E10" s="28">
        <v>8684359.9199999999</v>
      </c>
      <c r="F10" s="28">
        <v>8433748.1199999992</v>
      </c>
      <c r="G10" s="20">
        <f t="shared" si="1"/>
        <v>97.114216795381267</v>
      </c>
      <c r="H10" s="19">
        <v>12311284.65</v>
      </c>
      <c r="I10" s="19">
        <v>11568116.210000001</v>
      </c>
      <c r="J10" s="20">
        <f t="shared" si="2"/>
        <v>93.963518340062109</v>
      </c>
      <c r="K10" s="19">
        <v>15031540.91</v>
      </c>
      <c r="L10" s="19">
        <v>13722890.65</v>
      </c>
      <c r="M10" s="20">
        <f t="shared" si="3"/>
        <v>91.293971337766195</v>
      </c>
      <c r="N10" s="19">
        <v>9954499.6999999993</v>
      </c>
      <c r="O10" s="19">
        <v>8012167.7000000002</v>
      </c>
      <c r="P10" s="20">
        <f t="shared" si="4"/>
        <v>80.487899356710031</v>
      </c>
      <c r="Q10" s="19">
        <v>11556431.449999999</v>
      </c>
      <c r="R10" s="19">
        <v>10891305.630000001</v>
      </c>
      <c r="S10" s="20">
        <f t="shared" si="5"/>
        <v>94.244539736356074</v>
      </c>
      <c r="T10" s="19">
        <v>13218808.52</v>
      </c>
      <c r="U10" s="19">
        <v>12279677.460000001</v>
      </c>
      <c r="V10" s="20">
        <f t="shared" si="6"/>
        <v>92.895493882227754</v>
      </c>
      <c r="W10" s="13">
        <f t="shared" si="7"/>
        <v>14.384865061437281</v>
      </c>
      <c r="X10" s="13">
        <f t="shared" si="7"/>
        <v>12.747524283734563</v>
      </c>
    </row>
    <row r="11" spans="1:24" x14ac:dyDescent="0.3">
      <c r="A11" t="s">
        <v>28</v>
      </c>
      <c r="B11" s="28">
        <v>0</v>
      </c>
      <c r="C11" s="28">
        <v>0</v>
      </c>
      <c r="D11" s="20" t="str">
        <f t="shared" si="0"/>
        <v>-</v>
      </c>
      <c r="E11" s="28">
        <v>0</v>
      </c>
      <c r="F11" s="28">
        <v>0</v>
      </c>
      <c r="G11" s="20" t="str">
        <f t="shared" si="1"/>
        <v>-</v>
      </c>
      <c r="H11" s="19">
        <v>0</v>
      </c>
      <c r="I11" s="19">
        <v>0</v>
      </c>
      <c r="J11" s="20" t="str">
        <f t="shared" si="2"/>
        <v>-</v>
      </c>
      <c r="K11" s="19">
        <v>0</v>
      </c>
      <c r="L11" s="19">
        <v>0</v>
      </c>
      <c r="M11" s="20" t="str">
        <f t="shared" si="3"/>
        <v>-</v>
      </c>
      <c r="N11" s="19">
        <v>0</v>
      </c>
      <c r="O11" s="19">
        <v>0</v>
      </c>
      <c r="P11" s="20" t="str">
        <f t="shared" si="4"/>
        <v>-</v>
      </c>
      <c r="Q11" s="19">
        <v>0</v>
      </c>
      <c r="R11" s="19">
        <v>0</v>
      </c>
      <c r="S11" s="20" t="str">
        <f t="shared" si="5"/>
        <v>-</v>
      </c>
      <c r="T11" s="19">
        <v>0</v>
      </c>
      <c r="U11" s="19">
        <v>0</v>
      </c>
      <c r="V11" s="20" t="str">
        <f t="shared" si="6"/>
        <v>-</v>
      </c>
      <c r="W11" s="13" t="str">
        <f t="shared" si="7"/>
        <v>-</v>
      </c>
      <c r="X11" s="13" t="str">
        <f t="shared" si="7"/>
        <v>-</v>
      </c>
    </row>
    <row r="12" spans="1:24" x14ac:dyDescent="0.3">
      <c r="A12" t="s">
        <v>29</v>
      </c>
      <c r="B12" s="28">
        <v>4499969.5999999996</v>
      </c>
      <c r="C12" s="28">
        <v>3595415.36</v>
      </c>
      <c r="D12" s="20">
        <f t="shared" si="0"/>
        <v>79.898658870939926</v>
      </c>
      <c r="E12" s="28">
        <v>471661.47</v>
      </c>
      <c r="F12" s="28">
        <v>2133.5100000000002</v>
      </c>
      <c r="G12" s="20">
        <f t="shared" si="1"/>
        <v>0.45233925934208707</v>
      </c>
      <c r="H12" s="19">
        <v>0</v>
      </c>
      <c r="I12" s="19">
        <v>0</v>
      </c>
      <c r="J12" s="20" t="str">
        <f t="shared" si="2"/>
        <v>-</v>
      </c>
      <c r="K12" s="19">
        <v>0</v>
      </c>
      <c r="L12" s="19">
        <v>0</v>
      </c>
      <c r="M12" s="20" t="str">
        <f t="shared" si="3"/>
        <v>-</v>
      </c>
      <c r="N12" s="19">
        <v>0</v>
      </c>
      <c r="O12" s="19">
        <v>0</v>
      </c>
      <c r="P12" s="20" t="str">
        <f t="shared" si="4"/>
        <v>-</v>
      </c>
      <c r="Q12" s="19">
        <v>0</v>
      </c>
      <c r="R12" s="19">
        <v>0</v>
      </c>
      <c r="S12" s="20" t="str">
        <f t="shared" si="5"/>
        <v>-</v>
      </c>
      <c r="T12" s="19">
        <v>0</v>
      </c>
      <c r="U12" s="19">
        <v>0</v>
      </c>
      <c r="V12" s="20" t="str">
        <f t="shared" si="6"/>
        <v>-</v>
      </c>
      <c r="W12" s="13" t="str">
        <f t="shared" si="7"/>
        <v>-</v>
      </c>
      <c r="X12" s="13" t="str">
        <f t="shared" si="7"/>
        <v>-</v>
      </c>
    </row>
    <row r="13" spans="1:24" x14ac:dyDescent="0.3">
      <c r="A13" t="s">
        <v>30</v>
      </c>
      <c r="B13" s="28">
        <v>0</v>
      </c>
      <c r="C13" s="28">
        <v>0</v>
      </c>
      <c r="D13" s="20" t="str">
        <f t="shared" si="0"/>
        <v>-</v>
      </c>
      <c r="E13" s="28">
        <v>0</v>
      </c>
      <c r="F13" s="28">
        <v>0</v>
      </c>
      <c r="G13" s="20" t="str">
        <f t="shared" si="1"/>
        <v>-</v>
      </c>
      <c r="H13" s="19">
        <v>0</v>
      </c>
      <c r="I13" s="19">
        <v>0</v>
      </c>
      <c r="J13" s="20" t="str">
        <f t="shared" si="2"/>
        <v>-</v>
      </c>
      <c r="K13" s="19">
        <v>0</v>
      </c>
      <c r="L13" s="19">
        <v>0</v>
      </c>
      <c r="M13" s="20" t="str">
        <f t="shared" si="3"/>
        <v>-</v>
      </c>
      <c r="N13" s="19">
        <v>0</v>
      </c>
      <c r="O13" s="19">
        <v>0</v>
      </c>
      <c r="P13" s="20" t="str">
        <f t="shared" si="4"/>
        <v>-</v>
      </c>
      <c r="Q13" s="19">
        <v>0</v>
      </c>
      <c r="R13" s="19">
        <v>0</v>
      </c>
      <c r="S13" s="20" t="str">
        <f t="shared" si="5"/>
        <v>-</v>
      </c>
      <c r="T13" s="19">
        <v>0</v>
      </c>
      <c r="U13" s="19">
        <v>0</v>
      </c>
      <c r="V13" s="20" t="str">
        <f t="shared" si="6"/>
        <v>-</v>
      </c>
      <c r="W13" s="13" t="str">
        <f t="shared" si="7"/>
        <v>-</v>
      </c>
      <c r="X13" s="13" t="str">
        <f t="shared" si="7"/>
        <v>-</v>
      </c>
    </row>
    <row r="14" spans="1:24" x14ac:dyDescent="0.3">
      <c r="A14" t="s">
        <v>31</v>
      </c>
      <c r="B14" s="28">
        <f t="shared" ref="B14:C14" si="8">SUM(B3:B5)</f>
        <v>346464195.77999997</v>
      </c>
      <c r="C14" s="28">
        <f t="shared" si="8"/>
        <v>242955675.99000001</v>
      </c>
      <c r="D14" s="20">
        <f>IF(B14&gt;0,C14/B14*100,"-")</f>
        <v>70.124324230107035</v>
      </c>
      <c r="E14" s="28">
        <f t="shared" ref="E14:F14" si="9">SUM(E3:E5)</f>
        <v>332934126.97999996</v>
      </c>
      <c r="F14" s="28">
        <f t="shared" si="9"/>
        <v>246685808.44999999</v>
      </c>
      <c r="G14" s="20">
        <f>IF(E14&gt;0,F14/E14*100,"-")</f>
        <v>74.094479495885054</v>
      </c>
      <c r="H14" s="19">
        <f t="shared" ref="H14:I14" si="10">SUM(H3:H5)</f>
        <v>340233397.38999999</v>
      </c>
      <c r="I14" s="19">
        <f t="shared" si="10"/>
        <v>258962246.80000001</v>
      </c>
      <c r="J14" s="20">
        <f>IF(H14&gt;0,I14/H14*100,"-")</f>
        <v>76.113117873363521</v>
      </c>
      <c r="K14" s="19">
        <f t="shared" ref="K14:L14" si="11">SUM(K3:K5)</f>
        <v>358475936.94999999</v>
      </c>
      <c r="L14" s="19">
        <f t="shared" si="11"/>
        <v>265568191.07999998</v>
      </c>
      <c r="M14" s="20">
        <f>IF(K14&gt;0,L14/K14*100,"-")</f>
        <v>74.08257115931363</v>
      </c>
      <c r="N14" s="19">
        <f t="shared" ref="N14:O14" si="12">SUM(N3:N5)</f>
        <v>380150418.22000003</v>
      </c>
      <c r="O14" s="19">
        <f t="shared" si="12"/>
        <v>276264959.83999997</v>
      </c>
      <c r="P14" s="20">
        <f>IF(N14&gt;0,O14/N14*100,"-")</f>
        <v>72.672538710748015</v>
      </c>
      <c r="Q14" s="19">
        <f t="shared" ref="Q14:R14" si="13">SUM(Q3:Q5)</f>
        <v>380270756.17000002</v>
      </c>
      <c r="R14" s="19">
        <f t="shared" si="13"/>
        <v>275906795.08999997</v>
      </c>
      <c r="S14" s="20">
        <f>IF(Q14&gt;0,R14/Q14*100,"-")</f>
        <v>72.555354471343009</v>
      </c>
      <c r="T14" s="19">
        <f t="shared" ref="T14:U14" si="14">SUM(T3:T5)</f>
        <v>388397105.54999995</v>
      </c>
      <c r="U14" s="19">
        <f t="shared" si="14"/>
        <v>278107370.81</v>
      </c>
      <c r="V14" s="20">
        <f>IF(T14&gt;0,U14/T14*100,"-")</f>
        <v>71.60387315867834</v>
      </c>
      <c r="W14" s="13">
        <f t="shared" si="7"/>
        <v>2.1369903544113242</v>
      </c>
      <c r="X14" s="13">
        <f t="shared" si="7"/>
        <v>0.79757938519861682</v>
      </c>
    </row>
    <row r="15" spans="1:24" x14ac:dyDescent="0.3">
      <c r="A15" t="s">
        <v>32</v>
      </c>
      <c r="B15" s="27">
        <f t="shared" ref="B15:C15" si="15">SUM(B6:B10)</f>
        <v>20216389.93</v>
      </c>
      <c r="C15" s="27">
        <f t="shared" si="15"/>
        <v>12663703.949999999</v>
      </c>
      <c r="D15" s="20">
        <f>IF(B15&gt;0,C15/B15*100,"-")</f>
        <v>62.640778070904567</v>
      </c>
      <c r="E15" s="27">
        <f t="shared" ref="E15:F15" si="16">SUM(E6:E10)</f>
        <v>52525045.799999997</v>
      </c>
      <c r="F15" s="27">
        <f t="shared" si="16"/>
        <v>24300495.84</v>
      </c>
      <c r="G15" s="20">
        <f>IF(E15&gt;0,F15/E15*100,"-")</f>
        <v>46.264587626499512</v>
      </c>
      <c r="H15" s="102">
        <f t="shared" ref="H15:I15" si="17">SUM(H6:H10)</f>
        <v>33491569.329999998</v>
      </c>
      <c r="I15" s="102">
        <f t="shared" si="17"/>
        <v>24317932.860000003</v>
      </c>
      <c r="J15" s="20">
        <f>IF(H15&gt;0,I15/H15*100,"-")</f>
        <v>72.609117298714537</v>
      </c>
      <c r="K15" s="102">
        <f t="shared" ref="K15:L15" si="18">SUM(K6:K10)</f>
        <v>40767231.030000001</v>
      </c>
      <c r="L15" s="102">
        <f t="shared" si="18"/>
        <v>27838289.270000003</v>
      </c>
      <c r="M15" s="20">
        <f>IF(K15&gt;0,L15/K15*100,"-")</f>
        <v>68.285945762453721</v>
      </c>
      <c r="N15" s="102">
        <f t="shared" ref="N15:O15" si="19">SUM(N6:N10)</f>
        <v>41388474.350000001</v>
      </c>
      <c r="O15" s="102">
        <f t="shared" si="19"/>
        <v>19828102.210000001</v>
      </c>
      <c r="P15" s="20">
        <f>IF(N15&gt;0,O15/N15*100,"-")</f>
        <v>47.907303956952937</v>
      </c>
      <c r="Q15" s="102">
        <f t="shared" ref="Q15:R15" si="20">SUM(Q6:Q10)</f>
        <v>30905010.720000003</v>
      </c>
      <c r="R15" s="102">
        <f t="shared" si="20"/>
        <v>19189646.450000003</v>
      </c>
      <c r="S15" s="20">
        <f>IF(Q15&gt;0,R15/Q15*100,"-")</f>
        <v>62.092346849054906</v>
      </c>
      <c r="T15" s="102">
        <f t="shared" ref="T15:U15" si="21">SUM(T6:T10)</f>
        <v>89121065.549999997</v>
      </c>
      <c r="U15" s="102">
        <f t="shared" si="21"/>
        <v>78011964.310000002</v>
      </c>
      <c r="V15" s="20">
        <f>IF(T15&gt;0,U15/T15*100,"-")</f>
        <v>87.534819998569915</v>
      </c>
      <c r="W15" s="13">
        <f t="shared" si="7"/>
        <v>188.37092585871778</v>
      </c>
      <c r="X15" s="13">
        <f t="shared" si="7"/>
        <v>306.53153518625658</v>
      </c>
    </row>
    <row r="16" spans="1:24" x14ac:dyDescent="0.3">
      <c r="A16" t="s">
        <v>33</v>
      </c>
      <c r="B16" s="28">
        <f t="shared" ref="B16:C16" si="22">SUM(B11:B13)</f>
        <v>4499969.5999999996</v>
      </c>
      <c r="C16" s="28">
        <f t="shared" si="22"/>
        <v>3595415.36</v>
      </c>
      <c r="D16" s="20">
        <f t="shared" si="0"/>
        <v>79.898658870939926</v>
      </c>
      <c r="E16" s="28">
        <f t="shared" ref="E16:F16" si="23">SUM(E11:E13)</f>
        <v>471661.47</v>
      </c>
      <c r="F16" s="28">
        <f t="shared" si="23"/>
        <v>2133.5100000000002</v>
      </c>
      <c r="G16" s="20">
        <f t="shared" si="1"/>
        <v>0.45233925934208707</v>
      </c>
      <c r="H16" s="19">
        <f t="shared" ref="H16:I16" si="24">SUM(H11:H13)</f>
        <v>0</v>
      </c>
      <c r="I16" s="19">
        <f t="shared" si="24"/>
        <v>0</v>
      </c>
      <c r="J16" s="20" t="str">
        <f t="shared" ref="J16:J21" si="25">IF(H16&gt;0,I16/H16*100,"-")</f>
        <v>-</v>
      </c>
      <c r="K16" s="19">
        <f t="shared" ref="K16:L16" si="26">SUM(K11:K13)</f>
        <v>0</v>
      </c>
      <c r="L16" s="19">
        <f t="shared" si="26"/>
        <v>0</v>
      </c>
      <c r="M16" s="20" t="str">
        <f t="shared" ref="M16:M21" si="27">IF(K16&gt;0,L16/K16*100,"-")</f>
        <v>-</v>
      </c>
      <c r="N16" s="19">
        <f t="shared" ref="N16:O16" si="28">SUM(N11:N13)</f>
        <v>0</v>
      </c>
      <c r="O16" s="19">
        <f t="shared" si="28"/>
        <v>0</v>
      </c>
      <c r="P16" s="20" t="str">
        <f t="shared" ref="P16:P21" si="29">IF(N16&gt;0,O16/N16*100,"-")</f>
        <v>-</v>
      </c>
      <c r="Q16" s="19">
        <f t="shared" ref="Q16:R16" si="30">SUM(Q11:Q13)</f>
        <v>0</v>
      </c>
      <c r="R16" s="19">
        <f t="shared" si="30"/>
        <v>0</v>
      </c>
      <c r="S16" s="20" t="str">
        <f t="shared" ref="S16:S21" si="31">IF(Q16&gt;0,R16/Q16*100,"-")</f>
        <v>-</v>
      </c>
      <c r="T16" s="19">
        <f t="shared" ref="T16:U16" si="32">SUM(T11:T13)</f>
        <v>0</v>
      </c>
      <c r="U16" s="19">
        <f t="shared" si="32"/>
        <v>0</v>
      </c>
      <c r="V16" s="20" t="str">
        <f t="shared" si="6"/>
        <v>-</v>
      </c>
      <c r="W16" s="13" t="str">
        <f t="shared" si="7"/>
        <v>-</v>
      </c>
      <c r="X16" s="13" t="str">
        <f t="shared" si="7"/>
        <v>-</v>
      </c>
    </row>
    <row r="17" spans="1:24" x14ac:dyDescent="0.3">
      <c r="A17" t="s">
        <v>34</v>
      </c>
      <c r="B17" s="28">
        <v>0</v>
      </c>
      <c r="C17" s="28">
        <v>0</v>
      </c>
      <c r="D17" s="20" t="str">
        <f t="shared" si="0"/>
        <v>-</v>
      </c>
      <c r="E17" s="28">
        <v>2998000</v>
      </c>
      <c r="F17" s="28">
        <v>2998000</v>
      </c>
      <c r="G17" s="20">
        <f t="shared" si="1"/>
        <v>100</v>
      </c>
      <c r="H17" s="19">
        <v>0</v>
      </c>
      <c r="I17" s="19">
        <v>0</v>
      </c>
      <c r="J17" s="20" t="str">
        <f t="shared" si="25"/>
        <v>-</v>
      </c>
      <c r="K17" s="19">
        <v>0</v>
      </c>
      <c r="L17" s="19">
        <v>0</v>
      </c>
      <c r="M17" s="20" t="str">
        <f t="shared" si="27"/>
        <v>-</v>
      </c>
      <c r="N17" s="19">
        <v>0</v>
      </c>
      <c r="O17" s="19">
        <v>0</v>
      </c>
      <c r="P17" s="20" t="str">
        <f t="shared" si="29"/>
        <v>-</v>
      </c>
      <c r="Q17" s="19">
        <v>11500000</v>
      </c>
      <c r="R17" s="19">
        <v>0</v>
      </c>
      <c r="S17" s="20">
        <f t="shared" si="31"/>
        <v>0</v>
      </c>
      <c r="T17" s="19">
        <v>0</v>
      </c>
      <c r="U17" s="19">
        <v>0</v>
      </c>
      <c r="V17" s="20" t="str">
        <f t="shared" si="6"/>
        <v>-</v>
      </c>
      <c r="W17" s="13">
        <f t="shared" si="7"/>
        <v>-100</v>
      </c>
      <c r="X17" s="13" t="str">
        <f t="shared" si="7"/>
        <v>-</v>
      </c>
    </row>
    <row r="18" spans="1:24" x14ac:dyDescent="0.3">
      <c r="A18" t="s">
        <v>35</v>
      </c>
      <c r="B18" s="28">
        <v>0</v>
      </c>
      <c r="C18" s="28">
        <v>0</v>
      </c>
      <c r="D18" s="20" t="str">
        <f t="shared" si="0"/>
        <v>-</v>
      </c>
      <c r="E18" s="28">
        <v>0</v>
      </c>
      <c r="F18" s="28">
        <v>0</v>
      </c>
      <c r="G18" s="20" t="str">
        <f t="shared" si="1"/>
        <v>-</v>
      </c>
      <c r="H18" s="19">
        <v>0</v>
      </c>
      <c r="I18" s="19">
        <v>0</v>
      </c>
      <c r="J18" s="20" t="str">
        <f t="shared" si="25"/>
        <v>-</v>
      </c>
      <c r="K18" s="19">
        <v>0</v>
      </c>
      <c r="L18" s="19">
        <v>0</v>
      </c>
      <c r="M18" s="20" t="str">
        <f t="shared" si="27"/>
        <v>-</v>
      </c>
      <c r="N18" s="19">
        <v>0</v>
      </c>
      <c r="O18" s="19">
        <v>0</v>
      </c>
      <c r="P18" s="20" t="str">
        <f t="shared" si="29"/>
        <v>-</v>
      </c>
      <c r="Q18" s="19">
        <v>0</v>
      </c>
      <c r="R18" s="19">
        <v>0</v>
      </c>
      <c r="S18" s="20" t="str">
        <f t="shared" si="31"/>
        <v>-</v>
      </c>
      <c r="T18" s="19">
        <v>0</v>
      </c>
      <c r="U18" s="19">
        <v>0</v>
      </c>
      <c r="V18" s="20" t="str">
        <f t="shared" si="6"/>
        <v>-</v>
      </c>
      <c r="W18" s="13" t="str">
        <f t="shared" si="7"/>
        <v>-</v>
      </c>
      <c r="X18" s="13" t="str">
        <f t="shared" si="7"/>
        <v>-</v>
      </c>
    </row>
    <row r="19" spans="1:24" x14ac:dyDescent="0.3">
      <c r="A19" t="s">
        <v>36</v>
      </c>
      <c r="B19" s="28">
        <v>50311797.200000003</v>
      </c>
      <c r="C19" s="28">
        <v>46186251.210000001</v>
      </c>
      <c r="D19" s="20">
        <f t="shared" si="0"/>
        <v>91.800042495798579</v>
      </c>
      <c r="E19" s="28">
        <v>48906283.229999997</v>
      </c>
      <c r="F19" s="28">
        <v>45576874.829999998</v>
      </c>
      <c r="G19" s="20">
        <f t="shared" si="1"/>
        <v>93.192268600044258</v>
      </c>
      <c r="H19" s="19">
        <v>51634582.789999999</v>
      </c>
      <c r="I19" s="19">
        <v>50323365.869999997</v>
      </c>
      <c r="J19" s="20">
        <f t="shared" si="25"/>
        <v>97.460583877799934</v>
      </c>
      <c r="K19" s="19">
        <v>47827283.539999999</v>
      </c>
      <c r="L19" s="19">
        <v>46470213.369999997</v>
      </c>
      <c r="M19" s="20">
        <f t="shared" si="27"/>
        <v>97.162560635782242</v>
      </c>
      <c r="N19" s="19">
        <v>44811550.670000002</v>
      </c>
      <c r="O19" s="19">
        <v>44230296.240000002</v>
      </c>
      <c r="P19" s="20">
        <f t="shared" si="29"/>
        <v>98.702891506075161</v>
      </c>
      <c r="Q19" s="19">
        <v>63468407.189999998</v>
      </c>
      <c r="R19" s="19">
        <v>63058287.740000002</v>
      </c>
      <c r="S19" s="20">
        <f t="shared" si="31"/>
        <v>99.353821108552083</v>
      </c>
      <c r="T19" s="19">
        <v>50175403.380000003</v>
      </c>
      <c r="U19" s="19">
        <v>48344418.350000001</v>
      </c>
      <c r="V19" s="20">
        <f t="shared" si="6"/>
        <v>96.350831469887424</v>
      </c>
      <c r="W19" s="13">
        <f t="shared" si="7"/>
        <v>-20.944284563823786</v>
      </c>
      <c r="X19" s="13">
        <f t="shared" si="7"/>
        <v>-23.333759791683178</v>
      </c>
    </row>
    <row r="20" spans="1:24" x14ac:dyDescent="0.3">
      <c r="A20" t="s">
        <v>37</v>
      </c>
      <c r="B20" s="28">
        <f t="shared" ref="B20:C20" si="33">B14+B15+B16+B17+B18+B19</f>
        <v>421492352.50999999</v>
      </c>
      <c r="C20" s="28">
        <f t="shared" si="33"/>
        <v>305401046.50999999</v>
      </c>
      <c r="D20" s="20">
        <f t="shared" si="0"/>
        <v>72.457078922387879</v>
      </c>
      <c r="E20" s="28">
        <f t="shared" ref="E20:F20" si="34">E14+E15+E16+E17+E18+E19</f>
        <v>437835117.48000002</v>
      </c>
      <c r="F20" s="28">
        <f t="shared" si="34"/>
        <v>319563312.62999994</v>
      </c>
      <c r="G20" s="20">
        <f t="shared" si="1"/>
        <v>72.98713599522938</v>
      </c>
      <c r="H20" s="19">
        <f t="shared" ref="H20:I20" si="35">H14+H15+H16+H17+H18+H19</f>
        <v>425359549.50999999</v>
      </c>
      <c r="I20" s="19">
        <f t="shared" si="35"/>
        <v>333603545.53000003</v>
      </c>
      <c r="J20" s="20">
        <f t="shared" si="25"/>
        <v>78.428601383065271</v>
      </c>
      <c r="K20" s="19">
        <f t="shared" ref="K20:L20" si="36">K14+K15+K16+K17+K18+K19</f>
        <v>447070451.52000004</v>
      </c>
      <c r="L20" s="19">
        <f t="shared" si="36"/>
        <v>339876693.71999997</v>
      </c>
      <c r="M20" s="20">
        <f t="shared" si="27"/>
        <v>76.023072552536007</v>
      </c>
      <c r="N20" s="19">
        <f t="shared" ref="N20:O20" si="37">N14+N15+N16+N17+N18+N19</f>
        <v>466350443.24000007</v>
      </c>
      <c r="O20" s="19">
        <f t="shared" si="37"/>
        <v>340323358.28999996</v>
      </c>
      <c r="P20" s="20">
        <f t="shared" si="29"/>
        <v>72.975883956618816</v>
      </c>
      <c r="Q20" s="19">
        <f t="shared" ref="Q20:R20" si="38">Q14+Q15+Q16+Q17+Q18+Q19</f>
        <v>486144174.08000004</v>
      </c>
      <c r="R20" s="19">
        <f t="shared" si="38"/>
        <v>358154729.27999997</v>
      </c>
      <c r="S20" s="20">
        <f t="shared" si="31"/>
        <v>73.672533453226549</v>
      </c>
      <c r="T20" s="19">
        <f t="shared" ref="T20:U20" si="39">T14+T15+T16+T17+T18+T19</f>
        <v>527693574.47999996</v>
      </c>
      <c r="U20" s="19">
        <f t="shared" si="39"/>
        <v>404463753.47000003</v>
      </c>
      <c r="V20" s="20">
        <f t="shared" si="6"/>
        <v>76.647466073197293</v>
      </c>
      <c r="W20" s="13">
        <f t="shared" si="7"/>
        <v>8.5467239175764718</v>
      </c>
      <c r="X20" s="13">
        <f t="shared" si="7"/>
        <v>12.929893256776268</v>
      </c>
    </row>
    <row r="21" spans="1:24" x14ac:dyDescent="0.3">
      <c r="A21" t="s">
        <v>38</v>
      </c>
      <c r="B21" s="28">
        <f t="shared" ref="B21:C21" si="40">B20-B19</f>
        <v>371180555.31</v>
      </c>
      <c r="C21" s="28">
        <f t="shared" si="40"/>
        <v>259214795.29999998</v>
      </c>
      <c r="D21" s="20">
        <f t="shared" si="0"/>
        <v>69.835230211213712</v>
      </c>
      <c r="E21" s="28">
        <f t="shared" ref="E21:F21" si="41">E20-E19</f>
        <v>388928834.25</v>
      </c>
      <c r="F21" s="28">
        <f t="shared" si="41"/>
        <v>273986437.79999995</v>
      </c>
      <c r="G21" s="20">
        <f t="shared" si="1"/>
        <v>70.446419414582124</v>
      </c>
      <c r="H21" s="19">
        <f t="shared" ref="H21:I21" si="42">H20-H19</f>
        <v>373724966.71999997</v>
      </c>
      <c r="I21" s="19">
        <f t="shared" si="42"/>
        <v>283280179.66000003</v>
      </c>
      <c r="J21" s="20">
        <f t="shared" si="25"/>
        <v>75.79910492633411</v>
      </c>
      <c r="K21" s="19">
        <f t="shared" ref="K21:L21" si="43">K20-K19</f>
        <v>399243167.98000002</v>
      </c>
      <c r="L21" s="19">
        <f t="shared" si="43"/>
        <v>293406480.34999996</v>
      </c>
      <c r="M21" s="20">
        <f t="shared" si="27"/>
        <v>73.490670318671064</v>
      </c>
      <c r="N21" s="19">
        <f t="shared" ref="N21:O21" si="44">N20-N19</f>
        <v>421538892.57000005</v>
      </c>
      <c r="O21" s="19">
        <f t="shared" si="44"/>
        <v>296093062.04999995</v>
      </c>
      <c r="P21" s="20">
        <f t="shared" si="29"/>
        <v>70.240983043060794</v>
      </c>
      <c r="Q21" s="19">
        <f t="shared" ref="Q21:R21" si="45">Q20-Q19</f>
        <v>422675766.89000005</v>
      </c>
      <c r="R21" s="19">
        <f t="shared" si="45"/>
        <v>295096441.53999996</v>
      </c>
      <c r="S21" s="20">
        <f t="shared" si="31"/>
        <v>69.816266901527342</v>
      </c>
      <c r="T21" s="19">
        <f t="shared" ref="T21:U21" si="46">T20-T19</f>
        <v>477518171.09999996</v>
      </c>
      <c r="U21" s="19">
        <f t="shared" si="46"/>
        <v>356119335.12</v>
      </c>
      <c r="V21" s="20">
        <f t="shared" si="6"/>
        <v>74.577127462951125</v>
      </c>
      <c r="W21" s="13">
        <f t="shared" si="7"/>
        <v>12.975052867005843</v>
      </c>
      <c r="X21" s="13">
        <f t="shared" si="7"/>
        <v>20.678966259824747</v>
      </c>
    </row>
    <row r="22" spans="1:24" x14ac:dyDescent="0.3">
      <c r="B22" s="12" t="s">
        <v>75</v>
      </c>
      <c r="C22" s="12" t="s">
        <v>76</v>
      </c>
      <c r="D22" s="18"/>
      <c r="E22" s="12" t="s">
        <v>75</v>
      </c>
      <c r="F22" s="12" t="s">
        <v>76</v>
      </c>
      <c r="G22" s="18"/>
      <c r="H22" s="105" t="s">
        <v>75</v>
      </c>
      <c r="I22" s="105" t="s">
        <v>76</v>
      </c>
      <c r="J22" s="106"/>
      <c r="K22" s="112" t="s">
        <v>75</v>
      </c>
      <c r="L22" s="112" t="s">
        <v>76</v>
      </c>
      <c r="M22" s="113"/>
      <c r="N22" s="118" t="s">
        <v>75</v>
      </c>
      <c r="O22" s="118" t="s">
        <v>76</v>
      </c>
      <c r="P22" s="119"/>
      <c r="Q22" s="121" t="s">
        <v>75</v>
      </c>
      <c r="R22" s="121" t="s">
        <v>76</v>
      </c>
      <c r="S22" s="122"/>
      <c r="T22" s="121" t="s">
        <v>75</v>
      </c>
      <c r="U22" s="121" t="s">
        <v>76</v>
      </c>
      <c r="V22" s="18"/>
    </row>
    <row r="23" spans="1:24" x14ac:dyDescent="0.3">
      <c r="A23" s="5" t="s">
        <v>39</v>
      </c>
      <c r="B23" s="27">
        <v>74799508.700000003</v>
      </c>
      <c r="C23" s="27">
        <v>70649821.010000005</v>
      </c>
      <c r="D23" s="20">
        <f>IF(B23&gt;0,C23/B23*100,"-")</f>
        <v>94.452252745879335</v>
      </c>
      <c r="E23" s="98">
        <v>75735921.120000005</v>
      </c>
      <c r="F23" s="27">
        <v>71787868.489999995</v>
      </c>
      <c r="G23" s="20">
        <f>IF(E23&gt;0,F23/E23*100,"-")</f>
        <v>94.787080461140093</v>
      </c>
      <c r="H23" s="103">
        <v>76189234.390000001</v>
      </c>
      <c r="I23" s="102">
        <v>73081419.659999996</v>
      </c>
      <c r="J23" s="20">
        <f>IF(H23&gt;0,I23/H23*100,"-")</f>
        <v>95.920926683563167</v>
      </c>
      <c r="K23" s="103">
        <v>77313509.819999993</v>
      </c>
      <c r="L23" s="102">
        <v>72933478.849999994</v>
      </c>
      <c r="M23" s="20">
        <f>IF(K23&gt;0,L23/K23*100,"-")</f>
        <v>94.334714618185728</v>
      </c>
      <c r="N23" s="103">
        <v>74495266.090000004</v>
      </c>
      <c r="O23" s="102">
        <v>68712845.939999998</v>
      </c>
      <c r="P23" s="20">
        <f>IF(N23&gt;0,O23/N23*100,"-")</f>
        <v>92.237868990206579</v>
      </c>
      <c r="Q23" s="1">
        <v>73128371.049999997</v>
      </c>
      <c r="R23" s="1">
        <v>68835317.799999997</v>
      </c>
      <c r="S23" s="20">
        <f>IF(Q23&gt;0,R23/Q23*100,"-")</f>
        <v>94.129428581056843</v>
      </c>
      <c r="T23" s="1">
        <v>84366536.189999998</v>
      </c>
      <c r="U23" s="1">
        <v>75022398.900000006</v>
      </c>
      <c r="V23" s="20">
        <f>IF(T23&gt;0,U23/T23*100,"-")</f>
        <v>88.924355897513365</v>
      </c>
      <c r="W23" s="13">
        <f t="shared" si="7"/>
        <v>15.367722511302958</v>
      </c>
      <c r="X23" s="13">
        <f t="shared" si="7"/>
        <v>8.988236413720756</v>
      </c>
    </row>
    <row r="24" spans="1:24" x14ac:dyDescent="0.3">
      <c r="A24" s="5" t="s">
        <v>40</v>
      </c>
      <c r="B24" s="27">
        <v>4733631.41</v>
      </c>
      <c r="C24" s="27">
        <v>4053953.72</v>
      </c>
      <c r="D24" s="20">
        <f t="shared" ref="D24:D55" si="47">IF(B24&gt;0,C24/B24*100,"-")</f>
        <v>85.641516393436305</v>
      </c>
      <c r="E24" s="27">
        <v>4678333.5999999996</v>
      </c>
      <c r="F24" s="27">
        <v>4034518.01</v>
      </c>
      <c r="G24" s="20">
        <f t="shared" ref="G24:G55" si="48">IF(E24&gt;0,F24/E24*100,"-")</f>
        <v>86.238356537892031</v>
      </c>
      <c r="H24" s="102">
        <v>4754993.5999999996</v>
      </c>
      <c r="I24" s="102">
        <v>4111662.1</v>
      </c>
      <c r="J24" s="20">
        <f t="shared" ref="J24:J55" si="49">IF(H24&gt;0,I24/H24*100,"-")</f>
        <v>86.47040239970039</v>
      </c>
      <c r="K24" s="102">
        <v>5014794.18</v>
      </c>
      <c r="L24" s="102">
        <v>4239384.3499999996</v>
      </c>
      <c r="M24" s="20">
        <f t="shared" ref="M24:M55" si="50">IF(K24&gt;0,L24/K24*100,"-")</f>
        <v>84.537554241159313</v>
      </c>
      <c r="N24" s="102">
        <v>4794455.8899999997</v>
      </c>
      <c r="O24" s="102">
        <v>3837053.55</v>
      </c>
      <c r="P24" s="20">
        <f t="shared" ref="P24:P55" si="51">IF(N24&gt;0,O24/N24*100,"-")</f>
        <v>80.03105332563608</v>
      </c>
      <c r="Q24" s="1">
        <v>4606606.59</v>
      </c>
      <c r="R24" s="1">
        <v>3938657.11</v>
      </c>
      <c r="S24" s="20">
        <f t="shared" ref="S24:S55" si="52">IF(Q24&gt;0,R24/Q24*100,"-")</f>
        <v>85.500183986842245</v>
      </c>
      <c r="T24" s="1">
        <v>5337093.9800000004</v>
      </c>
      <c r="U24" s="1">
        <v>4236959.62</v>
      </c>
      <c r="V24" s="20">
        <f t="shared" ref="V24:V55" si="53">IF(T24&gt;0,U24/T24*100,"-")</f>
        <v>79.387015403464929</v>
      </c>
      <c r="W24" s="13">
        <f t="shared" si="7"/>
        <v>15.857386033045231</v>
      </c>
      <c r="X24" s="13">
        <f t="shared" si="7"/>
        <v>7.5737110814401376</v>
      </c>
    </row>
    <row r="25" spans="1:24" x14ac:dyDescent="0.3">
      <c r="A25" s="5" t="s">
        <v>41</v>
      </c>
      <c r="B25" s="27">
        <v>200144320.91999999</v>
      </c>
      <c r="C25" s="27">
        <v>156849301.11000001</v>
      </c>
      <c r="D25" s="20">
        <f t="shared" si="47"/>
        <v>78.368099773710043</v>
      </c>
      <c r="E25" s="27">
        <v>190739468.83000001</v>
      </c>
      <c r="F25" s="27">
        <v>143801770.56</v>
      </c>
      <c r="G25" s="20">
        <f t="shared" si="48"/>
        <v>75.391722249245603</v>
      </c>
      <c r="H25" s="102">
        <v>203864763.62</v>
      </c>
      <c r="I25" s="102">
        <v>157494675.06</v>
      </c>
      <c r="J25" s="20">
        <f t="shared" si="49"/>
        <v>77.254485897115131</v>
      </c>
      <c r="K25" s="102">
        <v>200770731.09999999</v>
      </c>
      <c r="L25" s="102">
        <v>159465706.08000001</v>
      </c>
      <c r="M25" s="20">
        <f t="shared" si="50"/>
        <v>79.42676963235904</v>
      </c>
      <c r="N25" s="102">
        <v>202845706.78999999</v>
      </c>
      <c r="O25" s="102">
        <v>151194498.55000001</v>
      </c>
      <c r="P25" s="20">
        <f t="shared" si="51"/>
        <v>74.536701290171791</v>
      </c>
      <c r="Q25" s="1">
        <v>216843851.81</v>
      </c>
      <c r="R25" s="1">
        <v>164263416.46000001</v>
      </c>
      <c r="S25" s="20">
        <f t="shared" si="52"/>
        <v>75.75193628451531</v>
      </c>
      <c r="T25" s="1">
        <v>233006989.05000001</v>
      </c>
      <c r="U25" s="1">
        <v>182251510.96000001</v>
      </c>
      <c r="V25" s="20">
        <f t="shared" si="53"/>
        <v>78.217186404177525</v>
      </c>
      <c r="W25" s="13">
        <f t="shared" si="7"/>
        <v>7.45381393342997</v>
      </c>
      <c r="X25" s="13">
        <f t="shared" si="7"/>
        <v>10.950761214917449</v>
      </c>
    </row>
    <row r="26" spans="1:24" x14ac:dyDescent="0.3">
      <c r="A26" s="5" t="s">
        <v>42</v>
      </c>
      <c r="B26" s="27">
        <v>17900860.449999999</v>
      </c>
      <c r="C26" s="27">
        <v>8570024.3599999994</v>
      </c>
      <c r="D26" s="20">
        <f t="shared" si="47"/>
        <v>47.874929721604524</v>
      </c>
      <c r="E26" s="27">
        <v>13343686.58</v>
      </c>
      <c r="F26" s="27">
        <v>9201602.5700000003</v>
      </c>
      <c r="G26" s="20">
        <f t="shared" si="48"/>
        <v>68.95847346858173</v>
      </c>
      <c r="H26" s="102">
        <v>15754193.470000001</v>
      </c>
      <c r="I26" s="102">
        <v>7493946.8600000003</v>
      </c>
      <c r="J26" s="20">
        <f t="shared" si="49"/>
        <v>47.56794991930488</v>
      </c>
      <c r="K26" s="102">
        <v>14478628.630000001</v>
      </c>
      <c r="L26" s="102">
        <v>9675623.4600000009</v>
      </c>
      <c r="M26" s="20">
        <f t="shared" si="50"/>
        <v>66.8269330422076</v>
      </c>
      <c r="N26" s="102">
        <v>29673734.879999999</v>
      </c>
      <c r="O26" s="102">
        <v>22194093.989999998</v>
      </c>
      <c r="P26" s="20">
        <f t="shared" si="51"/>
        <v>74.793732840683774</v>
      </c>
      <c r="Q26" s="1">
        <v>23263098.620000001</v>
      </c>
      <c r="R26" s="1">
        <v>16387801.01</v>
      </c>
      <c r="S26" s="20">
        <f t="shared" si="52"/>
        <v>70.445477954991347</v>
      </c>
      <c r="T26" s="1">
        <v>23836593.57</v>
      </c>
      <c r="U26" s="1">
        <v>14596873.140000001</v>
      </c>
      <c r="V26" s="20">
        <f t="shared" si="53"/>
        <v>61.237244731022201</v>
      </c>
      <c r="W26" s="13">
        <f t="shared" si="7"/>
        <v>2.4652560665626311</v>
      </c>
      <c r="X26" s="13">
        <f t="shared" si="7"/>
        <v>-10.92842089617244</v>
      </c>
    </row>
    <row r="27" spans="1:24" x14ac:dyDescent="0.3">
      <c r="A27" s="5" t="s">
        <v>43</v>
      </c>
      <c r="B27" s="27">
        <v>4543333.1100000003</v>
      </c>
      <c r="C27" s="27">
        <v>4543333.1100000003</v>
      </c>
      <c r="D27" s="20">
        <f t="shared" si="47"/>
        <v>100</v>
      </c>
      <c r="E27" s="27">
        <v>4219531.33</v>
      </c>
      <c r="F27" s="27">
        <v>4219531.33</v>
      </c>
      <c r="G27" s="20">
        <f t="shared" si="48"/>
        <v>100</v>
      </c>
      <c r="H27" s="102">
        <v>3965083.76</v>
      </c>
      <c r="I27" s="102">
        <v>3949821.19</v>
      </c>
      <c r="J27" s="20">
        <f t="shared" si="49"/>
        <v>99.615075722889657</v>
      </c>
      <c r="K27" s="102">
        <v>3670599.63</v>
      </c>
      <c r="L27" s="102">
        <v>3670599.63</v>
      </c>
      <c r="M27" s="20">
        <f t="shared" si="50"/>
        <v>100</v>
      </c>
      <c r="N27" s="102">
        <v>3288304.78</v>
      </c>
      <c r="O27" s="102">
        <v>3288304.78</v>
      </c>
      <c r="P27" s="20">
        <f t="shared" si="51"/>
        <v>100</v>
      </c>
      <c r="Q27" s="1">
        <v>3063199.78</v>
      </c>
      <c r="R27" s="1">
        <v>3063199.78</v>
      </c>
      <c r="S27" s="20">
        <f t="shared" si="52"/>
        <v>100</v>
      </c>
      <c r="T27" s="1">
        <v>3050603.12</v>
      </c>
      <c r="U27" s="1">
        <v>3050603.12</v>
      </c>
      <c r="V27" s="20">
        <f t="shared" si="53"/>
        <v>100</v>
      </c>
      <c r="W27" s="13">
        <f t="shared" si="7"/>
        <v>-0.41122554533481548</v>
      </c>
      <c r="X27" s="13">
        <f t="shared" si="7"/>
        <v>-0.41122554533481548</v>
      </c>
    </row>
    <row r="28" spans="1:24" x14ac:dyDescent="0.3">
      <c r="A28" s="5" t="s">
        <v>44</v>
      </c>
      <c r="B28" s="27">
        <v>97394.8</v>
      </c>
      <c r="C28" s="27">
        <v>0</v>
      </c>
      <c r="D28" s="20">
        <f t="shared" si="47"/>
        <v>0</v>
      </c>
      <c r="E28" s="27">
        <v>0</v>
      </c>
      <c r="F28" s="27">
        <v>0</v>
      </c>
      <c r="G28" s="20" t="str">
        <f t="shared" si="48"/>
        <v>-</v>
      </c>
      <c r="H28" s="102">
        <v>0</v>
      </c>
      <c r="I28" s="102">
        <v>0</v>
      </c>
      <c r="J28" s="20" t="str">
        <f t="shared" si="49"/>
        <v>-</v>
      </c>
      <c r="K28" s="102">
        <v>112370.92</v>
      </c>
      <c r="L28" s="102">
        <v>112370.92</v>
      </c>
      <c r="M28" s="20">
        <f t="shared" si="50"/>
        <v>100</v>
      </c>
      <c r="N28" s="102">
        <v>0</v>
      </c>
      <c r="O28" s="102">
        <v>0</v>
      </c>
      <c r="P28" s="20" t="str">
        <f t="shared" si="51"/>
        <v>-</v>
      </c>
      <c r="Q28" s="102">
        <v>0</v>
      </c>
      <c r="R28" s="102">
        <v>0</v>
      </c>
      <c r="S28" s="20" t="str">
        <f t="shared" si="52"/>
        <v>-</v>
      </c>
      <c r="T28" s="1">
        <v>782.89</v>
      </c>
      <c r="U28" s="1">
        <v>782.89</v>
      </c>
      <c r="V28" s="20">
        <f t="shared" si="53"/>
        <v>100</v>
      </c>
      <c r="W28" s="13" t="str">
        <f t="shared" si="7"/>
        <v>-</v>
      </c>
      <c r="X28" s="13" t="str">
        <f t="shared" si="7"/>
        <v>-</v>
      </c>
    </row>
    <row r="29" spans="1:24" x14ac:dyDescent="0.3">
      <c r="A29" s="5" t="s">
        <v>45</v>
      </c>
      <c r="B29" s="27">
        <v>388962.07</v>
      </c>
      <c r="C29" s="27">
        <v>344705.92</v>
      </c>
      <c r="D29" s="20">
        <f t="shared" si="47"/>
        <v>88.621988257106906</v>
      </c>
      <c r="E29" s="27">
        <v>591294.5</v>
      </c>
      <c r="F29" s="27">
        <v>499339.13</v>
      </c>
      <c r="G29" s="20">
        <f t="shared" si="48"/>
        <v>84.448465189512163</v>
      </c>
      <c r="H29" s="102">
        <v>732690.42</v>
      </c>
      <c r="I29" s="102">
        <v>404524.22</v>
      </c>
      <c r="J29" s="20">
        <f t="shared" si="49"/>
        <v>55.21079694204272</v>
      </c>
      <c r="K29" s="102">
        <v>1174995.68</v>
      </c>
      <c r="L29" s="102">
        <v>815507.67</v>
      </c>
      <c r="M29" s="20">
        <f t="shared" si="50"/>
        <v>69.405163259834296</v>
      </c>
      <c r="N29" s="102">
        <v>2181844.81</v>
      </c>
      <c r="O29" s="102">
        <v>920728.49</v>
      </c>
      <c r="P29" s="20">
        <f t="shared" si="51"/>
        <v>42.199540763854785</v>
      </c>
      <c r="Q29" s="1">
        <v>2019083.57</v>
      </c>
      <c r="R29" s="1">
        <v>350529.44</v>
      </c>
      <c r="S29" s="20">
        <f t="shared" si="52"/>
        <v>17.360818799590348</v>
      </c>
      <c r="T29" s="1">
        <v>783295.96</v>
      </c>
      <c r="U29" s="1">
        <v>214808.18</v>
      </c>
      <c r="V29" s="20">
        <f t="shared" si="53"/>
        <v>27.423629249919792</v>
      </c>
      <c r="W29" s="13">
        <f t="shared" si="7"/>
        <v>-61.205371999535416</v>
      </c>
      <c r="X29" s="13">
        <f t="shared" si="7"/>
        <v>-38.718933279897968</v>
      </c>
    </row>
    <row r="30" spans="1:24" x14ac:dyDescent="0.3">
      <c r="A30" s="5" t="s">
        <v>46</v>
      </c>
      <c r="B30" s="27">
        <v>9314646.5700000003</v>
      </c>
      <c r="C30" s="27">
        <v>5307864.95</v>
      </c>
      <c r="D30" s="20">
        <f t="shared" si="47"/>
        <v>56.984072450963637</v>
      </c>
      <c r="E30" s="27">
        <v>6616316.9900000002</v>
      </c>
      <c r="F30" s="27">
        <v>5841742.6200000001</v>
      </c>
      <c r="G30" s="20">
        <f t="shared" si="48"/>
        <v>88.292967656013104</v>
      </c>
      <c r="H30" s="102">
        <v>8659667.8000000007</v>
      </c>
      <c r="I30" s="102">
        <v>8342591.7400000002</v>
      </c>
      <c r="J30" s="20">
        <f t="shared" si="49"/>
        <v>96.338473168682043</v>
      </c>
      <c r="K30" s="102">
        <v>4238837.6500000004</v>
      </c>
      <c r="L30" s="102">
        <v>3683799.4</v>
      </c>
      <c r="M30" s="20">
        <f t="shared" si="50"/>
        <v>86.905885626452331</v>
      </c>
      <c r="N30" s="102">
        <v>4408889.79</v>
      </c>
      <c r="O30" s="102">
        <v>3726394.9</v>
      </c>
      <c r="P30" s="20">
        <f t="shared" si="51"/>
        <v>84.520028340286544</v>
      </c>
      <c r="Q30" s="1">
        <v>2763628.59</v>
      </c>
      <c r="R30" s="1">
        <v>2200018.37</v>
      </c>
      <c r="S30" s="20">
        <f t="shared" si="52"/>
        <v>79.606151780330222</v>
      </c>
      <c r="T30" s="1">
        <v>16503839.75</v>
      </c>
      <c r="U30" s="1">
        <v>2341760.92</v>
      </c>
      <c r="V30" s="20">
        <f t="shared" si="53"/>
        <v>14.189188428105041</v>
      </c>
      <c r="W30" s="13">
        <f t="shared" si="7"/>
        <v>497.18009177202794</v>
      </c>
      <c r="X30" s="13">
        <f t="shared" si="7"/>
        <v>6.4427893845268045</v>
      </c>
    </row>
    <row r="31" spans="1:24" x14ac:dyDescent="0.3">
      <c r="A31" s="5" t="s">
        <v>47</v>
      </c>
      <c r="B31" s="28">
        <v>0</v>
      </c>
      <c r="C31" s="28">
        <v>0</v>
      </c>
      <c r="D31" s="20" t="str">
        <f t="shared" si="47"/>
        <v>-</v>
      </c>
      <c r="E31" s="28">
        <v>0</v>
      </c>
      <c r="F31" s="28">
        <v>0</v>
      </c>
      <c r="G31" s="20" t="str">
        <f t="shared" si="48"/>
        <v>-</v>
      </c>
      <c r="H31" s="19">
        <v>0</v>
      </c>
      <c r="I31" s="19">
        <v>0</v>
      </c>
      <c r="J31" s="20" t="str">
        <f t="shared" si="49"/>
        <v>-</v>
      </c>
      <c r="K31" s="19">
        <v>0</v>
      </c>
      <c r="L31" s="19">
        <v>0</v>
      </c>
      <c r="M31" s="20" t="str">
        <f t="shared" si="50"/>
        <v>-</v>
      </c>
      <c r="N31" s="19">
        <v>0</v>
      </c>
      <c r="O31" s="19">
        <v>0</v>
      </c>
      <c r="P31" s="20" t="str">
        <f t="shared" si="51"/>
        <v>-</v>
      </c>
      <c r="Q31" s="19">
        <v>0</v>
      </c>
      <c r="R31" s="19">
        <v>0</v>
      </c>
      <c r="S31" s="20" t="str">
        <f t="shared" si="52"/>
        <v>-</v>
      </c>
      <c r="T31" s="19">
        <v>0</v>
      </c>
      <c r="U31" s="19">
        <v>0</v>
      </c>
      <c r="V31" s="20" t="str">
        <f t="shared" si="53"/>
        <v>-</v>
      </c>
      <c r="W31" s="13" t="str">
        <f t="shared" si="7"/>
        <v>-</v>
      </c>
      <c r="X31" s="13" t="str">
        <f t="shared" si="7"/>
        <v>-</v>
      </c>
    </row>
    <row r="32" spans="1:24" x14ac:dyDescent="0.3">
      <c r="A32" s="5" t="s">
        <v>48</v>
      </c>
      <c r="B32" s="27">
        <v>37834622.240000002</v>
      </c>
      <c r="C32" s="27">
        <v>26314308.77</v>
      </c>
      <c r="D32" s="20">
        <f t="shared" si="47"/>
        <v>69.550869579397173</v>
      </c>
      <c r="E32" s="27">
        <v>50029488.899999999</v>
      </c>
      <c r="F32" s="27">
        <v>33092760.260000002</v>
      </c>
      <c r="G32" s="20">
        <f t="shared" si="48"/>
        <v>66.146508764353982</v>
      </c>
      <c r="H32" s="102">
        <v>34898594.43</v>
      </c>
      <c r="I32" s="102">
        <v>26178170.07</v>
      </c>
      <c r="J32" s="20">
        <f t="shared" si="49"/>
        <v>75.012104348524616</v>
      </c>
      <c r="K32" s="102">
        <v>41438114.170000002</v>
      </c>
      <c r="L32" s="102">
        <v>34889150.539999999</v>
      </c>
      <c r="M32" s="20">
        <f t="shared" si="50"/>
        <v>84.19579712741546</v>
      </c>
      <c r="N32" s="102">
        <v>40669477.700000003</v>
      </c>
      <c r="O32" s="102">
        <v>35281521.880000003</v>
      </c>
      <c r="P32" s="20">
        <f t="shared" si="51"/>
        <v>86.751844073965074</v>
      </c>
      <c r="Q32" s="1">
        <v>34384271.909999996</v>
      </c>
      <c r="R32" s="1">
        <v>29788593.879999999</v>
      </c>
      <c r="S32" s="20">
        <f t="shared" si="52"/>
        <v>86.634359913075741</v>
      </c>
      <c r="T32" s="1">
        <v>35272807.939999998</v>
      </c>
      <c r="U32" s="1">
        <v>28820944.739999998</v>
      </c>
      <c r="V32" s="20">
        <f t="shared" si="53"/>
        <v>81.708677089233177</v>
      </c>
      <c r="W32" s="13">
        <f t="shared" si="7"/>
        <v>2.5841350729360215</v>
      </c>
      <c r="X32" s="13">
        <f t="shared" si="7"/>
        <v>-3.2483881041786162</v>
      </c>
    </row>
    <row r="33" spans="1:24" x14ac:dyDescent="0.3">
      <c r="A33" s="5" t="s">
        <v>49</v>
      </c>
      <c r="B33" s="27">
        <v>2704748.13</v>
      </c>
      <c r="C33" s="27">
        <v>182996.16</v>
      </c>
      <c r="D33" s="20">
        <f t="shared" si="47"/>
        <v>6.7657375550158898</v>
      </c>
      <c r="E33" s="27">
        <v>11974011</v>
      </c>
      <c r="F33" s="27">
        <v>135237.42000000001</v>
      </c>
      <c r="G33" s="20">
        <f t="shared" si="48"/>
        <v>1.1294245512218086</v>
      </c>
      <c r="H33" s="102">
        <v>5480621.7999999998</v>
      </c>
      <c r="I33" s="102">
        <v>2821718.12</v>
      </c>
      <c r="J33" s="20">
        <f t="shared" si="49"/>
        <v>51.485364671577962</v>
      </c>
      <c r="K33" s="102">
        <v>10863800.779999999</v>
      </c>
      <c r="L33" s="102">
        <v>10200875.140000001</v>
      </c>
      <c r="M33" s="20">
        <f t="shared" si="50"/>
        <v>93.897847968452908</v>
      </c>
      <c r="N33" s="102">
        <v>1327688.92</v>
      </c>
      <c r="O33" s="102">
        <v>938325.55</v>
      </c>
      <c r="P33" s="20">
        <f t="shared" si="51"/>
        <v>70.673599505522731</v>
      </c>
      <c r="Q33" s="1">
        <v>1863152.25</v>
      </c>
      <c r="R33" s="1">
        <v>1863152.25</v>
      </c>
      <c r="S33" s="20">
        <f t="shared" si="52"/>
        <v>100</v>
      </c>
      <c r="T33" s="1">
        <v>1506531.15</v>
      </c>
      <c r="U33" s="1">
        <v>1255880.6000000001</v>
      </c>
      <c r="V33" s="20">
        <f t="shared" si="53"/>
        <v>83.362405085351227</v>
      </c>
      <c r="W33" s="13">
        <f t="shared" si="7"/>
        <v>-19.140738498423843</v>
      </c>
      <c r="X33" s="13">
        <f t="shared" si="7"/>
        <v>-32.593774878032647</v>
      </c>
    </row>
    <row r="34" spans="1:24" x14ac:dyDescent="0.3">
      <c r="A34" s="5" t="s">
        <v>50</v>
      </c>
      <c r="B34" s="27">
        <v>0</v>
      </c>
      <c r="C34" s="27">
        <v>0</v>
      </c>
      <c r="D34" s="20" t="str">
        <f t="shared" si="47"/>
        <v>-</v>
      </c>
      <c r="E34" s="27">
        <v>0</v>
      </c>
      <c r="F34" s="27">
        <v>0</v>
      </c>
      <c r="G34" s="20" t="str">
        <f t="shared" si="48"/>
        <v>-</v>
      </c>
      <c r="H34" s="102">
        <v>0</v>
      </c>
      <c r="I34" s="102">
        <v>0</v>
      </c>
      <c r="J34" s="20" t="str">
        <f t="shared" si="49"/>
        <v>-</v>
      </c>
      <c r="K34" s="102">
        <v>0</v>
      </c>
      <c r="L34" s="102">
        <v>0</v>
      </c>
      <c r="M34" s="20" t="str">
        <f t="shared" si="50"/>
        <v>-</v>
      </c>
      <c r="N34" s="102">
        <v>0</v>
      </c>
      <c r="O34" s="102">
        <v>0</v>
      </c>
      <c r="P34" s="20" t="str">
        <f t="shared" si="51"/>
        <v>-</v>
      </c>
      <c r="Q34" s="102">
        <v>0</v>
      </c>
      <c r="R34" s="102">
        <v>0</v>
      </c>
      <c r="S34" s="20" t="str">
        <f t="shared" si="52"/>
        <v>-</v>
      </c>
      <c r="T34" s="102">
        <v>0</v>
      </c>
      <c r="U34" s="102">
        <v>0</v>
      </c>
      <c r="V34" s="20" t="str">
        <f t="shared" si="53"/>
        <v>-</v>
      </c>
      <c r="W34" s="13" t="str">
        <f t="shared" si="7"/>
        <v>-</v>
      </c>
      <c r="X34" s="13" t="str">
        <f t="shared" si="7"/>
        <v>-</v>
      </c>
    </row>
    <row r="35" spans="1:24" x14ac:dyDescent="0.3">
      <c r="A35" s="5" t="s">
        <v>51</v>
      </c>
      <c r="B35" s="27">
        <v>255370.41</v>
      </c>
      <c r="C35" s="27">
        <v>67971.75</v>
      </c>
      <c r="D35" s="20">
        <f t="shared" si="47"/>
        <v>26.616924803464897</v>
      </c>
      <c r="E35" s="27">
        <v>36771.550000000003</v>
      </c>
      <c r="F35" s="27">
        <v>36771.550000000003</v>
      </c>
      <c r="G35" s="20">
        <f t="shared" si="48"/>
        <v>100</v>
      </c>
      <c r="H35" s="102">
        <v>649536.29</v>
      </c>
      <c r="I35" s="102">
        <v>217822.45</v>
      </c>
      <c r="J35" s="20">
        <f t="shared" si="49"/>
        <v>33.535070072836113</v>
      </c>
      <c r="K35" s="102">
        <v>73062.5</v>
      </c>
      <c r="L35" s="102">
        <v>42666.69</v>
      </c>
      <c r="M35" s="20">
        <f t="shared" si="50"/>
        <v>58.397522668947822</v>
      </c>
      <c r="N35" s="102">
        <v>128475.12</v>
      </c>
      <c r="O35" s="102">
        <v>109496.47</v>
      </c>
      <c r="P35" s="20">
        <f t="shared" si="51"/>
        <v>85.227762386989795</v>
      </c>
      <c r="Q35" s="1">
        <v>143620.38</v>
      </c>
      <c r="R35" s="1">
        <v>74904.25</v>
      </c>
      <c r="S35" s="20">
        <f t="shared" si="52"/>
        <v>52.154332135870959</v>
      </c>
      <c r="T35" s="1">
        <v>522311.53</v>
      </c>
      <c r="U35" s="1">
        <v>502649.34</v>
      </c>
      <c r="V35" s="20">
        <f t="shared" si="53"/>
        <v>96.235543565350739</v>
      </c>
      <c r="W35" s="13">
        <f t="shared" si="7"/>
        <v>263.67507870401124</v>
      </c>
      <c r="X35" s="13">
        <f t="shared" si="7"/>
        <v>571.0558346155259</v>
      </c>
    </row>
    <row r="36" spans="1:24" x14ac:dyDescent="0.3">
      <c r="A36" s="5" t="s">
        <v>52</v>
      </c>
      <c r="B36" s="27">
        <v>0</v>
      </c>
      <c r="C36" s="27">
        <v>0</v>
      </c>
      <c r="D36" s="20" t="str">
        <f t="shared" si="47"/>
        <v>-</v>
      </c>
      <c r="E36" s="27">
        <v>0</v>
      </c>
      <c r="F36" s="27">
        <v>0</v>
      </c>
      <c r="G36" s="20" t="str">
        <f t="shared" si="48"/>
        <v>-</v>
      </c>
      <c r="H36" s="102">
        <v>0</v>
      </c>
      <c r="I36" s="102">
        <v>0</v>
      </c>
      <c r="J36" s="20" t="str">
        <f t="shared" si="49"/>
        <v>-</v>
      </c>
      <c r="K36" s="102">
        <v>0</v>
      </c>
      <c r="L36" s="102">
        <v>0</v>
      </c>
      <c r="M36" s="20" t="str">
        <f t="shared" si="50"/>
        <v>-</v>
      </c>
      <c r="N36" s="102">
        <v>0</v>
      </c>
      <c r="O36" s="102">
        <v>0</v>
      </c>
      <c r="P36" s="20" t="str">
        <f t="shared" si="51"/>
        <v>-</v>
      </c>
      <c r="Q36" s="102">
        <v>0</v>
      </c>
      <c r="R36" s="102">
        <v>0</v>
      </c>
      <c r="S36" s="20" t="str">
        <f t="shared" si="52"/>
        <v>-</v>
      </c>
      <c r="T36" s="102">
        <v>0</v>
      </c>
      <c r="U36" s="102">
        <v>0</v>
      </c>
      <c r="V36" s="20" t="str">
        <f t="shared" si="53"/>
        <v>-</v>
      </c>
      <c r="W36" s="13" t="str">
        <f t="shared" si="7"/>
        <v>-</v>
      </c>
      <c r="X36" s="13" t="str">
        <f t="shared" si="7"/>
        <v>-</v>
      </c>
    </row>
    <row r="37" spans="1:24" x14ac:dyDescent="0.3">
      <c r="A37" s="5" t="s">
        <v>263</v>
      </c>
      <c r="B37" s="27">
        <v>4499969.5999999996</v>
      </c>
      <c r="C37" s="27">
        <v>4491972.2</v>
      </c>
      <c r="D37" s="20">
        <f t="shared" si="47"/>
        <v>99.822278799394567</v>
      </c>
      <c r="E37" s="27">
        <v>471661.47</v>
      </c>
      <c r="F37" s="27">
        <v>438094.84</v>
      </c>
      <c r="G37" s="20">
        <f t="shared" si="48"/>
        <v>92.883321590801131</v>
      </c>
      <c r="H37" s="102">
        <v>0</v>
      </c>
      <c r="I37" s="102">
        <v>0</v>
      </c>
      <c r="J37" s="20" t="str">
        <f t="shared" si="49"/>
        <v>-</v>
      </c>
      <c r="K37" s="102">
        <v>0</v>
      </c>
      <c r="L37" s="102">
        <v>0</v>
      </c>
      <c r="M37" s="20" t="str">
        <f t="shared" si="50"/>
        <v>-</v>
      </c>
      <c r="N37" s="102">
        <v>0</v>
      </c>
      <c r="O37" s="102">
        <v>0</v>
      </c>
      <c r="P37" s="20" t="str">
        <f t="shared" si="51"/>
        <v>-</v>
      </c>
      <c r="Q37" s="102">
        <v>0</v>
      </c>
      <c r="R37" s="102">
        <v>0</v>
      </c>
      <c r="S37" s="20" t="str">
        <f t="shared" si="52"/>
        <v>-</v>
      </c>
      <c r="T37" s="102">
        <v>0</v>
      </c>
      <c r="U37" s="102">
        <v>0</v>
      </c>
      <c r="V37" s="20" t="str">
        <f t="shared" si="53"/>
        <v>-</v>
      </c>
      <c r="W37" s="13" t="str">
        <f t="shared" si="7"/>
        <v>-</v>
      </c>
      <c r="X37" s="13" t="str">
        <f t="shared" si="7"/>
        <v>-</v>
      </c>
    </row>
    <row r="38" spans="1:24" x14ac:dyDescent="0.3">
      <c r="A38" s="5" t="s">
        <v>53</v>
      </c>
      <c r="B38" s="27">
        <v>0</v>
      </c>
      <c r="C38" s="27">
        <v>0</v>
      </c>
      <c r="D38" s="20" t="str">
        <f t="shared" si="47"/>
        <v>-</v>
      </c>
      <c r="E38" s="27">
        <v>0</v>
      </c>
      <c r="F38" s="27">
        <v>0</v>
      </c>
      <c r="G38" s="20" t="str">
        <f t="shared" si="48"/>
        <v>-</v>
      </c>
      <c r="H38" s="102">
        <v>0</v>
      </c>
      <c r="I38" s="102">
        <v>0</v>
      </c>
      <c r="J38" s="20" t="str">
        <f t="shared" si="49"/>
        <v>-</v>
      </c>
      <c r="K38" s="102">
        <v>0</v>
      </c>
      <c r="L38" s="102">
        <v>0</v>
      </c>
      <c r="M38" s="20" t="str">
        <f t="shared" si="50"/>
        <v>-</v>
      </c>
      <c r="N38" s="102">
        <v>0</v>
      </c>
      <c r="O38" s="102">
        <v>0</v>
      </c>
      <c r="P38" s="20" t="str">
        <f t="shared" si="51"/>
        <v>-</v>
      </c>
      <c r="Q38" s="102">
        <v>0</v>
      </c>
      <c r="R38" s="102">
        <v>0</v>
      </c>
      <c r="S38" s="20" t="str">
        <f t="shared" si="52"/>
        <v>-</v>
      </c>
      <c r="T38" s="102">
        <v>0</v>
      </c>
      <c r="U38" s="102">
        <v>0</v>
      </c>
      <c r="V38" s="20" t="str">
        <f t="shared" si="53"/>
        <v>-</v>
      </c>
      <c r="W38" s="13" t="str">
        <f t="shared" si="7"/>
        <v>-</v>
      </c>
      <c r="X38" s="13" t="str">
        <f t="shared" si="7"/>
        <v>-</v>
      </c>
    </row>
    <row r="39" spans="1:24" x14ac:dyDescent="0.3">
      <c r="A39" s="5" t="s">
        <v>54</v>
      </c>
      <c r="B39" s="27">
        <v>0</v>
      </c>
      <c r="C39" s="27">
        <v>0</v>
      </c>
      <c r="D39" s="20" t="str">
        <f t="shared" si="47"/>
        <v>-</v>
      </c>
      <c r="E39" s="27">
        <v>0</v>
      </c>
      <c r="F39" s="27">
        <v>0</v>
      </c>
      <c r="G39" s="20" t="str">
        <f t="shared" si="48"/>
        <v>-</v>
      </c>
      <c r="H39" s="102">
        <v>0</v>
      </c>
      <c r="I39" s="102">
        <v>0</v>
      </c>
      <c r="J39" s="20" t="str">
        <f t="shared" si="49"/>
        <v>-</v>
      </c>
      <c r="K39" s="102">
        <v>0</v>
      </c>
      <c r="L39" s="102">
        <v>0</v>
      </c>
      <c r="M39" s="20" t="str">
        <f t="shared" si="50"/>
        <v>-</v>
      </c>
      <c r="N39" s="102">
        <v>0</v>
      </c>
      <c r="O39" s="102">
        <v>0</v>
      </c>
      <c r="P39" s="20" t="str">
        <f t="shared" si="51"/>
        <v>-</v>
      </c>
      <c r="Q39" s="102">
        <v>0</v>
      </c>
      <c r="R39" s="102">
        <v>0</v>
      </c>
      <c r="S39" s="20" t="str">
        <f t="shared" si="52"/>
        <v>-</v>
      </c>
      <c r="T39" s="102">
        <v>0</v>
      </c>
      <c r="U39" s="102">
        <v>0</v>
      </c>
      <c r="V39" s="20" t="str">
        <f t="shared" si="53"/>
        <v>-</v>
      </c>
      <c r="W39" s="13" t="str">
        <f t="shared" si="7"/>
        <v>-</v>
      </c>
      <c r="X39" s="13" t="str">
        <f t="shared" si="7"/>
        <v>-</v>
      </c>
    </row>
    <row r="40" spans="1:24" x14ac:dyDescent="0.3">
      <c r="A40" s="5" t="s">
        <v>55</v>
      </c>
      <c r="B40" s="27">
        <v>0</v>
      </c>
      <c r="C40" s="27">
        <v>0</v>
      </c>
      <c r="D40" s="20" t="str">
        <f t="shared" si="47"/>
        <v>-</v>
      </c>
      <c r="E40" s="27">
        <v>0</v>
      </c>
      <c r="F40" s="27">
        <v>0</v>
      </c>
      <c r="G40" s="20" t="str">
        <f t="shared" si="48"/>
        <v>-</v>
      </c>
      <c r="H40" s="102">
        <v>0</v>
      </c>
      <c r="I40" s="102">
        <v>0</v>
      </c>
      <c r="J40" s="20" t="str">
        <f t="shared" si="49"/>
        <v>-</v>
      </c>
      <c r="K40" s="102">
        <v>0</v>
      </c>
      <c r="L40" s="102">
        <v>0</v>
      </c>
      <c r="M40" s="20" t="str">
        <f t="shared" si="50"/>
        <v>-</v>
      </c>
      <c r="N40" s="102">
        <v>0</v>
      </c>
      <c r="O40" s="102">
        <v>0</v>
      </c>
      <c r="P40" s="20" t="str">
        <f t="shared" si="51"/>
        <v>-</v>
      </c>
      <c r="Q40" s="102">
        <v>0</v>
      </c>
      <c r="R40" s="102">
        <v>0</v>
      </c>
      <c r="S40" s="20" t="str">
        <f t="shared" si="52"/>
        <v>-</v>
      </c>
      <c r="T40" s="102">
        <v>0</v>
      </c>
      <c r="U40" s="102">
        <v>0</v>
      </c>
      <c r="V40" s="20" t="str">
        <f t="shared" si="53"/>
        <v>-</v>
      </c>
      <c r="W40" s="13" t="str">
        <f t="shared" si="7"/>
        <v>-</v>
      </c>
      <c r="X40" s="13" t="str">
        <f t="shared" si="7"/>
        <v>-</v>
      </c>
    </row>
    <row r="41" spans="1:24" x14ac:dyDescent="0.3">
      <c r="A41" s="5" t="s">
        <v>56</v>
      </c>
      <c r="B41" s="27">
        <v>0</v>
      </c>
      <c r="C41" s="27">
        <v>0</v>
      </c>
      <c r="D41" s="20" t="str">
        <f t="shared" si="47"/>
        <v>-</v>
      </c>
      <c r="E41" s="27">
        <v>0</v>
      </c>
      <c r="F41" s="27">
        <v>0</v>
      </c>
      <c r="G41" s="20" t="str">
        <f t="shared" si="48"/>
        <v>-</v>
      </c>
      <c r="H41" s="102">
        <v>0</v>
      </c>
      <c r="I41" s="102">
        <v>0</v>
      </c>
      <c r="J41" s="20" t="str">
        <f t="shared" si="49"/>
        <v>-</v>
      </c>
      <c r="K41" s="102">
        <v>0</v>
      </c>
      <c r="L41" s="102">
        <v>0</v>
      </c>
      <c r="M41" s="20" t="str">
        <f t="shared" si="50"/>
        <v>-</v>
      </c>
      <c r="N41" s="102">
        <v>0</v>
      </c>
      <c r="O41" s="102">
        <v>0</v>
      </c>
      <c r="P41" s="20" t="str">
        <f t="shared" si="51"/>
        <v>-</v>
      </c>
      <c r="Q41" s="102">
        <v>0</v>
      </c>
      <c r="R41" s="102">
        <v>0</v>
      </c>
      <c r="S41" s="20" t="str">
        <f t="shared" si="52"/>
        <v>-</v>
      </c>
      <c r="T41" s="102">
        <v>0</v>
      </c>
      <c r="U41" s="102">
        <v>0</v>
      </c>
      <c r="V41" s="20" t="str">
        <f t="shared" si="53"/>
        <v>-</v>
      </c>
      <c r="W41" s="13" t="str">
        <f t="shared" si="7"/>
        <v>-</v>
      </c>
      <c r="X41" s="13" t="str">
        <f t="shared" si="7"/>
        <v>-</v>
      </c>
    </row>
    <row r="42" spans="1:24" x14ac:dyDescent="0.3">
      <c r="A42" s="5" t="s">
        <v>57</v>
      </c>
      <c r="B42" s="27">
        <v>6853190.46</v>
      </c>
      <c r="C42" s="27">
        <v>6853190.46</v>
      </c>
      <c r="D42" s="20">
        <f t="shared" si="47"/>
        <v>100</v>
      </c>
      <c r="E42" s="27">
        <v>6138703.0099999998</v>
      </c>
      <c r="F42" s="27">
        <v>6138703.0099999998</v>
      </c>
      <c r="G42" s="20">
        <f t="shared" si="48"/>
        <v>100</v>
      </c>
      <c r="H42" s="102">
        <v>6408855.29</v>
      </c>
      <c r="I42" s="102">
        <v>6408855.29</v>
      </c>
      <c r="J42" s="20">
        <f t="shared" si="49"/>
        <v>100</v>
      </c>
      <c r="K42" s="102">
        <v>6078636.3099999996</v>
      </c>
      <c r="L42" s="102">
        <v>6078636.3099999996</v>
      </c>
      <c r="M42" s="20">
        <f t="shared" si="50"/>
        <v>100</v>
      </c>
      <c r="N42" s="102">
        <v>1723986.64</v>
      </c>
      <c r="O42" s="102">
        <v>1723986.64</v>
      </c>
      <c r="P42" s="20">
        <f t="shared" si="51"/>
        <v>100</v>
      </c>
      <c r="Q42" s="102">
        <v>2332727.2799999998</v>
      </c>
      <c r="R42" s="102">
        <v>2332727.2799999998</v>
      </c>
      <c r="S42" s="20">
        <f t="shared" si="52"/>
        <v>100</v>
      </c>
      <c r="T42" s="102">
        <v>2775811.77</v>
      </c>
      <c r="U42" s="102">
        <v>2775811.77</v>
      </c>
      <c r="V42" s="20">
        <f t="shared" si="53"/>
        <v>100</v>
      </c>
      <c r="W42" s="13">
        <f t="shared" si="7"/>
        <v>18.994268802823797</v>
      </c>
      <c r="X42" s="13">
        <f t="shared" si="7"/>
        <v>18.994268802823797</v>
      </c>
    </row>
    <row r="43" spans="1:24" x14ac:dyDescent="0.3">
      <c r="A43" s="5" t="s">
        <v>58</v>
      </c>
      <c r="B43" s="27">
        <v>0</v>
      </c>
      <c r="C43" s="27">
        <v>0</v>
      </c>
      <c r="D43" s="20" t="str">
        <f t="shared" si="47"/>
        <v>-</v>
      </c>
      <c r="E43" s="27">
        <v>0</v>
      </c>
      <c r="F43" s="27">
        <v>0</v>
      </c>
      <c r="G43" s="20" t="str">
        <f t="shared" si="48"/>
        <v>-</v>
      </c>
      <c r="H43" s="102">
        <v>0</v>
      </c>
      <c r="I43" s="102">
        <v>0</v>
      </c>
      <c r="J43" s="20" t="str">
        <f t="shared" si="49"/>
        <v>-</v>
      </c>
      <c r="K43" s="102">
        <v>0</v>
      </c>
      <c r="L43" s="102">
        <v>0</v>
      </c>
      <c r="M43" s="20" t="str">
        <f t="shared" si="50"/>
        <v>-</v>
      </c>
      <c r="N43" s="102">
        <v>0</v>
      </c>
      <c r="O43" s="102">
        <v>0</v>
      </c>
      <c r="P43" s="20" t="str">
        <f t="shared" si="51"/>
        <v>-</v>
      </c>
      <c r="Q43" s="102">
        <v>0</v>
      </c>
      <c r="R43" s="102">
        <v>0</v>
      </c>
      <c r="S43" s="20" t="str">
        <f t="shared" si="52"/>
        <v>-</v>
      </c>
      <c r="T43" s="102">
        <v>0</v>
      </c>
      <c r="U43" s="102">
        <v>0</v>
      </c>
      <c r="V43" s="20" t="str">
        <f t="shared" si="53"/>
        <v>-</v>
      </c>
      <c r="W43" s="13" t="str">
        <f t="shared" si="7"/>
        <v>-</v>
      </c>
      <c r="X43" s="13" t="str">
        <f t="shared" si="7"/>
        <v>-</v>
      </c>
    </row>
    <row r="44" spans="1:24" x14ac:dyDescent="0.3">
      <c r="A44" s="5" t="s">
        <v>59</v>
      </c>
      <c r="B44" s="27">
        <v>0</v>
      </c>
      <c r="C44" s="27">
        <v>0</v>
      </c>
      <c r="D44" s="20" t="str">
        <f t="shared" si="47"/>
        <v>-</v>
      </c>
      <c r="E44" s="27">
        <v>0</v>
      </c>
      <c r="F44" s="27">
        <v>0</v>
      </c>
      <c r="G44" s="20" t="str">
        <f t="shared" si="48"/>
        <v>-</v>
      </c>
      <c r="H44" s="102">
        <v>0</v>
      </c>
      <c r="I44" s="102">
        <v>0</v>
      </c>
      <c r="J44" s="20" t="str">
        <f t="shared" si="49"/>
        <v>-</v>
      </c>
      <c r="K44" s="102">
        <v>0</v>
      </c>
      <c r="L44" s="102">
        <v>0</v>
      </c>
      <c r="M44" s="20" t="str">
        <f t="shared" si="50"/>
        <v>-</v>
      </c>
      <c r="N44" s="102">
        <v>0</v>
      </c>
      <c r="O44" s="102">
        <v>0</v>
      </c>
      <c r="P44" s="20" t="str">
        <f t="shared" si="51"/>
        <v>-</v>
      </c>
      <c r="Q44" s="102">
        <v>0</v>
      </c>
      <c r="R44" s="102">
        <v>0</v>
      </c>
      <c r="S44" s="20" t="str">
        <f t="shared" si="52"/>
        <v>-</v>
      </c>
      <c r="T44" s="102">
        <v>0</v>
      </c>
      <c r="U44" s="102">
        <v>0</v>
      </c>
      <c r="V44" s="20" t="str">
        <f t="shared" si="53"/>
        <v>-</v>
      </c>
      <c r="W44" s="13" t="str">
        <f t="shared" si="7"/>
        <v>-</v>
      </c>
      <c r="X44" s="13" t="str">
        <f t="shared" si="7"/>
        <v>-</v>
      </c>
    </row>
    <row r="45" spans="1:24" x14ac:dyDescent="0.3">
      <c r="A45" s="5" t="s">
        <v>60</v>
      </c>
      <c r="B45" s="27">
        <v>0</v>
      </c>
      <c r="C45" s="27">
        <v>0</v>
      </c>
      <c r="D45" s="20" t="str">
        <f t="shared" si="47"/>
        <v>-</v>
      </c>
      <c r="E45" s="27">
        <v>0</v>
      </c>
      <c r="F45" s="27">
        <v>0</v>
      </c>
      <c r="G45" s="20" t="str">
        <f t="shared" si="48"/>
        <v>-</v>
      </c>
      <c r="H45" s="102">
        <v>0</v>
      </c>
      <c r="I45" s="102">
        <v>0</v>
      </c>
      <c r="J45" s="20" t="str">
        <f t="shared" si="49"/>
        <v>-</v>
      </c>
      <c r="K45" s="102">
        <v>0</v>
      </c>
      <c r="L45" s="102">
        <v>0</v>
      </c>
      <c r="M45" s="20" t="str">
        <f t="shared" si="50"/>
        <v>-</v>
      </c>
      <c r="N45" s="102">
        <v>0</v>
      </c>
      <c r="O45" s="102">
        <v>0</v>
      </c>
      <c r="P45" s="20" t="str">
        <f t="shared" si="51"/>
        <v>-</v>
      </c>
      <c r="Q45" s="102">
        <v>0</v>
      </c>
      <c r="R45" s="102">
        <v>0</v>
      </c>
      <c r="S45" s="20" t="str">
        <f t="shared" si="52"/>
        <v>-</v>
      </c>
      <c r="T45" s="102">
        <v>0</v>
      </c>
      <c r="U45" s="102">
        <v>0</v>
      </c>
      <c r="V45" s="20" t="str">
        <f t="shared" si="53"/>
        <v>-</v>
      </c>
      <c r="W45" s="13" t="str">
        <f t="shared" si="7"/>
        <v>-</v>
      </c>
      <c r="X45" s="13" t="str">
        <f t="shared" si="7"/>
        <v>-</v>
      </c>
    </row>
    <row r="46" spans="1:24" x14ac:dyDescent="0.3">
      <c r="A46" s="5" t="s">
        <v>61</v>
      </c>
      <c r="B46" s="27">
        <v>46466430.590000004</v>
      </c>
      <c r="C46" s="27">
        <v>0</v>
      </c>
      <c r="D46" s="20">
        <f t="shared" si="47"/>
        <v>0</v>
      </c>
      <c r="E46" s="27">
        <v>45455338</v>
      </c>
      <c r="F46" s="27">
        <v>0</v>
      </c>
      <c r="G46" s="20">
        <f t="shared" si="48"/>
        <v>0</v>
      </c>
      <c r="H46" s="102">
        <v>48003473.520000003</v>
      </c>
      <c r="I46" s="102">
        <v>0</v>
      </c>
      <c r="J46" s="20">
        <f t="shared" si="49"/>
        <v>0</v>
      </c>
      <c r="K46" s="102">
        <v>44028261</v>
      </c>
      <c r="L46" s="102">
        <v>0</v>
      </c>
      <c r="M46" s="20">
        <f t="shared" si="50"/>
        <v>0</v>
      </c>
      <c r="N46" s="102">
        <v>43621596.630000003</v>
      </c>
      <c r="O46" s="102">
        <v>0</v>
      </c>
      <c r="P46" s="20">
        <f t="shared" si="51"/>
        <v>0</v>
      </c>
      <c r="Q46" s="1">
        <v>62106098.799999997</v>
      </c>
      <c r="R46" s="102">
        <v>0</v>
      </c>
      <c r="S46" s="20">
        <f t="shared" si="52"/>
        <v>0</v>
      </c>
      <c r="T46" s="1">
        <v>48645174.920000002</v>
      </c>
      <c r="U46" s="102">
        <v>0</v>
      </c>
      <c r="V46" s="20">
        <f t="shared" si="53"/>
        <v>0</v>
      </c>
      <c r="W46" s="13">
        <f t="shared" si="7"/>
        <v>-21.674077329101209</v>
      </c>
      <c r="X46" s="13" t="str">
        <f t="shared" si="7"/>
        <v>-</v>
      </c>
    </row>
    <row r="47" spans="1:24" x14ac:dyDescent="0.3">
      <c r="A47" s="5" t="s">
        <v>62</v>
      </c>
      <c r="B47" s="27">
        <v>3845366.61</v>
      </c>
      <c r="C47" s="27">
        <v>0</v>
      </c>
      <c r="D47" s="20">
        <f t="shared" si="47"/>
        <v>0</v>
      </c>
      <c r="E47" s="27">
        <v>3450945.23</v>
      </c>
      <c r="F47" s="27">
        <v>0</v>
      </c>
      <c r="G47" s="20">
        <f t="shared" si="48"/>
        <v>0</v>
      </c>
      <c r="H47" s="102">
        <v>3631109.27</v>
      </c>
      <c r="I47" s="102">
        <v>0</v>
      </c>
      <c r="J47" s="20">
        <f t="shared" si="49"/>
        <v>0</v>
      </c>
      <c r="K47" s="102">
        <v>3799022.54</v>
      </c>
      <c r="L47" s="102">
        <v>0</v>
      </c>
      <c r="M47" s="20">
        <f t="shared" si="50"/>
        <v>0</v>
      </c>
      <c r="N47" s="102">
        <v>1189954.04</v>
      </c>
      <c r="O47" s="102">
        <v>0</v>
      </c>
      <c r="P47" s="20">
        <f t="shared" si="51"/>
        <v>0</v>
      </c>
      <c r="Q47" s="1">
        <v>1362308.39</v>
      </c>
      <c r="R47" s="102">
        <v>0</v>
      </c>
      <c r="S47" s="20">
        <f t="shared" si="52"/>
        <v>0</v>
      </c>
      <c r="T47" s="1">
        <v>1530228.46</v>
      </c>
      <c r="U47" s="102">
        <v>0</v>
      </c>
      <c r="V47" s="20">
        <f t="shared" si="53"/>
        <v>0</v>
      </c>
      <c r="W47" s="13">
        <f t="shared" si="7"/>
        <v>12.326142247424613</v>
      </c>
      <c r="X47" s="13" t="str">
        <f t="shared" si="7"/>
        <v>-</v>
      </c>
    </row>
    <row r="48" spans="1:24" x14ac:dyDescent="0.3">
      <c r="A48" s="5" t="s">
        <v>63</v>
      </c>
      <c r="B48" s="27">
        <f t="shared" ref="B48:C48" si="54">SUM(B23:B30)</f>
        <v>311922658.02999997</v>
      </c>
      <c r="C48" s="27">
        <f t="shared" si="54"/>
        <v>250319004.18000004</v>
      </c>
      <c r="D48" s="20">
        <f t="shared" si="47"/>
        <v>80.250343389906917</v>
      </c>
      <c r="E48" s="27">
        <f t="shared" ref="E48:F48" si="55">SUM(E23:E30)</f>
        <v>295924552.94999999</v>
      </c>
      <c r="F48" s="27">
        <f t="shared" si="55"/>
        <v>239386372.71000001</v>
      </c>
      <c r="G48" s="20">
        <f t="shared" si="48"/>
        <v>80.894393629597616</v>
      </c>
      <c r="H48" s="102">
        <f t="shared" ref="H48:I48" si="56">SUM(H23:H30)</f>
        <v>313920627.06000006</v>
      </c>
      <c r="I48" s="102">
        <f t="shared" si="56"/>
        <v>254878640.83000001</v>
      </c>
      <c r="J48" s="20">
        <f t="shared" si="49"/>
        <v>81.192065401068632</v>
      </c>
      <c r="K48" s="102">
        <f t="shared" ref="K48:L48" si="57">SUM(K23:K30)</f>
        <v>306774467.61000001</v>
      </c>
      <c r="L48" s="102">
        <f t="shared" si="57"/>
        <v>254596470.35999998</v>
      </c>
      <c r="M48" s="20">
        <f t="shared" si="50"/>
        <v>82.991414619180915</v>
      </c>
      <c r="N48" s="102">
        <f t="shared" ref="N48:O48" si="58">SUM(N23:N30)</f>
        <v>321688203.02999997</v>
      </c>
      <c r="O48" s="102">
        <f t="shared" si="58"/>
        <v>253873920.20000005</v>
      </c>
      <c r="P48" s="20">
        <f t="shared" si="51"/>
        <v>78.919250941982568</v>
      </c>
      <c r="Q48" s="102">
        <f t="shared" ref="Q48:R48" si="59">SUM(Q23:Q30)</f>
        <v>325687840.00999993</v>
      </c>
      <c r="R48" s="102">
        <f t="shared" si="59"/>
        <v>259038939.97</v>
      </c>
      <c r="S48" s="20">
        <f t="shared" si="52"/>
        <v>79.535956872705611</v>
      </c>
      <c r="T48" s="102">
        <f t="shared" ref="T48:U48" si="60">SUM(T23:T30)</f>
        <v>366885734.50999999</v>
      </c>
      <c r="U48" s="102">
        <f t="shared" si="60"/>
        <v>281715697.73000002</v>
      </c>
      <c r="V48" s="20">
        <f t="shared" si="53"/>
        <v>76.785677727767165</v>
      </c>
      <c r="W48" s="13">
        <f t="shared" si="7"/>
        <v>12.649503432100857</v>
      </c>
      <c r="X48" s="13">
        <f t="shared" si="7"/>
        <v>8.7541887573452328</v>
      </c>
    </row>
    <row r="49" spans="1:24" x14ac:dyDescent="0.3">
      <c r="A49" s="5" t="s">
        <v>64</v>
      </c>
      <c r="B49" s="27">
        <f t="shared" ref="B49:C49" si="61">SUM(B31:B35)</f>
        <v>40794740.780000001</v>
      </c>
      <c r="C49" s="27">
        <f t="shared" si="61"/>
        <v>26565276.68</v>
      </c>
      <c r="D49" s="20">
        <f t="shared" si="47"/>
        <v>65.119366300824424</v>
      </c>
      <c r="E49" s="27">
        <f t="shared" ref="E49:F49" si="62">SUM(E31:E35)</f>
        <v>62040271.449999996</v>
      </c>
      <c r="F49" s="27">
        <f t="shared" si="62"/>
        <v>33264769.230000004</v>
      </c>
      <c r="G49" s="20">
        <f t="shared" si="48"/>
        <v>53.618026569740309</v>
      </c>
      <c r="H49" s="102">
        <f t="shared" ref="H49:I49" si="63">SUM(H31:H35)</f>
        <v>41028752.519999996</v>
      </c>
      <c r="I49" s="102">
        <f t="shared" si="63"/>
        <v>29217710.640000001</v>
      </c>
      <c r="J49" s="20">
        <f t="shared" si="49"/>
        <v>71.21276871812627</v>
      </c>
      <c r="K49" s="102">
        <f t="shared" ref="K49:L49" si="64">SUM(K31:K35)</f>
        <v>52374977.450000003</v>
      </c>
      <c r="L49" s="102">
        <f t="shared" si="64"/>
        <v>45132692.369999997</v>
      </c>
      <c r="M49" s="20">
        <f t="shared" si="50"/>
        <v>86.172242103752922</v>
      </c>
      <c r="N49" s="102">
        <f t="shared" ref="N49:O49" si="65">SUM(N31:N35)</f>
        <v>42125641.740000002</v>
      </c>
      <c r="O49" s="102">
        <f t="shared" si="65"/>
        <v>36329343.899999999</v>
      </c>
      <c r="P49" s="20">
        <f t="shared" si="51"/>
        <v>86.240452131804119</v>
      </c>
      <c r="Q49" s="102">
        <f t="shared" ref="Q49:R49" si="66">SUM(Q31:Q35)</f>
        <v>36391044.539999999</v>
      </c>
      <c r="R49" s="102">
        <f t="shared" si="66"/>
        <v>31726650.379999999</v>
      </c>
      <c r="S49" s="20">
        <f t="shared" si="52"/>
        <v>87.182576870325803</v>
      </c>
      <c r="T49" s="102">
        <f t="shared" ref="T49:U49" si="67">SUM(T31:T35)</f>
        <v>37301650.619999997</v>
      </c>
      <c r="U49" s="102">
        <f t="shared" si="67"/>
        <v>30579474.68</v>
      </c>
      <c r="V49" s="20">
        <f t="shared" si="53"/>
        <v>81.978878070356018</v>
      </c>
      <c r="W49" s="13">
        <f t="shared" si="7"/>
        <v>2.5022806888631379</v>
      </c>
      <c r="X49" s="13">
        <f t="shared" si="7"/>
        <v>-3.6158109547018569</v>
      </c>
    </row>
    <row r="50" spans="1:24" x14ac:dyDescent="0.3">
      <c r="A50" s="5" t="s">
        <v>65</v>
      </c>
      <c r="B50" s="27">
        <f t="shared" ref="B50:C50" si="68">SUM(B36:B39)</f>
        <v>4499969.5999999996</v>
      </c>
      <c r="C50" s="27">
        <f t="shared" si="68"/>
        <v>4491972.2</v>
      </c>
      <c r="D50" s="20">
        <f t="shared" si="47"/>
        <v>99.822278799394567</v>
      </c>
      <c r="E50" s="27">
        <f t="shared" ref="E50:F50" si="69">SUM(E36:E39)</f>
        <v>471661.47</v>
      </c>
      <c r="F50" s="27">
        <f t="shared" si="69"/>
        <v>438094.84</v>
      </c>
      <c r="G50" s="20">
        <f t="shared" si="48"/>
        <v>92.883321590801131</v>
      </c>
      <c r="H50" s="102">
        <f t="shared" ref="H50:I50" si="70">SUM(H36:H39)</f>
        <v>0</v>
      </c>
      <c r="I50" s="102">
        <f t="shared" si="70"/>
        <v>0</v>
      </c>
      <c r="J50" s="20" t="str">
        <f t="shared" si="49"/>
        <v>-</v>
      </c>
      <c r="K50" s="102">
        <f t="shared" ref="K50:L50" si="71">SUM(K36:K39)</f>
        <v>0</v>
      </c>
      <c r="L50" s="102">
        <f t="shared" si="71"/>
        <v>0</v>
      </c>
      <c r="M50" s="20" t="str">
        <f t="shared" si="50"/>
        <v>-</v>
      </c>
      <c r="N50" s="102">
        <f t="shared" ref="N50:O50" si="72">SUM(N36:N39)</f>
        <v>0</v>
      </c>
      <c r="O50" s="102">
        <f t="shared" si="72"/>
        <v>0</v>
      </c>
      <c r="P50" s="20" t="str">
        <f t="shared" si="51"/>
        <v>-</v>
      </c>
      <c r="Q50" s="102">
        <f t="shared" ref="Q50:R50" si="73">SUM(Q36:Q39)</f>
        <v>0</v>
      </c>
      <c r="R50" s="102">
        <f t="shared" si="73"/>
        <v>0</v>
      </c>
      <c r="S50" s="20" t="str">
        <f t="shared" si="52"/>
        <v>-</v>
      </c>
      <c r="T50" s="102">
        <f t="shared" ref="T50:U50" si="74">SUM(T36:T39)</f>
        <v>0</v>
      </c>
      <c r="U50" s="102">
        <f t="shared" si="74"/>
        <v>0</v>
      </c>
      <c r="V50" s="20" t="str">
        <f t="shared" si="53"/>
        <v>-</v>
      </c>
      <c r="W50" s="13" t="str">
        <f t="shared" si="7"/>
        <v>-</v>
      </c>
      <c r="X50" s="13" t="str">
        <f t="shared" si="7"/>
        <v>-</v>
      </c>
    </row>
    <row r="51" spans="1:24" x14ac:dyDescent="0.3">
      <c r="A51" s="5" t="s">
        <v>66</v>
      </c>
      <c r="B51" s="27">
        <f t="shared" ref="B51:C51" si="75">SUM(B40:B44)</f>
        <v>6853190.46</v>
      </c>
      <c r="C51" s="27">
        <f t="shared" si="75"/>
        <v>6853190.46</v>
      </c>
      <c r="D51" s="20">
        <f t="shared" si="47"/>
        <v>100</v>
      </c>
      <c r="E51" s="27">
        <f t="shared" ref="E51:F51" si="76">SUM(E40:E44)</f>
        <v>6138703.0099999998</v>
      </c>
      <c r="F51" s="27">
        <f t="shared" si="76"/>
        <v>6138703.0099999998</v>
      </c>
      <c r="G51" s="20">
        <f t="shared" si="48"/>
        <v>100</v>
      </c>
      <c r="H51" s="102">
        <f t="shared" ref="H51:I51" si="77">SUM(H40:H44)</f>
        <v>6408855.29</v>
      </c>
      <c r="I51" s="102">
        <f t="shared" si="77"/>
        <v>6408855.29</v>
      </c>
      <c r="J51" s="20">
        <f t="shared" si="49"/>
        <v>100</v>
      </c>
      <c r="K51" s="102">
        <f t="shared" ref="K51:L51" si="78">SUM(K40:K44)</f>
        <v>6078636.3099999996</v>
      </c>
      <c r="L51" s="102">
        <f t="shared" si="78"/>
        <v>6078636.3099999996</v>
      </c>
      <c r="M51" s="20">
        <f t="shared" si="50"/>
        <v>100</v>
      </c>
      <c r="N51" s="102">
        <f t="shared" ref="N51:O51" si="79">SUM(N40:N44)</f>
        <v>1723986.64</v>
      </c>
      <c r="O51" s="102">
        <f t="shared" si="79"/>
        <v>1723986.64</v>
      </c>
      <c r="P51" s="20">
        <f t="shared" si="51"/>
        <v>100</v>
      </c>
      <c r="Q51" s="102">
        <f t="shared" ref="Q51:R51" si="80">SUM(Q40:Q44)</f>
        <v>2332727.2799999998</v>
      </c>
      <c r="R51" s="102">
        <f t="shared" si="80"/>
        <v>2332727.2799999998</v>
      </c>
      <c r="S51" s="20">
        <f t="shared" si="52"/>
        <v>100</v>
      </c>
      <c r="T51" s="102">
        <f t="shared" ref="T51:U51" si="81">SUM(T40:T44)</f>
        <v>2775811.77</v>
      </c>
      <c r="U51" s="102">
        <f t="shared" si="81"/>
        <v>2775811.77</v>
      </c>
      <c r="V51" s="20">
        <f t="shared" si="53"/>
        <v>100</v>
      </c>
      <c r="W51" s="13">
        <f t="shared" si="7"/>
        <v>18.994268802823797</v>
      </c>
      <c r="X51" s="13">
        <f t="shared" si="7"/>
        <v>18.994268802823797</v>
      </c>
    </row>
    <row r="52" spans="1:24" x14ac:dyDescent="0.3">
      <c r="A52" s="5" t="s">
        <v>67</v>
      </c>
      <c r="B52" s="27">
        <f t="shared" ref="B52:C52" si="82">B45</f>
        <v>0</v>
      </c>
      <c r="C52" s="27">
        <f t="shared" si="82"/>
        <v>0</v>
      </c>
      <c r="D52" s="20" t="str">
        <f t="shared" si="47"/>
        <v>-</v>
      </c>
      <c r="E52" s="27">
        <f t="shared" ref="E52:F52" si="83">E45</f>
        <v>0</v>
      </c>
      <c r="F52" s="27">
        <f t="shared" si="83"/>
        <v>0</v>
      </c>
      <c r="G52" s="20" t="str">
        <f t="shared" si="48"/>
        <v>-</v>
      </c>
      <c r="H52" s="102">
        <f t="shared" ref="H52:I52" si="84">H45</f>
        <v>0</v>
      </c>
      <c r="I52" s="102">
        <f t="shared" si="84"/>
        <v>0</v>
      </c>
      <c r="J52" s="20" t="str">
        <f t="shared" si="49"/>
        <v>-</v>
      </c>
      <c r="K52" s="102">
        <f t="shared" ref="K52:L52" si="85">K45</f>
        <v>0</v>
      </c>
      <c r="L52" s="102">
        <f t="shared" si="85"/>
        <v>0</v>
      </c>
      <c r="M52" s="20" t="str">
        <f t="shared" si="50"/>
        <v>-</v>
      </c>
      <c r="N52" s="102">
        <f t="shared" ref="N52:O52" si="86">N45</f>
        <v>0</v>
      </c>
      <c r="O52" s="102">
        <f t="shared" si="86"/>
        <v>0</v>
      </c>
      <c r="P52" s="20" t="str">
        <f t="shared" si="51"/>
        <v>-</v>
      </c>
      <c r="Q52" s="102">
        <f t="shared" ref="Q52:R52" si="87">Q45</f>
        <v>0</v>
      </c>
      <c r="R52" s="102">
        <f t="shared" si="87"/>
        <v>0</v>
      </c>
      <c r="S52" s="20" t="str">
        <f t="shared" si="52"/>
        <v>-</v>
      </c>
      <c r="T52" s="102">
        <f t="shared" ref="T52:U52" si="88">T45</f>
        <v>0</v>
      </c>
      <c r="U52" s="102">
        <f t="shared" si="88"/>
        <v>0</v>
      </c>
      <c r="V52" s="20" t="str">
        <f t="shared" si="53"/>
        <v>-</v>
      </c>
      <c r="W52" s="13" t="str">
        <f t="shared" si="7"/>
        <v>-</v>
      </c>
      <c r="X52" s="13" t="str">
        <f t="shared" si="7"/>
        <v>-</v>
      </c>
    </row>
    <row r="53" spans="1:24" x14ac:dyDescent="0.3">
      <c r="A53" s="5" t="s">
        <v>68</v>
      </c>
      <c r="B53" s="27">
        <f>SUM(B46:B47)</f>
        <v>50311797.200000003</v>
      </c>
      <c r="C53" s="29">
        <v>40385512.5</v>
      </c>
      <c r="D53" s="20">
        <f t="shared" si="47"/>
        <v>80.27046288857278</v>
      </c>
      <c r="E53" s="27">
        <f>SUM(E46:E47)</f>
        <v>48906283.229999997</v>
      </c>
      <c r="F53" s="29">
        <v>40450247.549999997</v>
      </c>
      <c r="G53" s="20">
        <f t="shared" si="48"/>
        <v>82.70971515003022</v>
      </c>
      <c r="H53" s="102">
        <f>SUM(H46:H47)</f>
        <v>51634582.790000007</v>
      </c>
      <c r="I53" s="104">
        <v>44208957.479999997</v>
      </c>
      <c r="J53" s="20">
        <f t="shared" si="49"/>
        <v>85.618891625017412</v>
      </c>
      <c r="K53" s="102">
        <f>SUM(K46:K47)</f>
        <v>47827283.539999999</v>
      </c>
      <c r="L53" s="104">
        <v>40541599.869999997</v>
      </c>
      <c r="M53" s="20">
        <f t="shared" si="50"/>
        <v>84.766678910570619</v>
      </c>
      <c r="N53" s="102">
        <f>SUM(N46:N47)</f>
        <v>44811550.670000002</v>
      </c>
      <c r="O53" s="104">
        <v>37890331.210000001</v>
      </c>
      <c r="P53" s="20">
        <f t="shared" si="51"/>
        <v>84.554831608106895</v>
      </c>
      <c r="Q53" s="102">
        <f>SUM(Q46:Q47)</f>
        <v>63468407.189999998</v>
      </c>
      <c r="R53" s="104">
        <v>58276485.289999999</v>
      </c>
      <c r="S53" s="20">
        <f t="shared" si="52"/>
        <v>91.819675126780183</v>
      </c>
      <c r="T53" s="102">
        <f>SUM(T46:T47)</f>
        <v>50175403.380000003</v>
      </c>
      <c r="U53" s="104">
        <v>40612674.130000003</v>
      </c>
      <c r="V53" s="20">
        <f t="shared" si="53"/>
        <v>80.941400355912791</v>
      </c>
      <c r="W53" s="13">
        <f t="shared" si="7"/>
        <v>-20.944284563823786</v>
      </c>
      <c r="X53" s="13">
        <f t="shared" si="7"/>
        <v>-30.31035772335953</v>
      </c>
    </row>
    <row r="54" spans="1:24" x14ac:dyDescent="0.3">
      <c r="A54" s="5" t="s">
        <v>69</v>
      </c>
      <c r="B54" s="19">
        <f t="shared" ref="B54:C54" si="89">SUM(B48:B53)</f>
        <v>414382356.06999993</v>
      </c>
      <c r="C54" s="19">
        <f t="shared" si="89"/>
        <v>328614956.01999998</v>
      </c>
      <c r="D54" s="20">
        <f t="shared" si="47"/>
        <v>79.30235233386442</v>
      </c>
      <c r="E54" s="24">
        <f t="shared" ref="E54:F54" si="90">SUM(E48:E53)</f>
        <v>413481472.11000001</v>
      </c>
      <c r="F54" s="19">
        <f t="shared" si="90"/>
        <v>319678187.33999997</v>
      </c>
      <c r="G54" s="20">
        <f t="shared" si="48"/>
        <v>77.313787655025763</v>
      </c>
      <c r="H54" s="24">
        <f t="shared" ref="H54:I54" si="91">SUM(H48:H53)</f>
        <v>412992817.66000009</v>
      </c>
      <c r="I54" s="19">
        <f t="shared" si="91"/>
        <v>334714164.24000007</v>
      </c>
      <c r="J54" s="20">
        <f t="shared" si="49"/>
        <v>81.046001268611988</v>
      </c>
      <c r="K54" s="24">
        <f t="shared" ref="K54:L54" si="92">SUM(K48:K53)</f>
        <v>413055364.91000003</v>
      </c>
      <c r="L54" s="19">
        <f t="shared" si="92"/>
        <v>346349398.90999997</v>
      </c>
      <c r="M54" s="20">
        <f t="shared" si="50"/>
        <v>83.850599298102694</v>
      </c>
      <c r="N54" s="24">
        <f t="shared" ref="N54:O54" si="93">SUM(N48:N53)</f>
        <v>410349382.07999998</v>
      </c>
      <c r="O54" s="19">
        <f t="shared" si="93"/>
        <v>329817581.94999999</v>
      </c>
      <c r="P54" s="20">
        <f t="shared" si="51"/>
        <v>80.374821153185053</v>
      </c>
      <c r="Q54" s="24">
        <f t="shared" ref="Q54:R54" si="94">SUM(Q48:Q53)</f>
        <v>427880019.01999992</v>
      </c>
      <c r="R54" s="19">
        <f t="shared" si="94"/>
        <v>351374802.92000002</v>
      </c>
      <c r="S54" s="20">
        <f t="shared" si="52"/>
        <v>82.119937202203431</v>
      </c>
      <c r="T54" s="24">
        <f t="shared" ref="T54:U54" si="95">SUM(T48:T53)</f>
        <v>457138600.27999997</v>
      </c>
      <c r="U54" s="19">
        <f t="shared" si="95"/>
        <v>355683658.31</v>
      </c>
      <c r="V54" s="20">
        <f t="shared" si="53"/>
        <v>77.806524780918025</v>
      </c>
      <c r="W54" s="13">
        <f t="shared" si="7"/>
        <v>6.8380340187449633</v>
      </c>
      <c r="X54" s="13">
        <f t="shared" si="7"/>
        <v>1.22628468353237</v>
      </c>
    </row>
    <row r="55" spans="1:24" x14ac:dyDescent="0.3">
      <c r="A55" s="14" t="s">
        <v>70</v>
      </c>
      <c r="B55" s="15">
        <f t="shared" ref="B55:F55" si="96">B54-B53</f>
        <v>364070558.86999995</v>
      </c>
      <c r="C55" s="15">
        <f t="shared" si="96"/>
        <v>288229443.51999998</v>
      </c>
      <c r="D55" s="21">
        <f t="shared" si="47"/>
        <v>79.168566778540082</v>
      </c>
      <c r="E55" s="25">
        <f t="shared" si="96"/>
        <v>364575188.88</v>
      </c>
      <c r="F55" s="15">
        <f t="shared" si="96"/>
        <v>279227939.78999996</v>
      </c>
      <c r="G55" s="21">
        <f t="shared" si="48"/>
        <v>76.589945862143651</v>
      </c>
      <c r="H55" s="25">
        <f t="shared" ref="H55:I55" si="97">H54-H53</f>
        <v>361358234.87000006</v>
      </c>
      <c r="I55" s="15">
        <f t="shared" si="97"/>
        <v>290505206.76000005</v>
      </c>
      <c r="J55" s="21">
        <f t="shared" si="49"/>
        <v>80.392579641781339</v>
      </c>
      <c r="K55" s="25">
        <f t="shared" ref="K55:L55" si="98">K54-K53</f>
        <v>365228081.37</v>
      </c>
      <c r="L55" s="15">
        <f t="shared" si="98"/>
        <v>305807799.03999996</v>
      </c>
      <c r="M55" s="21">
        <f t="shared" si="50"/>
        <v>83.730637001648461</v>
      </c>
      <c r="N55" s="25">
        <f t="shared" ref="N55:O55" si="99">N54-N53</f>
        <v>365537831.40999997</v>
      </c>
      <c r="O55" s="15">
        <f t="shared" si="99"/>
        <v>291927250.74000001</v>
      </c>
      <c r="P55" s="21">
        <f t="shared" si="51"/>
        <v>79.862390607817616</v>
      </c>
      <c r="Q55" s="25">
        <f t="shared" ref="Q55:R55" si="100">Q54-Q53</f>
        <v>364411611.82999992</v>
      </c>
      <c r="R55" s="15">
        <f t="shared" si="100"/>
        <v>293098317.63</v>
      </c>
      <c r="S55" s="21">
        <f t="shared" si="52"/>
        <v>80.430564810523109</v>
      </c>
      <c r="T55" s="25">
        <f t="shared" ref="T55:U55" si="101">T54-T53</f>
        <v>406963196.89999998</v>
      </c>
      <c r="U55" s="15">
        <f t="shared" si="101"/>
        <v>315070984.18000001</v>
      </c>
      <c r="V55" s="21">
        <f t="shared" si="53"/>
        <v>77.420018955035886</v>
      </c>
      <c r="W55" s="16">
        <f t="shared" si="7"/>
        <v>11.676791762017345</v>
      </c>
      <c r="X55" s="16">
        <f t="shared" si="7"/>
        <v>7.4966880491404737</v>
      </c>
    </row>
    <row r="56" spans="1:24" x14ac:dyDescent="0.3">
      <c r="A56" s="5" t="s">
        <v>71</v>
      </c>
      <c r="B56" s="28">
        <f t="shared" ref="B56:C57" si="102">B14-B48</f>
        <v>34541537.75</v>
      </c>
      <c r="C56" s="28">
        <f t="shared" si="102"/>
        <v>-7363328.1900000274</v>
      </c>
      <c r="D56" s="22"/>
      <c r="E56" s="28">
        <f t="shared" ref="E56:F57" si="103">E14-E48</f>
        <v>37009574.029999971</v>
      </c>
      <c r="F56" s="28">
        <f t="shared" si="103"/>
        <v>7299435.7399999797</v>
      </c>
      <c r="G56" s="22"/>
      <c r="H56" s="28">
        <f t="shared" ref="H56:I57" si="104">H14-H48</f>
        <v>26312770.329999924</v>
      </c>
      <c r="I56" s="28">
        <f t="shared" si="104"/>
        <v>4083605.9699999988</v>
      </c>
      <c r="J56" s="22"/>
      <c r="K56" s="28">
        <f t="shared" ref="K56:L56" si="105">K14-K48</f>
        <v>51701469.339999974</v>
      </c>
      <c r="L56" s="28">
        <f t="shared" si="105"/>
        <v>10971720.719999999</v>
      </c>
      <c r="M56" s="22"/>
      <c r="N56" s="28">
        <f t="shared" ref="N56:O56" si="106">N14-N48</f>
        <v>58462215.190000057</v>
      </c>
      <c r="O56" s="28">
        <f t="shared" si="106"/>
        <v>22391039.639999926</v>
      </c>
      <c r="P56" s="22"/>
      <c r="Q56" s="28">
        <f t="shared" ref="Q56:R56" si="107">Q14-Q48</f>
        <v>54582916.160000086</v>
      </c>
      <c r="R56" s="28">
        <f t="shared" si="107"/>
        <v>16867855.119999975</v>
      </c>
      <c r="S56" s="22"/>
      <c r="T56" s="28">
        <f t="shared" ref="T56:U57" si="108">T14-T48</f>
        <v>21511371.039999962</v>
      </c>
      <c r="U56" s="28">
        <f t="shared" si="108"/>
        <v>-3608326.9200000167</v>
      </c>
      <c r="V56" s="22"/>
      <c r="W56" s="13">
        <f t="shared" si="7"/>
        <v>-60.58955337427701</v>
      </c>
      <c r="X56" s="13">
        <f t="shared" si="7"/>
        <v>-121.39173531151377</v>
      </c>
    </row>
    <row r="57" spans="1:24" x14ac:dyDescent="0.3">
      <c r="A57" s="5" t="s">
        <v>72</v>
      </c>
      <c r="B57" s="28">
        <f t="shared" si="102"/>
        <v>-20578350.850000001</v>
      </c>
      <c r="C57" s="28">
        <f t="shared" si="102"/>
        <v>-13901572.73</v>
      </c>
      <c r="D57" s="22"/>
      <c r="E57" s="28">
        <f t="shared" si="103"/>
        <v>-9515225.6499999985</v>
      </c>
      <c r="F57" s="28">
        <f t="shared" si="103"/>
        <v>-8964273.3900000043</v>
      </c>
      <c r="G57" s="22"/>
      <c r="H57" s="28">
        <f t="shared" si="104"/>
        <v>-7537183.1899999976</v>
      </c>
      <c r="I57" s="28">
        <f t="shared" si="104"/>
        <v>-4899777.7799999975</v>
      </c>
      <c r="J57" s="22"/>
      <c r="K57" s="28">
        <f t="shared" ref="K57:L57" si="109">K15-K49</f>
        <v>-11607746.420000002</v>
      </c>
      <c r="L57" s="28">
        <f t="shared" si="109"/>
        <v>-17294403.099999994</v>
      </c>
      <c r="M57" s="22"/>
      <c r="N57" s="28">
        <f t="shared" ref="N57:O57" si="110">N15-N49</f>
        <v>-737167.3900000006</v>
      </c>
      <c r="O57" s="28">
        <f t="shared" si="110"/>
        <v>-16501241.689999998</v>
      </c>
      <c r="P57" s="22"/>
      <c r="Q57" s="28">
        <f t="shared" ref="Q57:R57" si="111">Q15-Q49</f>
        <v>-5486033.8199999966</v>
      </c>
      <c r="R57" s="28">
        <f t="shared" si="111"/>
        <v>-12537003.929999996</v>
      </c>
      <c r="S57" s="22"/>
      <c r="T57" s="28">
        <f t="shared" si="108"/>
        <v>51819414.93</v>
      </c>
      <c r="U57" s="28">
        <f t="shared" si="108"/>
        <v>47432489.630000003</v>
      </c>
      <c r="V57" s="22"/>
      <c r="W57" s="13" t="str">
        <f t="shared" si="7"/>
        <v>-</v>
      </c>
      <c r="X57" s="13" t="str">
        <f t="shared" si="7"/>
        <v>-</v>
      </c>
    </row>
    <row r="58" spans="1:24" x14ac:dyDescent="0.3">
      <c r="A58" s="5" t="s">
        <v>357</v>
      </c>
      <c r="B58" s="28">
        <f t="shared" ref="B58:C58" si="112">SUM(B14:B16)-SUM(B48:B50)</f>
        <v>13963186.900000036</v>
      </c>
      <c r="C58" s="28">
        <f t="shared" si="112"/>
        <v>-22161457.75999999</v>
      </c>
      <c r="D58" s="22"/>
      <c r="E58" s="28">
        <f t="shared" ref="E58:F58" si="113">SUM(E14:E16)-SUM(E48:E50)</f>
        <v>27494348.379999995</v>
      </c>
      <c r="F58" s="28">
        <f t="shared" si="113"/>
        <v>-2100798.9800000191</v>
      </c>
      <c r="G58" s="22"/>
      <c r="H58" s="28">
        <f t="shared" ref="H58:I58" si="114">SUM(H14:H16)-SUM(H48:H50)</f>
        <v>18775587.139999926</v>
      </c>
      <c r="I58" s="28">
        <f t="shared" si="114"/>
        <v>-816171.81000000238</v>
      </c>
      <c r="J58" s="22"/>
      <c r="K58" s="28">
        <f t="shared" ref="K58:L58" si="115">SUM(K14:K16)-SUM(K48:K50)</f>
        <v>40093722.920000017</v>
      </c>
      <c r="L58" s="28">
        <f t="shared" si="115"/>
        <v>-6322682.3799999952</v>
      </c>
      <c r="M58" s="22"/>
      <c r="N58" s="28">
        <f t="shared" ref="N58:O58" si="116">SUM(N14:N16)-SUM(N48:N50)</f>
        <v>57725047.800000072</v>
      </c>
      <c r="O58" s="28">
        <f t="shared" si="116"/>
        <v>5889797.9499999285</v>
      </c>
      <c r="P58" s="22"/>
      <c r="Q58" s="28">
        <f t="shared" ref="Q58:R58" si="117">SUM(Q14:Q16)-SUM(Q48:Q50)</f>
        <v>49096882.340000093</v>
      </c>
      <c r="R58" s="28">
        <f t="shared" si="117"/>
        <v>4330851.189999938</v>
      </c>
      <c r="S58" s="22"/>
      <c r="T58" s="28">
        <f t="shared" ref="T58:U58" si="118">SUM(T14:T16)-SUM(T48:T50)</f>
        <v>73330785.969999969</v>
      </c>
      <c r="U58" s="28">
        <f t="shared" si="118"/>
        <v>43824162.709999979</v>
      </c>
      <c r="V58" s="22"/>
      <c r="W58" s="13">
        <f t="shared" si="7"/>
        <v>49.359353333635369</v>
      </c>
      <c r="X58" s="13">
        <f t="shared" si="7"/>
        <v>911.90645412133426</v>
      </c>
    </row>
    <row r="59" spans="1:24" x14ac:dyDescent="0.3">
      <c r="A59" s="5" t="s">
        <v>358</v>
      </c>
      <c r="B59" s="28">
        <f t="shared" ref="B59:C59" si="119">B21-B55</f>
        <v>7109996.4400000572</v>
      </c>
      <c r="C59" s="28">
        <f t="shared" si="119"/>
        <v>-29014648.219999999</v>
      </c>
      <c r="D59" s="108"/>
      <c r="E59" s="28">
        <f t="shared" ref="E59:F59" si="120">E21-E55</f>
        <v>24353645.370000005</v>
      </c>
      <c r="F59" s="28">
        <f t="shared" si="120"/>
        <v>-5241501.9900000095</v>
      </c>
      <c r="G59" s="108"/>
      <c r="H59" s="28">
        <f t="shared" ref="H59:I59" si="121">H21-H55</f>
        <v>12366731.849999905</v>
      </c>
      <c r="I59" s="28">
        <f t="shared" si="121"/>
        <v>-7225027.1000000238</v>
      </c>
      <c r="J59" s="108"/>
      <c r="K59" s="28">
        <f t="shared" ref="K59:L59" si="122">K21-K55</f>
        <v>34015086.610000014</v>
      </c>
      <c r="L59" s="28">
        <f t="shared" si="122"/>
        <v>-12401318.689999998</v>
      </c>
      <c r="M59" s="108"/>
      <c r="N59" s="28">
        <f t="shared" ref="N59:O59" si="123">N21-N55</f>
        <v>56001061.160000086</v>
      </c>
      <c r="O59" s="28">
        <f t="shared" si="123"/>
        <v>4165811.3099999428</v>
      </c>
      <c r="P59" s="108"/>
      <c r="Q59" s="28">
        <f t="shared" ref="Q59:R59" si="124">Q21-Q55</f>
        <v>58264155.060000122</v>
      </c>
      <c r="R59" s="28">
        <f t="shared" si="124"/>
        <v>1998123.9099999666</v>
      </c>
      <c r="S59" s="108"/>
      <c r="T59" s="28">
        <f t="shared" ref="T59:U59" si="125">T21-T55</f>
        <v>70554974.199999988</v>
      </c>
      <c r="U59" s="28">
        <f t="shared" si="125"/>
        <v>41048350.939999998</v>
      </c>
      <c r="V59" s="108"/>
    </row>
    <row r="60" spans="1:24" x14ac:dyDescent="0.3">
      <c r="A60" s="5" t="s">
        <v>359</v>
      </c>
      <c r="C60" s="6">
        <f>SUM(C14:C16)/SUM(B14:B16)*100</f>
        <v>69.835230211213727</v>
      </c>
      <c r="D60" s="108"/>
      <c r="F60" s="6">
        <f>SUM(F14:F16)/SUM(E14:E16)*100</f>
        <v>70.216840363798923</v>
      </c>
      <c r="G60" s="108"/>
      <c r="I60" s="6">
        <f>SUM(I14:I16)/SUM(H14:H16)*100</f>
        <v>75.79910492633411</v>
      </c>
      <c r="J60" s="108"/>
      <c r="L60" s="6">
        <f>SUM(L14:L16)/SUM(K14:K16)*100</f>
        <v>73.490670318671064</v>
      </c>
      <c r="M60" s="108"/>
      <c r="O60" s="6">
        <f>SUM(O14:O16)/SUM(N14:N16)*100</f>
        <v>70.240983043060794</v>
      </c>
      <c r="P60" s="108"/>
      <c r="R60" s="6">
        <f>SUM(R14:R16)/SUM(Q14:Q16)*100</f>
        <v>71.768928351982808</v>
      </c>
      <c r="S60" s="108"/>
      <c r="U60" s="6">
        <f>SUM(U14:U16)/SUM(T14:T16)*100</f>
        <v>74.577127462951125</v>
      </c>
      <c r="V60" s="108"/>
    </row>
    <row r="61" spans="1:24" x14ac:dyDescent="0.3">
      <c r="A61" s="5" t="s">
        <v>360</v>
      </c>
      <c r="C61" s="6">
        <f>SUM(C48:C50)/SUM(B48:B50)*100</f>
        <v>78.768917175675369</v>
      </c>
      <c r="D61" s="108"/>
      <c r="F61" s="6">
        <f>SUM(F48:F50)/SUM(E48:E50)*100</f>
        <v>76.189017453721405</v>
      </c>
      <c r="G61" s="108"/>
      <c r="I61" s="6">
        <f>SUM(I48:I50)/SUM(H48:H50)*100</f>
        <v>80.038554175291679</v>
      </c>
      <c r="J61" s="108"/>
      <c r="L61" s="6">
        <f>SUM(L48:L50)/SUM(K48:K50)*100</f>
        <v>83.45527658546898</v>
      </c>
      <c r="M61" s="108"/>
      <c r="O61" s="6">
        <f>SUM(O48:O50)/SUM(N48:N50)*100</f>
        <v>79.766965515967115</v>
      </c>
      <c r="P61" s="108"/>
      <c r="R61" s="6">
        <f>SUM(R48:R50)/SUM(Q48:Q50)*100</f>
        <v>80.30448688311948</v>
      </c>
      <c r="S61" s="108"/>
      <c r="U61" s="6">
        <f>SUM(U48:U50)/SUM(T48:T50)*100</f>
        <v>77.26494786806758</v>
      </c>
      <c r="V61" s="108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opLeftCell="A40" workbookViewId="0">
      <selection sqref="A1:J27"/>
    </sheetView>
  </sheetViews>
  <sheetFormatPr defaultRowHeight="14.4" x14ac:dyDescent="0.3"/>
  <cols>
    <col min="1" max="1" width="51.6640625" style="32" bestFit="1" customWidth="1"/>
    <col min="2" max="12" width="12.6640625" bestFit="1" customWidth="1"/>
  </cols>
  <sheetData>
    <row r="1" spans="1:10" x14ac:dyDescent="0.3">
      <c r="A1" s="73"/>
      <c r="B1" s="99">
        <v>2014</v>
      </c>
      <c r="C1" s="99">
        <v>2015</v>
      </c>
      <c r="D1" s="99">
        <v>2016</v>
      </c>
      <c r="E1" s="69">
        <v>2017</v>
      </c>
      <c r="F1" s="69">
        <v>2018</v>
      </c>
      <c r="G1" s="69">
        <v>2019</v>
      </c>
      <c r="H1" s="69">
        <v>2020</v>
      </c>
      <c r="I1" s="69">
        <v>2021</v>
      </c>
      <c r="J1" s="69">
        <v>2022</v>
      </c>
    </row>
    <row r="2" spans="1:10" x14ac:dyDescent="0.3">
      <c r="A2" s="32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</row>
    <row r="3" spans="1:10" x14ac:dyDescent="0.3">
      <c r="A3" s="32" t="s">
        <v>213</v>
      </c>
      <c r="B3" s="1">
        <v>8864182.5600000005</v>
      </c>
      <c r="C3" s="1">
        <v>9345856.4600000009</v>
      </c>
      <c r="D3" s="1">
        <v>8191000.6200000001</v>
      </c>
      <c r="E3" s="1">
        <v>4077656.43</v>
      </c>
      <c r="F3" s="1">
        <v>5298032.32</v>
      </c>
      <c r="G3" s="1">
        <v>5679313.3499999996</v>
      </c>
      <c r="H3" s="1">
        <v>6115937.7800000003</v>
      </c>
      <c r="I3" s="1">
        <v>6247983.8499999996</v>
      </c>
      <c r="J3" s="1">
        <v>6483538.9699999997</v>
      </c>
    </row>
    <row r="4" spans="1:10" x14ac:dyDescent="0.3">
      <c r="A4" s="32" t="s">
        <v>214</v>
      </c>
      <c r="B4" s="1">
        <v>1188465363.53</v>
      </c>
      <c r="C4" s="1">
        <v>1222380474.23</v>
      </c>
      <c r="D4" s="1">
        <v>1279828116.6900001</v>
      </c>
      <c r="E4" s="1">
        <v>1285935025.3599999</v>
      </c>
      <c r="F4" s="1">
        <v>1271096179.23</v>
      </c>
      <c r="G4" s="1">
        <v>1271469113.05</v>
      </c>
      <c r="H4" s="1">
        <v>1271284074.3900001</v>
      </c>
      <c r="I4" s="1">
        <v>1260553116.74</v>
      </c>
      <c r="J4" s="1">
        <v>1251919868.49</v>
      </c>
    </row>
    <row r="5" spans="1:10" x14ac:dyDescent="0.3">
      <c r="A5" s="32" t="s">
        <v>228</v>
      </c>
      <c r="B5" s="1">
        <f>49463490+3098.7+26744706.91</f>
        <v>76211295.609999999</v>
      </c>
      <c r="C5" s="1">
        <f>51261583.67+3100.2+30753825.29</f>
        <v>82018509.159999996</v>
      </c>
      <c r="D5" s="1">
        <v>90127022.75</v>
      </c>
      <c r="E5" s="1">
        <v>95302802.129999995</v>
      </c>
      <c r="F5" s="1">
        <v>96987472.819999993</v>
      </c>
      <c r="G5" s="1">
        <v>98245659.739999995</v>
      </c>
      <c r="H5" s="1">
        <v>103558154.27</v>
      </c>
      <c r="I5" s="1">
        <v>110830354.45</v>
      </c>
      <c r="J5" s="1">
        <v>115306437.34999999</v>
      </c>
    </row>
    <row r="6" spans="1:10" x14ac:dyDescent="0.3">
      <c r="A6" s="32" t="s">
        <v>229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x14ac:dyDescent="0.3">
      <c r="A7" s="32" t="s">
        <v>230</v>
      </c>
      <c r="B7" s="1">
        <v>109177.46</v>
      </c>
      <c r="C7" s="1">
        <v>109177.46</v>
      </c>
      <c r="D7" s="1">
        <v>126425.24</v>
      </c>
      <c r="E7" s="1">
        <v>123629.84</v>
      </c>
      <c r="F7" s="1">
        <v>26012.3</v>
      </c>
      <c r="G7" s="1">
        <v>2218.1799999999998</v>
      </c>
      <c r="H7" s="1">
        <v>2218.1799999999998</v>
      </c>
      <c r="I7" s="1">
        <v>2218.1799999999998</v>
      </c>
      <c r="J7" s="1">
        <v>2218.1799999999998</v>
      </c>
    </row>
    <row r="8" spans="1:10" x14ac:dyDescent="0.3">
      <c r="A8" s="32" t="s">
        <v>231</v>
      </c>
      <c r="B8" s="1">
        <v>331743.28000000003</v>
      </c>
      <c r="C8" s="1">
        <v>313733.11</v>
      </c>
      <c r="D8" s="1">
        <v>321447.78999999998</v>
      </c>
      <c r="E8" s="1">
        <v>297682.19</v>
      </c>
      <c r="F8" s="1">
        <v>295846.88</v>
      </c>
      <c r="G8" s="1">
        <v>287174.19</v>
      </c>
      <c r="H8" s="1">
        <v>296185.94</v>
      </c>
      <c r="I8" s="1">
        <v>304882.21000000002</v>
      </c>
      <c r="J8" s="1">
        <v>315045.93</v>
      </c>
    </row>
    <row r="9" spans="1:10" x14ac:dyDescent="0.3">
      <c r="A9" s="32" t="s">
        <v>215</v>
      </c>
      <c r="B9" s="1">
        <v>330078590.97000003</v>
      </c>
      <c r="C9" s="1">
        <v>175347781.93000001</v>
      </c>
      <c r="D9" s="1">
        <v>204726484.66999999</v>
      </c>
      <c r="E9" s="1">
        <v>180868122.09</v>
      </c>
      <c r="F9" s="1">
        <v>144197837.91999999</v>
      </c>
      <c r="G9" s="1">
        <v>135319632.86000001</v>
      </c>
      <c r="H9" s="1">
        <v>163595786.55000001</v>
      </c>
      <c r="I9" s="1">
        <v>174874825.86000001</v>
      </c>
      <c r="J9" s="1">
        <v>163542918.94999999</v>
      </c>
    </row>
    <row r="10" spans="1:10" x14ac:dyDescent="0.3">
      <c r="A10" s="32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 x14ac:dyDescent="0.3">
      <c r="A11" s="32" t="s">
        <v>216</v>
      </c>
      <c r="B11" s="1">
        <v>191777361.41999999</v>
      </c>
      <c r="C11" s="1">
        <v>217085052.24000001</v>
      </c>
      <c r="D11" s="1">
        <v>217165638.80000001</v>
      </c>
      <c r="E11" s="1">
        <v>226754708.61000001</v>
      </c>
      <c r="F11" s="1">
        <v>234989927.78999999</v>
      </c>
      <c r="G11" s="1">
        <v>244609007.63999999</v>
      </c>
      <c r="H11" s="1">
        <v>257064285.88999999</v>
      </c>
      <c r="I11" s="1">
        <v>287948728.43000001</v>
      </c>
      <c r="J11" s="1">
        <v>360739111.10000002</v>
      </c>
    </row>
    <row r="12" spans="1:10" x14ac:dyDescent="0.3">
      <c r="A12" s="32" t="s">
        <v>217</v>
      </c>
      <c r="B12" s="1">
        <v>257919.91</v>
      </c>
      <c r="C12" s="1">
        <v>2488967.44</v>
      </c>
      <c r="D12" s="1">
        <v>2709130.83</v>
      </c>
      <c r="E12" s="1">
        <v>4008185.67</v>
      </c>
      <c r="F12" s="1">
        <v>3214278.84</v>
      </c>
      <c r="G12" s="1">
        <v>3588300.77</v>
      </c>
      <c r="H12" s="1">
        <v>3880259.77</v>
      </c>
      <c r="I12" s="1">
        <v>4211851.29</v>
      </c>
      <c r="J12" s="1">
        <v>4566802.7699999996</v>
      </c>
    </row>
    <row r="13" spans="1:10" x14ac:dyDescent="0.3">
      <c r="A13" s="10" t="s">
        <v>218</v>
      </c>
      <c r="B13" s="11">
        <f t="shared" ref="B13" si="0">SUM(B2:B12)</f>
        <v>1796095634.74</v>
      </c>
      <c r="C13" s="11">
        <f t="shared" ref="C13:F13" si="1">SUM(C2:C12)</f>
        <v>1709089552.0300002</v>
      </c>
      <c r="D13" s="11">
        <f t="shared" si="1"/>
        <v>1803195267.3899999</v>
      </c>
      <c r="E13" s="11">
        <f t="shared" si="1"/>
        <v>1797367812.3200002</v>
      </c>
      <c r="F13" s="11">
        <f t="shared" si="1"/>
        <v>1756105588.0999999</v>
      </c>
      <c r="G13" s="11">
        <f t="shared" ref="G13:J13" si="2">SUM(G2:G12)</f>
        <v>1759200419.7799997</v>
      </c>
      <c r="H13" s="11">
        <f t="shared" ref="H13:I13" si="3">SUM(H2:H12)</f>
        <v>1805796902.77</v>
      </c>
      <c r="I13" s="11">
        <f t="shared" si="3"/>
        <v>1844973961.01</v>
      </c>
      <c r="J13" s="11">
        <f t="shared" si="2"/>
        <v>1902875941.7400002</v>
      </c>
    </row>
    <row r="14" spans="1:10" x14ac:dyDescent="0.3">
      <c r="A14" s="32" t="s">
        <v>219</v>
      </c>
      <c r="B14" s="1">
        <v>1249177319.99</v>
      </c>
      <c r="C14" s="1">
        <v>1195120722.52</v>
      </c>
      <c r="D14" s="1">
        <v>1195120722.52</v>
      </c>
      <c r="E14" s="1">
        <v>183030011.12</v>
      </c>
      <c r="F14" s="1">
        <v>183030011.12</v>
      </c>
      <c r="G14" s="1">
        <v>183030011.12</v>
      </c>
      <c r="H14" s="1">
        <v>183030011.12</v>
      </c>
      <c r="I14" s="1">
        <v>183030011.12</v>
      </c>
      <c r="J14" s="1">
        <v>183030011.12</v>
      </c>
    </row>
    <row r="15" spans="1:10" x14ac:dyDescent="0.3">
      <c r="A15" s="32" t="s">
        <v>220</v>
      </c>
      <c r="B15" s="1">
        <v>89225576.790000007</v>
      </c>
      <c r="C15" s="1">
        <v>91472004.340000004</v>
      </c>
      <c r="D15" s="1">
        <v>28003329.260000002</v>
      </c>
      <c r="E15" s="1">
        <v>1075557844.51</v>
      </c>
      <c r="F15" s="1">
        <v>1073667684.96</v>
      </c>
      <c r="G15" s="1">
        <v>1064369650.7</v>
      </c>
      <c r="H15" s="1">
        <v>1057508349.96</v>
      </c>
      <c r="I15" s="1">
        <v>1096605302.1700001</v>
      </c>
      <c r="J15" s="1">
        <v>1112317966.3599999</v>
      </c>
    </row>
    <row r="16" spans="1:10" x14ac:dyDescent="0.3">
      <c r="A16" s="32" t="s">
        <v>235</v>
      </c>
      <c r="B16" s="1">
        <v>89225576.790000007</v>
      </c>
      <c r="C16" s="1">
        <v>91472004.340000004</v>
      </c>
      <c r="D16" s="1">
        <v>95465103.019999996</v>
      </c>
      <c r="E16" s="1">
        <v>103564427.2</v>
      </c>
      <c r="F16" s="1">
        <v>37784572.590000004</v>
      </c>
      <c r="G16" s="1">
        <v>19092739.09</v>
      </c>
      <c r="H16" s="1">
        <v>27823936.260000002</v>
      </c>
      <c r="I16" s="1">
        <v>31382937.07</v>
      </c>
      <c r="J16" s="1">
        <v>36606200.869999997</v>
      </c>
    </row>
    <row r="17" spans="1:12" x14ac:dyDescent="0.3">
      <c r="A17" s="32" t="s">
        <v>221</v>
      </c>
      <c r="B17" s="1">
        <v>-54056597.469999999</v>
      </c>
      <c r="C17" s="1">
        <v>-67461773.760000005</v>
      </c>
      <c r="D17" s="1">
        <v>27364479.670000002</v>
      </c>
      <c r="E17" s="1">
        <v>-13250631.050000001</v>
      </c>
      <c r="F17" s="1">
        <v>-21710140.109999999</v>
      </c>
      <c r="G17" s="1">
        <v>-17056839.41</v>
      </c>
      <c r="H17" s="1">
        <v>-3602510.08</v>
      </c>
      <c r="I17" s="1">
        <v>-30690536.09</v>
      </c>
      <c r="J17" s="1">
        <v>-18757404.309999999</v>
      </c>
    </row>
    <row r="18" spans="1:12" x14ac:dyDescent="0.3">
      <c r="A18" s="32" t="s">
        <v>361</v>
      </c>
      <c r="B18" s="1"/>
      <c r="C18" s="1"/>
      <c r="D18" s="1"/>
      <c r="E18" s="1"/>
      <c r="F18" s="1"/>
      <c r="G18" s="1"/>
      <c r="H18" s="1">
        <v>0</v>
      </c>
      <c r="I18" s="1">
        <v>-20659349.489999998</v>
      </c>
      <c r="J18" s="1">
        <v>-51349885.579999998</v>
      </c>
    </row>
    <row r="19" spans="1:12" x14ac:dyDescent="0.3">
      <c r="A19" s="32" t="s">
        <v>362</v>
      </c>
      <c r="B19" s="1"/>
      <c r="C19" s="1"/>
      <c r="D19" s="1"/>
      <c r="E19" s="1"/>
      <c r="F19" s="1"/>
      <c r="G19" s="1"/>
      <c r="H19" s="1">
        <v>0</v>
      </c>
      <c r="I19" s="1">
        <v>0</v>
      </c>
      <c r="J19" s="1">
        <v>0</v>
      </c>
    </row>
    <row r="20" spans="1:12" x14ac:dyDescent="0.3">
      <c r="A20" s="32" t="s">
        <v>222</v>
      </c>
      <c r="B20" s="1">
        <v>22859126.949999999</v>
      </c>
      <c r="C20" s="1">
        <v>25103048.350000001</v>
      </c>
      <c r="D20" s="1">
        <v>32145017.27</v>
      </c>
      <c r="E20" s="1">
        <v>34925801.520000003</v>
      </c>
      <c r="F20" s="1">
        <v>60542068.409999996</v>
      </c>
      <c r="G20" s="1">
        <v>80056820.879999995</v>
      </c>
      <c r="H20" s="1">
        <v>91314356.620000005</v>
      </c>
      <c r="I20" s="1">
        <v>131172656.37</v>
      </c>
      <c r="J20" s="1">
        <v>115021256.09</v>
      </c>
    </row>
    <row r="21" spans="1:12" x14ac:dyDescent="0.3">
      <c r="A21" s="32" t="s">
        <v>209</v>
      </c>
      <c r="B21" s="1">
        <v>100546831.13</v>
      </c>
      <c r="C21" s="1">
        <f>1145000+101488539.17</f>
        <v>102633539.17</v>
      </c>
      <c r="D21" s="1">
        <v>95780348.680000007</v>
      </c>
      <c r="E21" s="1">
        <v>92639645.409999996</v>
      </c>
      <c r="F21" s="1">
        <v>86230790.109999999</v>
      </c>
      <c r="G21" s="1">
        <v>80152154.079999998</v>
      </c>
      <c r="H21" s="1">
        <v>78428160.230000004</v>
      </c>
      <c r="I21" s="1">
        <v>87595432.900000006</v>
      </c>
      <c r="J21" s="1">
        <v>84779796.5</v>
      </c>
    </row>
    <row r="22" spans="1:12" x14ac:dyDescent="0.3">
      <c r="A22" s="32" t="s">
        <v>223</v>
      </c>
      <c r="B22" s="1">
        <v>43021754.68</v>
      </c>
      <c r="C22" s="1">
        <v>35393732.979999997</v>
      </c>
      <c r="D22" s="1">
        <v>85048566.730000004</v>
      </c>
      <c r="E22" s="1">
        <v>84569238.689999998</v>
      </c>
      <c r="F22" s="1">
        <v>67217611.900000006</v>
      </c>
      <c r="G22" s="1">
        <v>62943588.390000001</v>
      </c>
      <c r="H22" s="1">
        <v>64007389.140000001</v>
      </c>
      <c r="I22" s="1">
        <v>64966597.990000002</v>
      </c>
      <c r="J22" s="1">
        <v>60894929.539999999</v>
      </c>
    </row>
    <row r="23" spans="1:12" x14ac:dyDescent="0.3">
      <c r="A23" s="32" t="s">
        <v>224</v>
      </c>
      <c r="B23" s="1">
        <f>1726406.26+10218401.73</f>
        <v>11944807.99</v>
      </c>
      <c r="C23" s="1">
        <f>1263651.93+8728080.94</f>
        <v>9991732.8699999992</v>
      </c>
      <c r="D23" s="1">
        <v>13924967.710000001</v>
      </c>
      <c r="E23" s="1">
        <v>9261027.3699999992</v>
      </c>
      <c r="F23" s="1">
        <v>11465468.91</v>
      </c>
      <c r="G23" s="1">
        <v>7291362.71</v>
      </c>
      <c r="H23" s="1">
        <v>9432912.8399999999</v>
      </c>
      <c r="I23" s="1">
        <v>9603052.7799999993</v>
      </c>
      <c r="J23" s="1">
        <v>12926553.76</v>
      </c>
    </row>
    <row r="24" spans="1:12" x14ac:dyDescent="0.3">
      <c r="A24" s="32" t="s">
        <v>225</v>
      </c>
      <c r="B24" s="1">
        <f>2583693.1+2313454.15+5785320.81+55558284.1</f>
        <v>66240752.159999996</v>
      </c>
      <c r="C24" s="1">
        <f>3841233.32+3832391.45+9985884.4+46772739.55</f>
        <v>64432248.719999999</v>
      </c>
      <c r="D24" s="1">
        <v>73776442.849999994</v>
      </c>
      <c r="E24" s="1">
        <v>63773672.960000001</v>
      </c>
      <c r="F24" s="1">
        <v>48517288.130000003</v>
      </c>
      <c r="G24" s="1">
        <v>46535966.920000002</v>
      </c>
      <c r="H24" s="1">
        <v>47513737.43</v>
      </c>
      <c r="I24" s="1">
        <v>42848889.170000002</v>
      </c>
      <c r="J24" s="1">
        <v>62237709.789999999</v>
      </c>
      <c r="K24" s="1"/>
      <c r="L24" s="1"/>
    </row>
    <row r="25" spans="1:12" x14ac:dyDescent="0.3">
      <c r="A25" s="32" t="s">
        <v>226</v>
      </c>
      <c r="B25" s="1">
        <v>267136062.52000001</v>
      </c>
      <c r="C25" s="1">
        <v>252404296.84</v>
      </c>
      <c r="D25" s="1">
        <v>252031392.69999999</v>
      </c>
      <c r="E25" s="1">
        <v>266861201.78999999</v>
      </c>
      <c r="F25" s="1">
        <v>247144804.66999999</v>
      </c>
      <c r="G25" s="1">
        <v>251877704.38999999</v>
      </c>
      <c r="H25" s="1">
        <v>278164495.50999999</v>
      </c>
      <c r="I25" s="1">
        <v>280501904.08999997</v>
      </c>
      <c r="J25" s="1">
        <v>341775008.47000003</v>
      </c>
    </row>
    <row r="26" spans="1:12" x14ac:dyDescent="0.3">
      <c r="A26" s="72" t="s">
        <v>227</v>
      </c>
      <c r="B26" s="3">
        <f>SUM(B14:B25)-B16</f>
        <v>1796095634.74</v>
      </c>
      <c r="C26" s="3">
        <f>SUM(C14:C25)-C16</f>
        <v>1709089552.0299997</v>
      </c>
      <c r="D26" s="3">
        <f>SUM(D14:D25)-D16</f>
        <v>1803195267.3900001</v>
      </c>
      <c r="E26" s="3">
        <f t="shared" ref="E26:F26" si="4">SUM(E14:E25)-E16</f>
        <v>1797367812.3200002</v>
      </c>
      <c r="F26" s="3">
        <f t="shared" si="4"/>
        <v>1756105588.1000004</v>
      </c>
      <c r="G26" s="3">
        <f t="shared" ref="G26:J26" si="5">SUM(G14:G25)-G16</f>
        <v>1759200419.7800004</v>
      </c>
      <c r="H26" s="3">
        <f t="shared" ref="H26" si="6">SUM(H14:H25)-H16</f>
        <v>1805796902.7700002</v>
      </c>
      <c r="I26" s="3">
        <f t="shared" ref="I26" si="7">SUM(I14:I25)-I16</f>
        <v>1844973961.0100002</v>
      </c>
      <c r="J26" s="3">
        <f t="shared" si="5"/>
        <v>1902875941.74</v>
      </c>
    </row>
    <row r="27" spans="1:12" x14ac:dyDescent="0.3">
      <c r="A27" s="10" t="s">
        <v>267</v>
      </c>
      <c r="B27" s="11">
        <f t="shared" ref="B27:J27" si="8">B14+B15+B17+B18+B19</f>
        <v>1284346299.3099999</v>
      </c>
      <c r="C27" s="11">
        <f t="shared" si="8"/>
        <v>1219130953.0999999</v>
      </c>
      <c r="D27" s="11">
        <f t="shared" si="8"/>
        <v>1250488531.45</v>
      </c>
      <c r="E27" s="11">
        <f t="shared" si="8"/>
        <v>1245337224.5800002</v>
      </c>
      <c r="F27" s="11">
        <f t="shared" si="8"/>
        <v>1234987555.97</v>
      </c>
      <c r="G27" s="11">
        <f t="shared" si="8"/>
        <v>1230342822.4100001</v>
      </c>
      <c r="H27" s="11">
        <f t="shared" si="8"/>
        <v>1236935851</v>
      </c>
      <c r="I27" s="11">
        <f t="shared" ref="I27" si="9">I14+I15+I17+I18+I19</f>
        <v>1228285427.71</v>
      </c>
      <c r="J27" s="11">
        <f t="shared" si="8"/>
        <v>1225240687.5900002</v>
      </c>
    </row>
    <row r="28" spans="1:12" x14ac:dyDescent="0.3">
      <c r="B28" s="6">
        <f>B27/B26*100</f>
        <v>71.507678904632485</v>
      </c>
      <c r="C28" s="6">
        <f t="shared" ref="C28:J28" si="10">C27/C26*100</f>
        <v>71.332186874114157</v>
      </c>
      <c r="D28" s="6">
        <f t="shared" si="10"/>
        <v>69.348481224664894</v>
      </c>
      <c r="E28" s="6">
        <f t="shared" si="10"/>
        <v>69.286721173255472</v>
      </c>
      <c r="F28" s="6">
        <f t="shared" si="10"/>
        <v>70.325358813201063</v>
      </c>
      <c r="G28" s="6">
        <f t="shared" si="10"/>
        <v>69.937615326618811</v>
      </c>
      <c r="H28" s="6">
        <f t="shared" si="10"/>
        <v>68.498060280345129</v>
      </c>
      <c r="I28" s="6">
        <f t="shared" ref="I28" si="11">I27/I26*100</f>
        <v>66.574675505858934</v>
      </c>
      <c r="J28" s="6">
        <f t="shared" si="10"/>
        <v>64.388889507407072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topLeftCell="A132" workbookViewId="0">
      <selection activeCell="I89" sqref="I89:J92"/>
    </sheetView>
  </sheetViews>
  <sheetFormatPr defaultRowHeight="14.4" x14ac:dyDescent="0.3"/>
  <cols>
    <col min="2" max="2" width="83.33203125" bestFit="1" customWidth="1"/>
    <col min="3" max="3" width="11.88671875" customWidth="1"/>
  </cols>
  <sheetData>
    <row r="1" spans="1:10" x14ac:dyDescent="0.3">
      <c r="A1" s="141" t="s">
        <v>210</v>
      </c>
      <c r="B1" s="141"/>
      <c r="C1" s="2" t="s">
        <v>211</v>
      </c>
      <c r="D1" s="2">
        <v>2016</v>
      </c>
      <c r="E1" s="2">
        <v>2017</v>
      </c>
      <c r="F1" s="2">
        <v>2018</v>
      </c>
      <c r="G1" s="114">
        <v>2019</v>
      </c>
      <c r="H1" s="120">
        <v>2020</v>
      </c>
      <c r="I1" s="123">
        <v>2021</v>
      </c>
      <c r="J1" s="107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26.99</v>
      </c>
      <c r="E3" s="7">
        <v>27.23</v>
      </c>
      <c r="F3" s="7">
        <v>26.63</v>
      </c>
      <c r="G3" s="7">
        <v>26.13</v>
      </c>
      <c r="H3" s="7">
        <v>22.81</v>
      </c>
      <c r="I3" s="7">
        <v>23.28</v>
      </c>
      <c r="J3" s="7">
        <v>22.4</v>
      </c>
    </row>
    <row r="4" spans="1:10" x14ac:dyDescent="0.3">
      <c r="A4" t="s">
        <v>80</v>
      </c>
      <c r="D4" s="7"/>
      <c r="E4" s="7"/>
      <c r="F4" s="7"/>
      <c r="G4" s="7"/>
      <c r="H4" s="7"/>
      <c r="I4" s="7"/>
      <c r="J4" s="7"/>
    </row>
    <row r="5" spans="1:10" x14ac:dyDescent="0.3">
      <c r="A5" t="s">
        <v>81</v>
      </c>
      <c r="B5" t="s">
        <v>82</v>
      </c>
      <c r="D5" s="7">
        <v>90.92</v>
      </c>
      <c r="E5" s="7">
        <v>87.11</v>
      </c>
      <c r="F5" s="7">
        <v>87.88</v>
      </c>
      <c r="G5" s="7">
        <v>85.89</v>
      </c>
      <c r="H5" s="7">
        <v>81.06</v>
      </c>
      <c r="I5" s="7">
        <v>83.43</v>
      </c>
      <c r="J5" s="7">
        <v>74.58</v>
      </c>
    </row>
    <row r="6" spans="1:10" x14ac:dyDescent="0.3">
      <c r="A6" t="s">
        <v>83</v>
      </c>
      <c r="B6" t="s">
        <v>84</v>
      </c>
      <c r="D6" s="7">
        <v>88.06</v>
      </c>
      <c r="E6" s="7">
        <v>86.61</v>
      </c>
      <c r="F6" s="7">
        <v>83.22</v>
      </c>
      <c r="G6" s="7">
        <v>83.16</v>
      </c>
      <c r="H6" s="7">
        <v>79.709999999999994</v>
      </c>
      <c r="I6" s="7">
        <v>79.010000000000005</v>
      </c>
      <c r="J6" s="7">
        <v>72.430000000000007</v>
      </c>
    </row>
    <row r="7" spans="1:10" x14ac:dyDescent="0.3">
      <c r="A7" t="s">
        <v>85</v>
      </c>
      <c r="B7" t="s">
        <v>86</v>
      </c>
      <c r="D7" s="7">
        <v>64.62</v>
      </c>
      <c r="E7" s="7">
        <v>62.25</v>
      </c>
      <c r="F7" s="7">
        <v>61.98</v>
      </c>
      <c r="G7" s="7">
        <v>59.87</v>
      </c>
      <c r="H7" s="7">
        <v>49.19</v>
      </c>
      <c r="I7" s="7">
        <v>53.1</v>
      </c>
      <c r="J7" s="7">
        <v>48.58</v>
      </c>
    </row>
    <row r="8" spans="1:10" x14ac:dyDescent="0.3">
      <c r="A8" t="s">
        <v>87</v>
      </c>
      <c r="B8" t="s">
        <v>88</v>
      </c>
      <c r="D8" s="7">
        <v>62.59</v>
      </c>
      <c r="E8" s="7">
        <v>61.89</v>
      </c>
      <c r="F8" s="7">
        <v>58.69</v>
      </c>
      <c r="G8" s="7">
        <v>57.97</v>
      </c>
      <c r="H8" s="7">
        <v>48.37</v>
      </c>
      <c r="I8" s="7">
        <v>50.28</v>
      </c>
      <c r="J8" s="7">
        <v>47.18</v>
      </c>
    </row>
    <row r="9" spans="1:10" x14ac:dyDescent="0.3">
      <c r="A9" t="s">
        <v>89</v>
      </c>
      <c r="B9" t="s">
        <v>90</v>
      </c>
      <c r="D9" s="7">
        <v>50.45</v>
      </c>
      <c r="E9" s="7">
        <v>50.57</v>
      </c>
      <c r="F9" s="7">
        <v>71.349999999999994</v>
      </c>
      <c r="G9" s="7">
        <v>67.27</v>
      </c>
      <c r="H9" s="7">
        <v>63.31</v>
      </c>
      <c r="I9" s="7">
        <v>62.3</v>
      </c>
      <c r="J9" s="7">
        <v>60.66</v>
      </c>
    </row>
    <row r="10" spans="1:10" x14ac:dyDescent="0.3">
      <c r="A10" t="s">
        <v>91</v>
      </c>
      <c r="B10" t="s">
        <v>92</v>
      </c>
      <c r="D10" s="7">
        <v>50.17</v>
      </c>
      <c r="E10" s="7">
        <v>51.25</v>
      </c>
      <c r="F10" s="7">
        <v>71.459999999999994</v>
      </c>
      <c r="G10" s="7">
        <v>66.849999999999994</v>
      </c>
      <c r="H10" s="7">
        <v>62.31</v>
      </c>
      <c r="I10" s="7">
        <v>62.46</v>
      </c>
      <c r="J10" s="7">
        <v>59.11</v>
      </c>
    </row>
    <row r="11" spans="1:10" x14ac:dyDescent="0.3">
      <c r="A11" t="s">
        <v>93</v>
      </c>
      <c r="B11" t="s">
        <v>94</v>
      </c>
      <c r="D11" s="7">
        <v>33.28</v>
      </c>
      <c r="E11" s="7">
        <v>36.11</v>
      </c>
      <c r="F11" s="7">
        <v>51.28</v>
      </c>
      <c r="G11" s="7">
        <v>46.11</v>
      </c>
      <c r="H11" s="7">
        <v>36.36</v>
      </c>
      <c r="I11" s="7">
        <v>38.94</v>
      </c>
      <c r="J11" s="7">
        <v>38.75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33.090000000000003</v>
      </c>
      <c r="E12" s="7">
        <v>36.6</v>
      </c>
      <c r="F12" s="7">
        <v>51.37</v>
      </c>
      <c r="G12" s="7">
        <v>45.83</v>
      </c>
      <c r="H12" s="7">
        <v>35.78</v>
      </c>
      <c r="I12" s="7">
        <v>39.04</v>
      </c>
      <c r="J12" s="7">
        <v>37.76</v>
      </c>
    </row>
    <row r="13" spans="1:10" x14ac:dyDescent="0.3">
      <c r="A13" t="s">
        <v>97</v>
      </c>
      <c r="D13" s="7"/>
      <c r="E13" s="7"/>
      <c r="F13" s="7"/>
      <c r="G13" s="7"/>
      <c r="H13" s="7"/>
      <c r="I13" s="7"/>
      <c r="J13" s="7"/>
    </row>
    <row r="14" spans="1:10" x14ac:dyDescent="0.3">
      <c r="A14" t="s">
        <v>98</v>
      </c>
      <c r="B14" t="s">
        <v>99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3">
      <c r="A16" t="s">
        <v>102</v>
      </c>
      <c r="D16" s="7"/>
      <c r="E16" s="7"/>
      <c r="F16" s="7"/>
      <c r="G16" s="7"/>
      <c r="H16" s="7"/>
      <c r="I16" s="7"/>
      <c r="J16" s="7"/>
    </row>
    <row r="17" spans="1:10" x14ac:dyDescent="0.3">
      <c r="A17" t="s">
        <v>103</v>
      </c>
      <c r="B17" t="s">
        <v>104</v>
      </c>
      <c r="D17" s="7">
        <v>25.96</v>
      </c>
      <c r="E17" s="7">
        <v>26.99</v>
      </c>
      <c r="F17" s="7">
        <v>25.46</v>
      </c>
      <c r="G17" s="7">
        <v>27.04</v>
      </c>
      <c r="H17" s="7">
        <v>25.06</v>
      </c>
      <c r="I17" s="7">
        <v>24.96</v>
      </c>
      <c r="J17" s="7">
        <v>22.5</v>
      </c>
    </row>
    <row r="18" spans="1:10" x14ac:dyDescent="0.3">
      <c r="A18" t="s">
        <v>105</v>
      </c>
      <c r="B18" t="s">
        <v>106</v>
      </c>
      <c r="D18" s="7">
        <v>14.2</v>
      </c>
      <c r="E18" s="7">
        <v>13.04</v>
      </c>
      <c r="F18" s="7">
        <v>13.06</v>
      </c>
      <c r="G18" s="7">
        <v>15.51</v>
      </c>
      <c r="H18" s="7">
        <v>16.28</v>
      </c>
      <c r="I18" s="7">
        <v>18.32</v>
      </c>
      <c r="J18" s="7">
        <v>6.61</v>
      </c>
    </row>
    <row r="19" spans="1:10" x14ac:dyDescent="0.3">
      <c r="A19" t="s">
        <v>107</v>
      </c>
      <c r="B19" t="s">
        <v>108</v>
      </c>
      <c r="D19" s="7">
        <v>1.1499999999999999</v>
      </c>
      <c r="E19" s="7">
        <v>1.2</v>
      </c>
      <c r="F19" s="7">
        <v>0.99</v>
      </c>
      <c r="G19" s="7">
        <v>0.65</v>
      </c>
      <c r="H19" s="7">
        <v>0.63</v>
      </c>
      <c r="I19" s="7">
        <v>0.54</v>
      </c>
      <c r="J19" s="7">
        <v>0.6</v>
      </c>
    </row>
    <row r="20" spans="1:10" x14ac:dyDescent="0.3">
      <c r="A20" t="s">
        <v>109</v>
      </c>
      <c r="B20" t="s">
        <v>110</v>
      </c>
      <c r="D20" s="7">
        <v>249.74</v>
      </c>
      <c r="E20" s="7">
        <v>244.18</v>
      </c>
      <c r="F20" s="7">
        <v>245.5</v>
      </c>
      <c r="G20" s="7">
        <v>259.58</v>
      </c>
      <c r="H20" s="7">
        <v>257.18</v>
      </c>
      <c r="I20" s="7">
        <v>260.13</v>
      </c>
      <c r="J20" s="7">
        <v>254.94</v>
      </c>
    </row>
    <row r="21" spans="1:10" x14ac:dyDescent="0.3">
      <c r="A21" t="s">
        <v>111</v>
      </c>
      <c r="D21" s="7"/>
      <c r="E21" s="7"/>
      <c r="F21" s="7"/>
      <c r="G21" s="7"/>
      <c r="H21" s="7"/>
      <c r="I21" s="7"/>
      <c r="J21" s="7"/>
    </row>
    <row r="22" spans="1:10" x14ac:dyDescent="0.3">
      <c r="A22" t="s">
        <v>112</v>
      </c>
      <c r="B22" t="s">
        <v>113</v>
      </c>
      <c r="D22" s="7">
        <v>40.58</v>
      </c>
      <c r="E22" s="7">
        <v>44.44</v>
      </c>
      <c r="F22" s="7">
        <v>45.08</v>
      </c>
      <c r="G22" s="7">
        <v>48.04</v>
      </c>
      <c r="H22" s="7">
        <v>45.56</v>
      </c>
      <c r="I22" s="7">
        <v>49.79</v>
      </c>
      <c r="J22" s="7">
        <v>44.39</v>
      </c>
    </row>
    <row r="23" spans="1:10" x14ac:dyDescent="0.3">
      <c r="A23" t="s">
        <v>114</v>
      </c>
      <c r="D23" s="7"/>
      <c r="E23" s="7"/>
      <c r="F23" s="7"/>
      <c r="G23" s="7"/>
      <c r="H23" s="7"/>
      <c r="I23" s="7"/>
      <c r="J23" s="7"/>
    </row>
    <row r="24" spans="1:10" x14ac:dyDescent="0.3">
      <c r="A24" t="s">
        <v>115</v>
      </c>
      <c r="B24" t="s">
        <v>116</v>
      </c>
      <c r="D24" s="7">
        <v>1.31</v>
      </c>
      <c r="E24" s="7">
        <v>1.27</v>
      </c>
      <c r="F24" s="7">
        <v>1.17</v>
      </c>
      <c r="G24" s="7">
        <v>1.02</v>
      </c>
      <c r="H24" s="7">
        <v>0.87</v>
      </c>
      <c r="I24" s="7">
        <v>0.81</v>
      </c>
      <c r="J24" s="7">
        <v>0.79</v>
      </c>
    </row>
    <row r="25" spans="1:10" x14ac:dyDescent="0.3">
      <c r="A25" t="s">
        <v>117</v>
      </c>
      <c r="B25" t="s">
        <v>118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1:10" x14ac:dyDescent="0.3">
      <c r="A26" t="s">
        <v>119</v>
      </c>
      <c r="B26" t="s">
        <v>120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x14ac:dyDescent="0.3">
      <c r="A27" t="s">
        <v>121</v>
      </c>
      <c r="D27" s="7"/>
      <c r="E27" s="7"/>
      <c r="F27" s="7"/>
      <c r="G27" s="7"/>
      <c r="H27" s="7"/>
      <c r="I27" s="7"/>
      <c r="J27" s="7"/>
    </row>
    <row r="28" spans="1:10" x14ac:dyDescent="0.3">
      <c r="A28" t="s">
        <v>122</v>
      </c>
      <c r="B28" t="s">
        <v>123</v>
      </c>
      <c r="D28" s="7">
        <v>11.49</v>
      </c>
      <c r="E28" s="7">
        <v>17.32</v>
      </c>
      <c r="F28" s="7">
        <v>11.38</v>
      </c>
      <c r="G28" s="7">
        <v>14.56</v>
      </c>
      <c r="H28" s="7">
        <v>11.54</v>
      </c>
      <c r="I28" s="7">
        <v>10.01</v>
      </c>
      <c r="J28" s="7">
        <v>9.1</v>
      </c>
    </row>
    <row r="29" spans="1:10" x14ac:dyDescent="0.3">
      <c r="A29" t="s">
        <v>124</v>
      </c>
      <c r="B29" t="s">
        <v>125</v>
      </c>
      <c r="D29" s="7">
        <v>115.93</v>
      </c>
      <c r="E29" s="7">
        <v>153.30000000000001</v>
      </c>
      <c r="F29" s="7">
        <v>107.65</v>
      </c>
      <c r="G29" s="7">
        <v>129.15</v>
      </c>
      <c r="H29" s="7">
        <v>128.99</v>
      </c>
      <c r="I29" s="7">
        <v>108.4</v>
      </c>
      <c r="J29" s="7">
        <v>111.64</v>
      </c>
    </row>
    <row r="30" spans="1:10" x14ac:dyDescent="0.3">
      <c r="A30" t="s">
        <v>126</v>
      </c>
      <c r="B30" t="s">
        <v>127</v>
      </c>
      <c r="D30" s="7">
        <v>8.2899999999999991</v>
      </c>
      <c r="E30" s="7">
        <v>36.69</v>
      </c>
      <c r="F30" s="7">
        <v>16.91</v>
      </c>
      <c r="G30" s="7">
        <v>33.86</v>
      </c>
      <c r="H30" s="7">
        <v>4.21</v>
      </c>
      <c r="I30" s="7">
        <v>5.87</v>
      </c>
      <c r="J30" s="7">
        <v>4.7699999999999996</v>
      </c>
    </row>
    <row r="31" spans="1:10" x14ac:dyDescent="0.3">
      <c r="A31" t="s">
        <v>128</v>
      </c>
      <c r="B31" t="s">
        <v>129</v>
      </c>
      <c r="D31" s="7">
        <v>124.22</v>
      </c>
      <c r="E31" s="7">
        <v>189.99</v>
      </c>
      <c r="F31" s="7">
        <v>124.55</v>
      </c>
      <c r="G31" s="7">
        <v>163</v>
      </c>
      <c r="H31" s="7">
        <v>133.19999999999999</v>
      </c>
      <c r="I31" s="7">
        <v>114.27</v>
      </c>
      <c r="J31" s="7">
        <v>116.41</v>
      </c>
    </row>
    <row r="32" spans="1:10" x14ac:dyDescent="0.3">
      <c r="A32" t="s">
        <v>130</v>
      </c>
      <c r="B32" t="s">
        <v>131</v>
      </c>
      <c r="D32" s="7">
        <v>9.93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3">
      <c r="A33" t="s">
        <v>132</v>
      </c>
      <c r="B33" t="s">
        <v>133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3">
      <c r="A34" t="s">
        <v>134</v>
      </c>
      <c r="B34" t="s">
        <v>135</v>
      </c>
      <c r="D34" s="7">
        <v>0</v>
      </c>
      <c r="E34" s="7">
        <v>5.34</v>
      </c>
      <c r="F34" s="7">
        <v>0</v>
      </c>
      <c r="G34" s="7">
        <v>0</v>
      </c>
      <c r="H34" s="7">
        <v>0</v>
      </c>
      <c r="I34" s="7">
        <v>27.54</v>
      </c>
      <c r="J34" s="7">
        <v>0</v>
      </c>
    </row>
    <row r="35" spans="1:10" x14ac:dyDescent="0.3">
      <c r="A35" t="s">
        <v>136</v>
      </c>
      <c r="D35" s="7"/>
      <c r="E35" s="7"/>
      <c r="F35" s="7"/>
      <c r="G35" s="7"/>
      <c r="H35" s="7"/>
      <c r="I35" s="7"/>
      <c r="J35" s="7"/>
    </row>
    <row r="36" spans="1:10" x14ac:dyDescent="0.3">
      <c r="A36" t="s">
        <v>137</v>
      </c>
      <c r="B36" t="s">
        <v>138</v>
      </c>
      <c r="D36" s="7">
        <v>72.678690696865218</v>
      </c>
      <c r="E36" s="7">
        <v>69.56</v>
      </c>
      <c r="F36" s="7">
        <v>72.69</v>
      </c>
      <c r="G36" s="7">
        <v>65.349999999999994</v>
      </c>
      <c r="H36" s="7">
        <v>75.989999999999995</v>
      </c>
      <c r="I36" s="7">
        <v>70.44</v>
      </c>
      <c r="J36" s="7">
        <v>78.540000000000006</v>
      </c>
    </row>
    <row r="37" spans="1:10" x14ac:dyDescent="0.3">
      <c r="A37" t="s">
        <v>139</v>
      </c>
      <c r="B37" t="s">
        <v>140</v>
      </c>
      <c r="D37" s="7">
        <v>28.053430074529661</v>
      </c>
      <c r="E37" s="7">
        <v>65.849999999999994</v>
      </c>
      <c r="F37" s="7">
        <v>47.36</v>
      </c>
      <c r="G37" s="7">
        <v>38.43</v>
      </c>
      <c r="H37" s="7">
        <v>36.729999999999997</v>
      </c>
      <c r="I37" s="7">
        <v>48.33</v>
      </c>
      <c r="J37" s="7">
        <v>63.43</v>
      </c>
    </row>
    <row r="38" spans="1:10" x14ac:dyDescent="0.3">
      <c r="A38" t="s">
        <v>141</v>
      </c>
      <c r="B38" t="s">
        <v>142</v>
      </c>
      <c r="D38" s="7">
        <v>0.33</v>
      </c>
      <c r="E38" s="7">
        <v>75.349999999999994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3">
      <c r="A39" t="s">
        <v>143</v>
      </c>
      <c r="B39" t="s">
        <v>144</v>
      </c>
      <c r="D39" s="7">
        <v>36.24</v>
      </c>
      <c r="E39" s="7">
        <v>30.37</v>
      </c>
      <c r="F39" s="7">
        <v>29.54</v>
      </c>
      <c r="G39" s="7">
        <v>33.770000000000003</v>
      </c>
      <c r="H39" s="7">
        <v>32.93</v>
      </c>
      <c r="I39" s="7">
        <v>31.86</v>
      </c>
      <c r="J39" s="7">
        <v>37.020000000000003</v>
      </c>
    </row>
    <row r="40" spans="1:10" x14ac:dyDescent="0.3">
      <c r="A40" t="s">
        <v>145</v>
      </c>
      <c r="B40" t="s">
        <v>146</v>
      </c>
      <c r="D40" s="7">
        <v>11.16</v>
      </c>
      <c r="E40" s="7">
        <v>39.49</v>
      </c>
      <c r="F40" s="7">
        <v>21.22</v>
      </c>
      <c r="G40" s="7">
        <v>32.99</v>
      </c>
      <c r="H40" s="7">
        <v>41.84</v>
      </c>
      <c r="I40" s="7">
        <v>23.54</v>
      </c>
      <c r="J40" s="7">
        <v>20.25</v>
      </c>
    </row>
    <row r="41" spans="1:10" x14ac:dyDescent="0.3">
      <c r="A41" t="s">
        <v>147</v>
      </c>
      <c r="B41" t="s">
        <v>148</v>
      </c>
      <c r="D41" s="7">
        <v>2.16</v>
      </c>
      <c r="E41" s="7">
        <v>1.26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</row>
    <row r="42" spans="1:10" x14ac:dyDescent="0.3">
      <c r="A42" t="s">
        <v>149</v>
      </c>
      <c r="D42" s="7"/>
      <c r="E42" s="7"/>
      <c r="F42" s="7"/>
      <c r="G42" s="7"/>
      <c r="H42" s="7"/>
      <c r="I42" s="7"/>
      <c r="J42" s="7"/>
    </row>
    <row r="43" spans="1:10" x14ac:dyDescent="0.3">
      <c r="A43" t="s">
        <v>150</v>
      </c>
      <c r="B43" t="s">
        <v>151</v>
      </c>
      <c r="D43" s="7">
        <v>76.97</v>
      </c>
      <c r="E43" s="7">
        <v>73.47</v>
      </c>
      <c r="F43" s="7">
        <v>76.930000000000007</v>
      </c>
      <c r="G43" s="7">
        <v>80.239999999999995</v>
      </c>
      <c r="H43" s="7">
        <v>76.58</v>
      </c>
      <c r="I43" s="7">
        <v>77.239999999999995</v>
      </c>
      <c r="J43" s="7">
        <v>78.680000000000007</v>
      </c>
    </row>
    <row r="44" spans="1:10" x14ac:dyDescent="0.3">
      <c r="A44" t="s">
        <v>152</v>
      </c>
      <c r="B44" t="s">
        <v>153</v>
      </c>
      <c r="D44" s="7">
        <v>46.8</v>
      </c>
      <c r="E44" s="7">
        <v>50.35</v>
      </c>
      <c r="F44" s="7">
        <v>58.73</v>
      </c>
      <c r="G44" s="7">
        <v>51.62</v>
      </c>
      <c r="H44" s="7">
        <v>54.61</v>
      </c>
      <c r="I44" s="7">
        <v>47.03</v>
      </c>
      <c r="J44" s="7">
        <v>65.59</v>
      </c>
    </row>
    <row r="45" spans="1:10" x14ac:dyDescent="0.3">
      <c r="A45" t="s">
        <v>154</v>
      </c>
      <c r="B45" t="s">
        <v>155</v>
      </c>
      <c r="D45" s="7">
        <v>73.489999999999995</v>
      </c>
      <c r="E45" s="7">
        <v>64.59</v>
      </c>
      <c r="F45" s="7">
        <v>14.43</v>
      </c>
      <c r="G45" s="7">
        <v>90.91</v>
      </c>
      <c r="H45" s="7">
        <v>79.25</v>
      </c>
      <c r="I45" s="7">
        <v>18</v>
      </c>
      <c r="J45" s="7">
        <v>34.47</v>
      </c>
    </row>
    <row r="46" spans="1:10" x14ac:dyDescent="0.3">
      <c r="A46" t="s">
        <v>156</v>
      </c>
      <c r="B46" t="s">
        <v>157</v>
      </c>
      <c r="D46" s="7">
        <v>97.14</v>
      </c>
      <c r="E46" s="7">
        <v>72.39</v>
      </c>
      <c r="F46" s="7">
        <v>74.94</v>
      </c>
      <c r="G46" s="7">
        <v>87.66</v>
      </c>
      <c r="H46" s="7">
        <v>53.21</v>
      </c>
      <c r="I46" s="7">
        <v>35.840000000000003</v>
      </c>
      <c r="J46" s="7">
        <v>65.98</v>
      </c>
    </row>
    <row r="47" spans="1:10" x14ac:dyDescent="0.3">
      <c r="A47" t="s">
        <v>158</v>
      </c>
      <c r="B47" t="s">
        <v>159</v>
      </c>
      <c r="D47" s="7">
        <v>1.77</v>
      </c>
      <c r="E47" s="7">
        <v>-1.59</v>
      </c>
      <c r="F47" s="7">
        <v>2.29</v>
      </c>
      <c r="G47" s="7">
        <v>-3.72</v>
      </c>
      <c r="H47" s="7">
        <v>-16.98</v>
      </c>
      <c r="I47" s="7">
        <v>-18.440000000000001</v>
      </c>
      <c r="J47" s="7">
        <v>-15.72</v>
      </c>
    </row>
    <row r="48" spans="1:10" x14ac:dyDescent="0.3">
      <c r="A48" t="s">
        <v>160</v>
      </c>
      <c r="D48" s="7"/>
      <c r="E48" s="7"/>
      <c r="F48" s="7"/>
      <c r="G48" s="7"/>
      <c r="H48" s="7"/>
      <c r="I48" s="7"/>
      <c r="J48" s="7"/>
    </row>
    <row r="49" spans="1:10" x14ac:dyDescent="0.3">
      <c r="A49" t="s">
        <v>161</v>
      </c>
      <c r="B49" t="s">
        <v>162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</row>
    <row r="50" spans="1:10" x14ac:dyDescent="0.3">
      <c r="A50" t="s">
        <v>163</v>
      </c>
      <c r="B50" t="s">
        <v>164</v>
      </c>
      <c r="D50" s="7">
        <v>7.16</v>
      </c>
      <c r="E50" s="7">
        <v>7.16</v>
      </c>
      <c r="F50" s="7">
        <v>7.16</v>
      </c>
      <c r="G50" s="7">
        <v>7.16</v>
      </c>
      <c r="H50" s="7">
        <v>7.16</v>
      </c>
      <c r="I50" s="7">
        <v>7.16</v>
      </c>
      <c r="J50" s="7">
        <v>7.16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3.29</v>
      </c>
      <c r="E51" s="7">
        <v>3.29</v>
      </c>
      <c r="F51" s="7">
        <v>3.29</v>
      </c>
      <c r="G51" s="7">
        <v>3.29</v>
      </c>
      <c r="H51" s="7">
        <v>3.29</v>
      </c>
      <c r="I51" s="7">
        <v>3.29</v>
      </c>
      <c r="J51" s="7">
        <v>3.29</v>
      </c>
    </row>
    <row r="52" spans="1:10" x14ac:dyDescent="0.3">
      <c r="A52" t="s">
        <v>167</v>
      </c>
      <c r="B52" t="s">
        <v>168</v>
      </c>
      <c r="D52" s="7">
        <v>293.5</v>
      </c>
      <c r="E52" s="7">
        <v>283.87</v>
      </c>
      <c r="F52" s="7">
        <v>265.98</v>
      </c>
      <c r="G52" s="7">
        <v>249.8</v>
      </c>
      <c r="H52" s="7">
        <v>248.75</v>
      </c>
      <c r="I52" s="7">
        <v>276.14999999999998</v>
      </c>
      <c r="J52" s="7">
        <v>268.33</v>
      </c>
    </row>
    <row r="53" spans="1:10" x14ac:dyDescent="0.3">
      <c r="A53" t="s">
        <v>169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2.5957362598972189</v>
      </c>
    </row>
    <row r="54" spans="1:10" x14ac:dyDescent="0.3">
      <c r="A54" t="s">
        <v>170</v>
      </c>
      <c r="B54" t="s">
        <v>171</v>
      </c>
      <c r="D54" s="7">
        <v>-5.5548348406638066</v>
      </c>
      <c r="E54" s="7">
        <v>-4.8015308925498976</v>
      </c>
      <c r="F54" s="7">
        <v>-4.3354654107436064</v>
      </c>
      <c r="G54" s="7">
        <v>-3.9291033680677412</v>
      </c>
      <c r="H54" s="7">
        <v>-3.3638605104350248</v>
      </c>
      <c r="I54" s="7">
        <v>-2.9044990854477102</v>
      </c>
      <c r="J54" s="7">
        <v>0.75589907391531264</v>
      </c>
    </row>
    <row r="55" spans="1:10" x14ac:dyDescent="0.3">
      <c r="A55" t="s">
        <v>172</v>
      </c>
      <c r="B55" t="s">
        <v>173</v>
      </c>
      <c r="D55" s="7">
        <v>3.9180337464947126</v>
      </c>
      <c r="E55" s="7">
        <v>3.0238646743348365</v>
      </c>
      <c r="F55" s="7">
        <v>4.7803905266910789</v>
      </c>
      <c r="G55" s="7">
        <v>5.7072252247051019</v>
      </c>
      <c r="H55" s="7">
        <v>3.0966824248003908</v>
      </c>
      <c r="I55" s="7">
        <v>3.0125635069205594</v>
      </c>
      <c r="J55" s="7">
        <v>1.8398371859819063</v>
      </c>
    </row>
    <row r="56" spans="1:10" x14ac:dyDescent="0.3">
      <c r="A56" t="s">
        <v>174</v>
      </c>
      <c r="B56" t="s">
        <v>175</v>
      </c>
      <c r="D56" s="7">
        <v>65.491419350706011</v>
      </c>
      <c r="E56" s="7">
        <v>67.490456328119535</v>
      </c>
      <c r="F56" s="7">
        <v>69.03806890852816</v>
      </c>
      <c r="G56" s="7">
        <v>71.633745502935142</v>
      </c>
      <c r="H56" s="7">
        <v>72.261705158569129</v>
      </c>
      <c r="I56" s="7">
        <v>75.653996769344431</v>
      </c>
      <c r="J56" s="7">
        <v>64.35778962629503</v>
      </c>
    </row>
    <row r="57" spans="1:10" x14ac:dyDescent="0.3">
      <c r="A57" t="s">
        <v>176</v>
      </c>
      <c r="B57" t="s">
        <v>177</v>
      </c>
      <c r="D57" s="7">
        <v>36.145381743463091</v>
      </c>
      <c r="E57" s="7">
        <v>34.287209890095525</v>
      </c>
      <c r="F57" s="7">
        <v>30.51700597552437</v>
      </c>
      <c r="G57" s="7">
        <v>26.588132640427492</v>
      </c>
      <c r="H57" s="7">
        <v>28.005472927065505</v>
      </c>
      <c r="I57" s="7">
        <v>24.237938809182722</v>
      </c>
      <c r="J57" s="7">
        <v>33.04647411380774</v>
      </c>
    </row>
    <row r="58" spans="1:10" x14ac:dyDescent="0.3">
      <c r="A58" t="s">
        <v>178</v>
      </c>
      <c r="D58" s="7"/>
      <c r="E58" s="7"/>
      <c r="F58" s="7"/>
      <c r="G58" s="7"/>
      <c r="H58" s="7"/>
      <c r="I58" s="7"/>
      <c r="J58" s="7"/>
    </row>
    <row r="59" spans="1:10" x14ac:dyDescent="0.3">
      <c r="A59" t="s">
        <v>179</v>
      </c>
      <c r="B59" t="s">
        <v>180</v>
      </c>
      <c r="D59" s="7">
        <v>3.5714285836898991</v>
      </c>
      <c r="E59" s="7">
        <v>3.7</v>
      </c>
      <c r="F59" s="7">
        <v>3.8461538603741428</v>
      </c>
      <c r="G59" s="7">
        <v>4.0000000153820157</v>
      </c>
      <c r="H59" s="7">
        <v>4.1666666833557295</v>
      </c>
      <c r="I59" s="7">
        <v>4.3478261051278366</v>
      </c>
      <c r="J59" s="7" t="s">
        <v>386</v>
      </c>
    </row>
    <row r="60" spans="1:10" x14ac:dyDescent="0.3">
      <c r="A60" t="s">
        <v>181</v>
      </c>
      <c r="B60" t="s">
        <v>182</v>
      </c>
      <c r="D60" s="7">
        <v>-3.5714285836898991</v>
      </c>
      <c r="E60" s="7">
        <v>0</v>
      </c>
      <c r="F60" s="7">
        <v>-3.8461538603741428</v>
      </c>
      <c r="G60" s="7">
        <v>-4.0000000153820157</v>
      </c>
      <c r="H60" s="7">
        <v>-4.1666666833557295</v>
      </c>
      <c r="I60" s="7">
        <v>-4.3478261051278366</v>
      </c>
      <c r="J60" s="7">
        <v>-127.18208847753863</v>
      </c>
    </row>
    <row r="61" spans="1:10" x14ac:dyDescent="0.3">
      <c r="A61" t="s">
        <v>183</v>
      </c>
      <c r="B61" t="s">
        <v>184</v>
      </c>
      <c r="D61" s="7">
        <v>1.3476588314215852</v>
      </c>
      <c r="E61" s="7">
        <v>1.3031136337768332</v>
      </c>
      <c r="F61" s="7">
        <v>1.2634944469334539</v>
      </c>
      <c r="G61" s="7">
        <v>1.2175337594652971</v>
      </c>
      <c r="H61" s="7">
        <v>1.1605839735661381</v>
      </c>
      <c r="I61" s="7">
        <v>1.1179420491539072</v>
      </c>
      <c r="J61" s="7">
        <v>0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0.18</v>
      </c>
      <c r="E62" s="7">
        <v>0.18</v>
      </c>
      <c r="F62" s="7">
        <v>0.18</v>
      </c>
      <c r="G62" s="7">
        <v>0.18</v>
      </c>
      <c r="H62" s="7">
        <v>0.16</v>
      </c>
      <c r="I62" s="7">
        <v>0.16</v>
      </c>
      <c r="J62" s="7">
        <v>0.16</v>
      </c>
    </row>
    <row r="63" spans="1:10" x14ac:dyDescent="0.3">
      <c r="A63" t="s">
        <v>187</v>
      </c>
      <c r="D63" s="7"/>
      <c r="E63" s="7"/>
      <c r="F63" s="7"/>
      <c r="G63" s="7"/>
      <c r="H63" s="7"/>
      <c r="I63" s="7"/>
      <c r="J63" s="7"/>
    </row>
    <row r="64" spans="1:10" x14ac:dyDescent="0.3">
      <c r="A64" s="8" t="s">
        <v>188</v>
      </c>
      <c r="B64" s="8" t="s">
        <v>189</v>
      </c>
      <c r="C64" s="9">
        <v>1</v>
      </c>
      <c r="D64" s="7">
        <v>0.96</v>
      </c>
      <c r="E64" s="7">
        <v>1.18</v>
      </c>
      <c r="F64" s="7">
        <v>0.7</v>
      </c>
      <c r="G64" s="7">
        <v>0.4</v>
      </c>
      <c r="H64" s="7">
        <v>0.69</v>
      </c>
      <c r="I64" s="7">
        <v>0.33</v>
      </c>
      <c r="J64" s="7">
        <v>3.53</v>
      </c>
    </row>
    <row r="65" spans="1:10" x14ac:dyDescent="0.3">
      <c r="A65" s="8" t="s">
        <v>190</v>
      </c>
      <c r="B65" s="8" t="s">
        <v>191</v>
      </c>
      <c r="C65" s="9"/>
      <c r="D65" s="7">
        <v>0.45</v>
      </c>
      <c r="E65" s="7">
        <v>0.56000000000000005</v>
      </c>
      <c r="F65" s="7">
        <v>0.47</v>
      </c>
      <c r="G65" s="7">
        <v>0.75</v>
      </c>
      <c r="H65" s="7">
        <v>0.44</v>
      </c>
      <c r="I65" s="7">
        <v>0.47</v>
      </c>
      <c r="J65" s="7">
        <v>0.56000000000000005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1.43</v>
      </c>
      <c r="E66" s="7">
        <v>1.82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1:10" x14ac:dyDescent="0.3">
      <c r="A67" t="s">
        <v>194</v>
      </c>
      <c r="D67" s="7"/>
      <c r="E67" s="7"/>
      <c r="F67" s="7"/>
      <c r="G67" s="7"/>
      <c r="H67" s="7"/>
      <c r="I67" s="7"/>
      <c r="J67" s="7"/>
    </row>
    <row r="68" spans="1:10" x14ac:dyDescent="0.3">
      <c r="A68" t="s">
        <v>195</v>
      </c>
      <c r="B68" t="s">
        <v>196</v>
      </c>
      <c r="D68" s="7">
        <v>54.46</v>
      </c>
      <c r="E68" s="7">
        <v>45.71</v>
      </c>
      <c r="F68" s="30">
        <v>58.32</v>
      </c>
      <c r="G68" s="30">
        <v>52.78</v>
      </c>
      <c r="H68" s="30">
        <v>45.67</v>
      </c>
      <c r="I68" s="30">
        <v>45.07</v>
      </c>
      <c r="J68" s="30">
        <v>51.71</v>
      </c>
    </row>
    <row r="69" spans="1:10" x14ac:dyDescent="0.3">
      <c r="A69" t="s">
        <v>197</v>
      </c>
      <c r="D69" s="7"/>
      <c r="E69" s="7"/>
      <c r="F69" s="7"/>
      <c r="G69" s="7"/>
      <c r="H69" s="7"/>
      <c r="I69" s="7"/>
      <c r="J69" s="7"/>
    </row>
    <row r="70" spans="1:10" x14ac:dyDescent="0.3">
      <c r="A70" t="s">
        <v>198</v>
      </c>
      <c r="B70" t="s">
        <v>199</v>
      </c>
      <c r="D70" s="7">
        <v>14.52</v>
      </c>
      <c r="E70" s="30">
        <v>14.69</v>
      </c>
      <c r="F70" s="7">
        <v>15.18</v>
      </c>
      <c r="G70" s="7">
        <v>13.34</v>
      </c>
      <c r="H70" s="7">
        <v>11.79</v>
      </c>
      <c r="I70" s="7">
        <v>11.44</v>
      </c>
      <c r="J70" s="7">
        <v>7.7692142780696898</v>
      </c>
    </row>
    <row r="71" spans="1:10" x14ac:dyDescent="0.3">
      <c r="A71" t="s">
        <v>200</v>
      </c>
      <c r="B71" t="s">
        <v>201</v>
      </c>
      <c r="D71" s="7">
        <v>16.13</v>
      </c>
      <c r="E71" s="30">
        <v>16.53</v>
      </c>
      <c r="F71" s="7">
        <v>16.45</v>
      </c>
      <c r="G71" s="7">
        <v>15.59</v>
      </c>
      <c r="H71" s="7">
        <v>13.93</v>
      </c>
      <c r="I71" s="7">
        <v>13.35</v>
      </c>
      <c r="J71" s="7">
        <v>8.2247415316655026</v>
      </c>
    </row>
    <row r="72" spans="1:10" x14ac:dyDescent="0.3">
      <c r="A72" t="s">
        <v>305</v>
      </c>
      <c r="D72" s="7"/>
      <c r="E72" s="7"/>
      <c r="F72" s="7"/>
      <c r="G72" s="7"/>
      <c r="H72" s="7"/>
      <c r="I72" s="7"/>
      <c r="J72" s="7"/>
    </row>
    <row r="73" spans="1:10" x14ac:dyDescent="0.3">
      <c r="B73" t="s">
        <v>202</v>
      </c>
      <c r="D73" s="7">
        <v>55.98</v>
      </c>
      <c r="E73" s="7">
        <v>59.99</v>
      </c>
      <c r="F73" s="7">
        <v>60.65</v>
      </c>
      <c r="G73" s="7">
        <v>62.06</v>
      </c>
      <c r="H73" s="7">
        <v>54.71</v>
      </c>
      <c r="I73" s="7">
        <v>59.12</v>
      </c>
      <c r="J73" s="7">
        <v>61.44</v>
      </c>
    </row>
    <row r="74" spans="1:10" x14ac:dyDescent="0.3">
      <c r="B74" t="s">
        <v>203</v>
      </c>
      <c r="D74" s="7">
        <v>70.66</v>
      </c>
      <c r="E74" s="7">
        <v>75.16</v>
      </c>
      <c r="F74" s="7">
        <v>77.91</v>
      </c>
      <c r="G74" s="7">
        <v>77.89</v>
      </c>
      <c r="H74" s="7">
        <v>71.33</v>
      </c>
      <c r="I74" s="7">
        <v>73.45</v>
      </c>
      <c r="J74" s="7">
        <v>72.81</v>
      </c>
    </row>
    <row r="75" spans="1:10" x14ac:dyDescent="0.3">
      <c r="B75" t="s">
        <v>204</v>
      </c>
      <c r="D75" s="7">
        <v>30.22</v>
      </c>
      <c r="E75" s="7">
        <v>38.56</v>
      </c>
      <c r="F75" s="7">
        <v>35.17</v>
      </c>
      <c r="G75" s="7">
        <v>33.47</v>
      </c>
      <c r="H75" s="7">
        <v>25.65</v>
      </c>
      <c r="I75" s="7">
        <v>35.47</v>
      </c>
      <c r="J75" s="7">
        <v>39.090000000000003</v>
      </c>
    </row>
    <row r="76" spans="1:10" x14ac:dyDescent="0.3">
      <c r="A76" s="8" t="s">
        <v>37</v>
      </c>
      <c r="B76" s="8"/>
      <c r="C76" s="9">
        <v>47</v>
      </c>
      <c r="D76" s="7">
        <v>49.514338502015086</v>
      </c>
      <c r="E76" s="7">
        <v>50.488968678958834</v>
      </c>
      <c r="F76" s="30">
        <v>54.748083441875764</v>
      </c>
      <c r="G76" s="30">
        <v>54.798177708966001</v>
      </c>
      <c r="H76" s="30">
        <v>50.363740506418466</v>
      </c>
      <c r="I76" s="30">
        <v>51.620788368318756</v>
      </c>
      <c r="J76" s="30">
        <v>56.661914346359602</v>
      </c>
    </row>
    <row r="77" spans="1:10" x14ac:dyDescent="0.3">
      <c r="A77" s="31" t="s">
        <v>338</v>
      </c>
      <c r="B77" s="31"/>
      <c r="C77" s="63"/>
      <c r="D77" s="30">
        <v>47.325510522072548</v>
      </c>
      <c r="E77" s="30">
        <v>48.456725518613496</v>
      </c>
      <c r="F77" s="30">
        <v>52.435132900433402</v>
      </c>
      <c r="G77" s="30">
        <v>52.741273963056123</v>
      </c>
      <c r="H77" s="30">
        <v>48.176423277937872</v>
      </c>
      <c r="I77" s="30">
        <v>48.377333846261067</v>
      </c>
      <c r="J77" s="30">
        <v>54.864838975492106</v>
      </c>
    </row>
    <row r="78" spans="1:10" x14ac:dyDescent="0.3">
      <c r="A78" t="s">
        <v>268</v>
      </c>
      <c r="D78" s="7"/>
      <c r="E78" s="7"/>
      <c r="F78" s="7"/>
      <c r="G78" s="7"/>
      <c r="H78" s="7"/>
      <c r="I78" s="7"/>
      <c r="J78" s="7"/>
    </row>
    <row r="79" spans="1:10" x14ac:dyDescent="0.3">
      <c r="A79">
        <v>4</v>
      </c>
      <c r="B79" t="s">
        <v>205</v>
      </c>
      <c r="D79" s="7">
        <v>8.4134881149806517</v>
      </c>
      <c r="E79" s="7">
        <v>8.2937603533959141</v>
      </c>
      <c r="F79" s="30">
        <v>7.3503127792672025</v>
      </c>
      <c r="G79" s="30">
        <v>6.8300255017185938</v>
      </c>
      <c r="H79" s="30">
        <v>6.712072942985829</v>
      </c>
      <c r="I79" s="30">
        <v>6.4475778940186492</v>
      </c>
      <c r="J79" s="30">
        <v>6.1359137893116342</v>
      </c>
    </row>
    <row r="80" spans="1:10" x14ac:dyDescent="0.3">
      <c r="A80">
        <v>9</v>
      </c>
      <c r="B80" t="s">
        <v>350</v>
      </c>
      <c r="D80" s="7">
        <v>19.027086788280819</v>
      </c>
      <c r="E80" s="7">
        <v>21.855328547763666</v>
      </c>
      <c r="F80" s="30">
        <v>21.67113494191242</v>
      </c>
      <c r="G80" s="30">
        <v>21.79842554606941</v>
      </c>
      <c r="H80" s="30">
        <v>19.938481819180488</v>
      </c>
      <c r="I80" s="30">
        <v>21.071184898794634</v>
      </c>
      <c r="J80" s="30">
        <v>19.166483395645482</v>
      </c>
    </row>
    <row r="81" spans="1:10" x14ac:dyDescent="0.3">
      <c r="A81">
        <v>10</v>
      </c>
      <c r="B81" t="s">
        <v>206</v>
      </c>
      <c r="D81" s="7">
        <v>19.668325041459369</v>
      </c>
      <c r="E81" s="7">
        <v>19.62451684152402</v>
      </c>
      <c r="F81" s="30">
        <v>18.029490616621985</v>
      </c>
      <c r="G81" s="30">
        <v>15.94411797316776</v>
      </c>
      <c r="H81" s="30">
        <v>20.333955838734486</v>
      </c>
      <c r="I81" s="30">
        <v>18.785535592449399</v>
      </c>
      <c r="J81" s="30">
        <v>16.989223663954256</v>
      </c>
    </row>
    <row r="82" spans="1:10" x14ac:dyDescent="0.3">
      <c r="A82">
        <v>12</v>
      </c>
      <c r="B82" t="s">
        <v>207</v>
      </c>
      <c r="D82" s="7">
        <v>12.769485903814262</v>
      </c>
      <c r="E82" s="7">
        <v>11.187189398122586</v>
      </c>
      <c r="F82" s="30">
        <v>12.846291331546023</v>
      </c>
      <c r="G82" s="30">
        <v>13.016964186716931</v>
      </c>
      <c r="H82" s="30">
        <v>15.588267604086564</v>
      </c>
      <c r="I82" s="30">
        <v>15.07846258812827</v>
      </c>
      <c r="J82" s="30">
        <v>15.405762040906094</v>
      </c>
    </row>
    <row r="83" spans="1:10" x14ac:dyDescent="0.3">
      <c r="A83" t="s">
        <v>208</v>
      </c>
      <c r="D83" s="7"/>
      <c r="E83" s="7"/>
      <c r="F83" s="7"/>
      <c r="G83" s="7"/>
      <c r="H83" s="7"/>
      <c r="I83" s="7"/>
      <c r="J83" s="7"/>
    </row>
    <row r="84" spans="1:10" x14ac:dyDescent="0.3">
      <c r="A84">
        <v>4</v>
      </c>
      <c r="B84" t="s">
        <v>205</v>
      </c>
      <c r="D84" s="7">
        <v>77.11</v>
      </c>
      <c r="E84" s="7">
        <v>67.48</v>
      </c>
      <c r="F84" s="7">
        <v>70.14</v>
      </c>
      <c r="G84" s="7">
        <v>75.819999999999993</v>
      </c>
      <c r="H84" s="7">
        <v>62.12</v>
      </c>
      <c r="I84" s="7">
        <v>69.17</v>
      </c>
      <c r="J84" s="7">
        <v>71.55</v>
      </c>
    </row>
    <row r="85" spans="1:10" x14ac:dyDescent="0.3">
      <c r="A85">
        <v>9</v>
      </c>
      <c r="B85" t="s">
        <v>350</v>
      </c>
      <c r="D85" s="7">
        <v>87.35</v>
      </c>
      <c r="E85" s="7">
        <v>75.77</v>
      </c>
      <c r="F85" s="7">
        <v>83.7</v>
      </c>
      <c r="G85" s="7">
        <v>81.99</v>
      </c>
      <c r="H85" s="7">
        <v>88.51</v>
      </c>
      <c r="I85" s="7">
        <v>82.4</v>
      </c>
      <c r="J85" s="7">
        <v>82.24</v>
      </c>
    </row>
    <row r="86" spans="1:10" x14ac:dyDescent="0.3">
      <c r="A86">
        <v>10</v>
      </c>
      <c r="B86" t="s">
        <v>206</v>
      </c>
      <c r="D86" s="7">
        <v>76.209999999999994</v>
      </c>
      <c r="E86" s="7">
        <v>76.239999999999995</v>
      </c>
      <c r="F86" s="7">
        <v>90.47</v>
      </c>
      <c r="G86" s="7">
        <v>84.54</v>
      </c>
      <c r="H86" s="7">
        <v>89.8</v>
      </c>
      <c r="I86" s="7">
        <v>87.01</v>
      </c>
      <c r="J86" s="7">
        <v>91.36</v>
      </c>
    </row>
    <row r="87" spans="1:10" x14ac:dyDescent="0.3">
      <c r="A87">
        <v>12</v>
      </c>
      <c r="B87" t="s">
        <v>207</v>
      </c>
      <c r="D87" s="7">
        <v>67.930000000000007</v>
      </c>
      <c r="E87" s="7">
        <v>62.29</v>
      </c>
      <c r="F87" s="7">
        <v>66.77</v>
      </c>
      <c r="G87" s="7">
        <v>70.069999999999993</v>
      </c>
      <c r="H87" s="7">
        <v>62.98</v>
      </c>
      <c r="I87" s="7">
        <v>65.48</v>
      </c>
      <c r="J87" s="7">
        <v>69.489999999999995</v>
      </c>
    </row>
    <row r="88" spans="1:10" x14ac:dyDescent="0.3">
      <c r="B88" s="68" t="s">
        <v>306</v>
      </c>
      <c r="D88" s="7"/>
      <c r="E88" s="7"/>
      <c r="F88" s="7"/>
      <c r="G88" s="7"/>
      <c r="H88" s="7"/>
      <c r="I88" s="7"/>
      <c r="J88" s="7"/>
    </row>
    <row r="89" spans="1:10" x14ac:dyDescent="0.3">
      <c r="B89" t="s">
        <v>110</v>
      </c>
      <c r="D89" s="7">
        <v>367.13226833883101</v>
      </c>
      <c r="E89" s="7">
        <v>350.14826884227551</v>
      </c>
      <c r="F89" s="7">
        <v>362.58510068602214</v>
      </c>
      <c r="G89" s="7">
        <v>355.01394750014094</v>
      </c>
      <c r="H89" s="7">
        <v>354.72657825926274</v>
      </c>
      <c r="I89" s="7">
        <v>352.25227220007974</v>
      </c>
      <c r="J89" s="7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7">
        <v>170.92035541980178</v>
      </c>
      <c r="G90" s="7">
        <v>180.492157874811</v>
      </c>
      <c r="H90" s="7">
        <v>204.57029658165237</v>
      </c>
      <c r="I90" s="7">
        <v>209.21258224469867</v>
      </c>
      <c r="J90" s="7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7">
        <v>36.521612903225808</v>
      </c>
      <c r="G91" s="7">
        <v>24.474374999999998</v>
      </c>
      <c r="H91" s="7">
        <v>18.420312500000001</v>
      </c>
      <c r="I91" s="7">
        <v>10.619375</v>
      </c>
      <c r="J91" s="7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7">
        <v>1723.4313709635639</v>
      </c>
      <c r="G92" s="7">
        <v>1688.3834954123995</v>
      </c>
      <c r="H92" s="7">
        <v>1744.0187221199872</v>
      </c>
      <c r="I92" s="7">
        <v>1744.7789254873785</v>
      </c>
      <c r="J92" s="7">
        <v>1726.9557160967668</v>
      </c>
    </row>
    <row r="93" spans="1:10" x14ac:dyDescent="0.3">
      <c r="D93" s="7"/>
      <c r="E93" s="7"/>
      <c r="F93" s="7"/>
      <c r="G93" s="7"/>
      <c r="H93" s="7"/>
      <c r="I93" s="7"/>
      <c r="J93" s="7"/>
    </row>
    <row r="94" spans="1:10" x14ac:dyDescent="0.3">
      <c r="B94" s="39" t="s">
        <v>303</v>
      </c>
      <c r="D94" s="7"/>
      <c r="E94" s="7"/>
      <c r="F94" s="7"/>
      <c r="G94" s="7"/>
      <c r="H94" s="7"/>
      <c r="I94" s="7"/>
      <c r="J94" s="7"/>
    </row>
    <row r="95" spans="1:10" x14ac:dyDescent="0.3">
      <c r="D95" s="7"/>
      <c r="E95" s="7"/>
      <c r="F95" s="7"/>
      <c r="G95" s="7"/>
      <c r="H95" s="7"/>
      <c r="I95" s="7"/>
      <c r="J95" s="7"/>
    </row>
    <row r="96" spans="1:10" x14ac:dyDescent="0.3">
      <c r="D96" s="7"/>
      <c r="E96" s="7"/>
      <c r="F96" s="7"/>
      <c r="G96" s="7"/>
      <c r="H96" s="7"/>
      <c r="I96" s="7"/>
      <c r="J96" s="7"/>
    </row>
    <row r="97" spans="4:10" x14ac:dyDescent="0.3">
      <c r="D97" s="7"/>
      <c r="E97" s="7"/>
      <c r="F97" s="7"/>
      <c r="G97" s="7"/>
      <c r="H97" s="7"/>
      <c r="I97" s="7"/>
      <c r="J97" s="7"/>
    </row>
    <row r="98" spans="4:10" x14ac:dyDescent="0.3">
      <c r="D98" s="7"/>
      <c r="E98" s="7"/>
      <c r="F98" s="7"/>
      <c r="G98" s="7"/>
      <c r="H98" s="7"/>
      <c r="I98" s="7"/>
      <c r="J98" s="7"/>
    </row>
    <row r="99" spans="4:10" x14ac:dyDescent="0.3">
      <c r="D99" s="7"/>
      <c r="E99" s="7"/>
      <c r="F99" s="7"/>
      <c r="G99" s="7"/>
      <c r="H99" s="7"/>
      <c r="I99" s="7"/>
      <c r="J99" s="7"/>
    </row>
    <row r="100" spans="4:10" x14ac:dyDescent="0.3">
      <c r="D100" s="7"/>
      <c r="E100" s="7"/>
      <c r="F100" s="7"/>
      <c r="G100" s="7"/>
      <c r="H100" s="7"/>
      <c r="I100" s="7"/>
      <c r="J100" s="7"/>
    </row>
    <row r="101" spans="4:10" x14ac:dyDescent="0.3">
      <c r="D101" s="7"/>
      <c r="E101" s="7"/>
      <c r="F101" s="7"/>
      <c r="G101" s="7"/>
      <c r="H101" s="7"/>
      <c r="I101" s="7"/>
      <c r="J101" s="7"/>
    </row>
    <row r="102" spans="4:10" x14ac:dyDescent="0.3">
      <c r="D102" s="7"/>
      <c r="E102" s="7"/>
      <c r="F102" s="7"/>
      <c r="G102" s="7"/>
      <c r="H102" s="7"/>
      <c r="I102" s="7"/>
      <c r="J102" s="7"/>
    </row>
    <row r="103" spans="4:10" x14ac:dyDescent="0.3">
      <c r="D103" s="7"/>
      <c r="E103" s="7"/>
      <c r="F103" s="7"/>
      <c r="G103" s="7"/>
      <c r="H103" s="7"/>
      <c r="I103" s="7"/>
      <c r="J103" s="7"/>
    </row>
    <row r="104" spans="4:10" x14ac:dyDescent="0.3">
      <c r="D104" s="7"/>
      <c r="E104" s="7"/>
      <c r="F104" s="7"/>
      <c r="G104" s="7"/>
      <c r="H104" s="7"/>
      <c r="I104" s="7"/>
      <c r="J104" s="7"/>
    </row>
    <row r="105" spans="4:10" x14ac:dyDescent="0.3">
      <c r="D105" s="7"/>
      <c r="E105" s="7"/>
      <c r="F105" s="7"/>
      <c r="G105" s="7"/>
      <c r="H105" s="7"/>
      <c r="I105" s="7"/>
      <c r="J105" s="7"/>
    </row>
    <row r="106" spans="4:10" x14ac:dyDescent="0.3">
      <c r="D106" s="7"/>
      <c r="E106" s="7"/>
      <c r="F106" s="7"/>
      <c r="G106" s="7"/>
      <c r="H106" s="7"/>
      <c r="I106" s="7"/>
      <c r="J106" s="7"/>
    </row>
    <row r="107" spans="4:10" x14ac:dyDescent="0.3">
      <c r="D107" s="7"/>
      <c r="E107" s="7"/>
      <c r="F107" s="7"/>
      <c r="G107" s="7"/>
      <c r="H107" s="7"/>
      <c r="I107" s="7"/>
      <c r="J107" s="7"/>
    </row>
    <row r="108" spans="4:10" x14ac:dyDescent="0.3">
      <c r="D108" s="7"/>
      <c r="E108" s="7"/>
      <c r="F108" s="7"/>
      <c r="G108" s="7"/>
      <c r="H108" s="7"/>
      <c r="I108" s="7"/>
      <c r="J108" s="7"/>
    </row>
    <row r="109" spans="4:10" x14ac:dyDescent="0.3">
      <c r="D109" s="7"/>
      <c r="E109" s="7"/>
      <c r="F109" s="7"/>
      <c r="G109" s="7"/>
      <c r="H109" s="7"/>
      <c r="I109" s="7"/>
      <c r="J109" s="7"/>
    </row>
    <row r="110" spans="4:10" x14ac:dyDescent="0.3">
      <c r="D110" s="7"/>
      <c r="E110" s="7"/>
      <c r="F110" s="7"/>
      <c r="G110" s="7"/>
      <c r="H110" s="7"/>
      <c r="I110" s="7"/>
      <c r="J110" s="7"/>
    </row>
    <row r="111" spans="4:10" x14ac:dyDescent="0.3">
      <c r="D111" s="7"/>
      <c r="E111" s="7"/>
      <c r="F111" s="7"/>
      <c r="G111" s="7"/>
      <c r="H111" s="7"/>
      <c r="I111" s="7"/>
      <c r="J111" s="7"/>
    </row>
    <row r="112" spans="4:10" x14ac:dyDescent="0.3">
      <c r="D112" s="7"/>
      <c r="E112" s="7"/>
      <c r="F112" s="7"/>
      <c r="G112" s="7"/>
      <c r="H112" s="7"/>
      <c r="I112" s="7"/>
      <c r="J112" s="7"/>
    </row>
    <row r="113" spans="2:10" x14ac:dyDescent="0.3">
      <c r="D113" s="7"/>
      <c r="E113" s="7"/>
      <c r="F113" s="7"/>
      <c r="G113" s="7"/>
      <c r="H113" s="7"/>
      <c r="I113" s="7"/>
      <c r="J113" s="7"/>
    </row>
    <row r="114" spans="2:10" x14ac:dyDescent="0.3">
      <c r="D114" s="7"/>
      <c r="E114" s="7"/>
      <c r="F114" s="7"/>
      <c r="G114" s="7"/>
      <c r="H114" s="7"/>
      <c r="I114" s="7"/>
      <c r="J114" s="7"/>
    </row>
    <row r="115" spans="2:10" x14ac:dyDescent="0.3">
      <c r="B115" s="39" t="s">
        <v>304</v>
      </c>
      <c r="D115" s="7"/>
      <c r="E115" s="7"/>
      <c r="F115" s="7"/>
      <c r="G115" s="7"/>
      <c r="H115" s="7"/>
      <c r="I115" s="7"/>
      <c r="J115" s="7"/>
    </row>
    <row r="116" spans="2:10" x14ac:dyDescent="0.3">
      <c r="D116" s="7"/>
      <c r="E116" s="7"/>
      <c r="F116" s="7"/>
      <c r="G116" s="7"/>
      <c r="H116" s="7"/>
      <c r="I116" s="7"/>
      <c r="J116" s="7"/>
    </row>
    <row r="117" spans="2:10" x14ac:dyDescent="0.3">
      <c r="D117" s="7"/>
      <c r="E117" s="7"/>
      <c r="F117" s="7"/>
      <c r="G117" s="7"/>
      <c r="H117" s="7"/>
      <c r="I117" s="7"/>
      <c r="J117" s="7"/>
    </row>
    <row r="118" spans="2:10" x14ac:dyDescent="0.3">
      <c r="D118" s="7"/>
      <c r="E118" s="7"/>
      <c r="F118" s="7"/>
      <c r="G118" s="7"/>
      <c r="H118" s="7"/>
      <c r="I118" s="7"/>
      <c r="J118" s="7"/>
    </row>
    <row r="119" spans="2:10" x14ac:dyDescent="0.3">
      <c r="D119" s="7"/>
      <c r="E119" s="7"/>
      <c r="F119" s="7"/>
      <c r="G119" s="7"/>
      <c r="H119" s="7"/>
      <c r="I119" s="7"/>
      <c r="J119" s="7"/>
    </row>
    <row r="120" spans="2:10" x14ac:dyDescent="0.3">
      <c r="D120" s="7"/>
      <c r="E120" s="7"/>
      <c r="F120" s="7"/>
      <c r="G120" s="7"/>
      <c r="H120" s="7"/>
      <c r="I120" s="7"/>
      <c r="J120" s="7"/>
    </row>
    <row r="121" spans="2:10" x14ac:dyDescent="0.3">
      <c r="D121" s="7"/>
      <c r="E121" s="7"/>
      <c r="F121" s="7"/>
      <c r="G121" s="7"/>
      <c r="H121" s="7"/>
      <c r="I121" s="7"/>
      <c r="J121" s="7"/>
    </row>
    <row r="122" spans="2:10" x14ac:dyDescent="0.3">
      <c r="D122" s="7"/>
      <c r="E122" s="7"/>
      <c r="F122" s="7"/>
      <c r="G122" s="7"/>
      <c r="H122" s="7"/>
      <c r="I122" s="7"/>
      <c r="J122" s="7"/>
    </row>
    <row r="123" spans="2:10" x14ac:dyDescent="0.3">
      <c r="D123" s="7"/>
      <c r="E123" s="7"/>
      <c r="F123" s="7"/>
      <c r="G123" s="7"/>
      <c r="H123" s="7"/>
      <c r="I123" s="7"/>
      <c r="J123" s="7"/>
    </row>
    <row r="124" spans="2:10" x14ac:dyDescent="0.3">
      <c r="D124" s="7"/>
      <c r="E124" s="7"/>
      <c r="F124" s="7"/>
      <c r="G124" s="7"/>
      <c r="H124" s="7"/>
      <c r="I124" s="7"/>
      <c r="J124" s="7"/>
    </row>
    <row r="125" spans="2:10" x14ac:dyDescent="0.3">
      <c r="D125" s="7"/>
      <c r="E125" s="7"/>
      <c r="F125" s="7"/>
      <c r="G125" s="7"/>
      <c r="H125" s="7"/>
      <c r="I125" s="7"/>
      <c r="J125" s="7"/>
    </row>
    <row r="126" spans="2:10" x14ac:dyDescent="0.3">
      <c r="D126" s="7"/>
      <c r="E126" s="7"/>
      <c r="F126" s="7"/>
      <c r="G126" s="7"/>
      <c r="H126" s="7"/>
      <c r="I126" s="7"/>
      <c r="J126" s="7"/>
    </row>
    <row r="127" spans="2:10" x14ac:dyDescent="0.3">
      <c r="D127" s="7"/>
      <c r="E127" s="7"/>
      <c r="F127" s="7"/>
      <c r="G127" s="7"/>
      <c r="H127" s="7"/>
      <c r="I127" s="7"/>
      <c r="J127" s="7"/>
    </row>
    <row r="128" spans="2:10" x14ac:dyDescent="0.3">
      <c r="D128" s="7"/>
      <c r="E128" s="7"/>
      <c r="F128" s="7"/>
      <c r="G128" s="7"/>
      <c r="H128" s="7"/>
      <c r="I128" s="7"/>
      <c r="J128" s="7"/>
    </row>
    <row r="129" spans="2:10" x14ac:dyDescent="0.3">
      <c r="D129" s="7"/>
      <c r="E129" s="7"/>
      <c r="F129" s="7"/>
      <c r="G129" s="7"/>
      <c r="H129" s="7"/>
      <c r="I129" s="7"/>
      <c r="J129" s="7"/>
    </row>
    <row r="130" spans="2:10" x14ac:dyDescent="0.3">
      <c r="D130" s="7"/>
      <c r="E130" s="7"/>
      <c r="F130" s="7"/>
      <c r="G130" s="7"/>
      <c r="H130" s="7"/>
      <c r="I130" s="7"/>
      <c r="J130" s="7"/>
    </row>
    <row r="131" spans="2:10" x14ac:dyDescent="0.3">
      <c r="D131" s="7"/>
      <c r="E131" s="7"/>
      <c r="F131" s="7"/>
      <c r="G131" s="7"/>
      <c r="H131" s="7"/>
      <c r="I131" s="7"/>
      <c r="J131" s="7"/>
    </row>
    <row r="132" spans="2:10" x14ac:dyDescent="0.3">
      <c r="D132" s="7"/>
      <c r="E132" s="7"/>
      <c r="F132" s="7"/>
      <c r="G132" s="7"/>
      <c r="H132" s="7"/>
      <c r="I132" s="7"/>
      <c r="J132" s="7"/>
    </row>
    <row r="133" spans="2:10" x14ac:dyDescent="0.3">
      <c r="D133" s="7"/>
      <c r="E133" s="7"/>
      <c r="F133" s="7"/>
      <c r="G133" s="7"/>
      <c r="H133" s="7"/>
      <c r="I133" s="7"/>
      <c r="J133" s="7"/>
    </row>
    <row r="134" spans="2:10" x14ac:dyDescent="0.3">
      <c r="D134" s="7"/>
      <c r="E134" s="7"/>
      <c r="F134" s="7"/>
      <c r="G134" s="7"/>
      <c r="H134" s="7"/>
      <c r="I134" s="7"/>
      <c r="J134" s="7"/>
    </row>
    <row r="135" spans="2:10" x14ac:dyDescent="0.3">
      <c r="D135" s="7"/>
      <c r="E135" s="7"/>
      <c r="F135" s="7"/>
      <c r="G135" s="7"/>
      <c r="H135" s="7"/>
      <c r="I135" s="7"/>
      <c r="J135" s="7"/>
    </row>
    <row r="136" spans="2:10" x14ac:dyDescent="0.3">
      <c r="B136" s="39" t="s">
        <v>159</v>
      </c>
      <c r="D136" s="7"/>
      <c r="E136" s="7"/>
      <c r="F136" s="7"/>
      <c r="G136" s="7"/>
      <c r="H136" s="7"/>
      <c r="I136" s="7"/>
      <c r="J136" s="7"/>
    </row>
    <row r="137" spans="2:10" x14ac:dyDescent="0.3">
      <c r="D137" s="7"/>
      <c r="E137" s="7"/>
      <c r="F137" s="7"/>
      <c r="G137" s="7"/>
      <c r="H137" s="7"/>
      <c r="I137" s="7"/>
      <c r="J137" s="7"/>
    </row>
    <row r="138" spans="2:10" x14ac:dyDescent="0.3">
      <c r="D138" s="7"/>
      <c r="E138" s="7"/>
      <c r="F138" s="7"/>
      <c r="G138" s="7"/>
      <c r="H138" s="7"/>
      <c r="I138" s="7"/>
      <c r="J138" s="7"/>
    </row>
    <row r="139" spans="2:10" x14ac:dyDescent="0.3">
      <c r="D139" s="7"/>
      <c r="E139" s="7"/>
      <c r="F139" s="7"/>
      <c r="G139" s="7"/>
      <c r="H139" s="7"/>
      <c r="I139" s="7"/>
      <c r="J139" s="7"/>
    </row>
    <row r="140" spans="2:10" x14ac:dyDescent="0.3">
      <c r="D140" s="7"/>
      <c r="E140" s="7"/>
      <c r="F140" s="7"/>
      <c r="G140" s="7"/>
      <c r="H140" s="7"/>
      <c r="I140" s="7"/>
      <c r="J140" s="7"/>
    </row>
    <row r="141" spans="2:10" x14ac:dyDescent="0.3">
      <c r="D141" s="7"/>
      <c r="E141" s="7"/>
      <c r="F141" s="7"/>
      <c r="G141" s="7"/>
      <c r="H141" s="7"/>
      <c r="I141" s="7"/>
      <c r="J141" s="7"/>
    </row>
    <row r="142" spans="2:10" x14ac:dyDescent="0.3">
      <c r="D142" s="7"/>
      <c r="E142" s="7"/>
      <c r="F142" s="7"/>
      <c r="G142" s="7"/>
      <c r="H142" s="7"/>
      <c r="I142" s="7"/>
      <c r="J142" s="7"/>
    </row>
    <row r="143" spans="2:10" x14ac:dyDescent="0.3">
      <c r="D143" s="7"/>
      <c r="E143" s="7"/>
      <c r="F143" s="7"/>
      <c r="G143" s="7"/>
      <c r="H143" s="7"/>
      <c r="I143" s="7"/>
      <c r="J143" s="7"/>
    </row>
    <row r="144" spans="2:10" x14ac:dyDescent="0.3">
      <c r="D144" s="7"/>
      <c r="E144" s="7"/>
      <c r="F144" s="7"/>
      <c r="G144" s="7"/>
      <c r="H144" s="7"/>
      <c r="I144" s="7"/>
      <c r="J144" s="7"/>
    </row>
    <row r="145" spans="2:10" x14ac:dyDescent="0.3">
      <c r="D145" s="7"/>
      <c r="E145" s="7"/>
      <c r="F145" s="7"/>
      <c r="G145" s="7"/>
      <c r="H145" s="7"/>
      <c r="I145" s="7"/>
      <c r="J145" s="7"/>
    </row>
    <row r="146" spans="2:10" x14ac:dyDescent="0.3">
      <c r="D146" s="7"/>
      <c r="E146" s="7"/>
      <c r="F146" s="7"/>
      <c r="G146" s="7"/>
      <c r="H146" s="7"/>
      <c r="I146" s="7"/>
      <c r="J146" s="7"/>
    </row>
    <row r="147" spans="2:10" x14ac:dyDescent="0.3">
      <c r="D147" s="7"/>
      <c r="E147" s="7"/>
      <c r="F147" s="7"/>
      <c r="G147" s="7"/>
      <c r="H147" s="7"/>
      <c r="I147" s="7"/>
      <c r="J147" s="7"/>
    </row>
    <row r="148" spans="2:10" x14ac:dyDescent="0.3">
      <c r="D148" s="7"/>
      <c r="E148" s="7"/>
      <c r="F148" s="7"/>
      <c r="G148" s="7"/>
      <c r="H148" s="7"/>
      <c r="I148" s="7"/>
      <c r="J148" s="7"/>
    </row>
    <row r="149" spans="2:10" x14ac:dyDescent="0.3">
      <c r="D149" s="7"/>
      <c r="E149" s="7"/>
      <c r="F149" s="7"/>
      <c r="G149" s="7"/>
      <c r="H149" s="7"/>
      <c r="I149" s="7"/>
      <c r="J149" s="7"/>
    </row>
    <row r="150" spans="2:10" x14ac:dyDescent="0.3">
      <c r="D150" s="7"/>
      <c r="E150" s="7"/>
      <c r="F150" s="7"/>
      <c r="G150" s="7"/>
      <c r="H150" s="7"/>
      <c r="I150" s="7"/>
      <c r="J150" s="7"/>
    </row>
    <row r="151" spans="2:10" x14ac:dyDescent="0.3">
      <c r="D151" s="7"/>
      <c r="E151" s="7"/>
      <c r="F151" s="7"/>
      <c r="G151" s="7"/>
      <c r="H151" s="7"/>
      <c r="I151" s="7"/>
      <c r="J151" s="7"/>
    </row>
    <row r="152" spans="2:10" x14ac:dyDescent="0.3">
      <c r="D152" s="7"/>
      <c r="E152" s="7"/>
      <c r="F152" s="7"/>
      <c r="G152" s="7"/>
      <c r="H152" s="7"/>
      <c r="I152" s="7"/>
      <c r="J152" s="7"/>
    </row>
    <row r="153" spans="2:10" x14ac:dyDescent="0.3">
      <c r="D153" s="7"/>
      <c r="E153" s="7"/>
      <c r="F153" s="7"/>
      <c r="G153" s="7"/>
      <c r="H153" s="7"/>
      <c r="I153" s="7"/>
      <c r="J153" s="7"/>
    </row>
    <row r="154" spans="2:10" x14ac:dyDescent="0.3">
      <c r="D154" s="7"/>
      <c r="E154" s="7"/>
      <c r="F154" s="7"/>
      <c r="G154" s="7"/>
      <c r="H154" s="7"/>
      <c r="I154" s="7"/>
      <c r="J154" s="7"/>
    </row>
    <row r="155" spans="2:10" x14ac:dyDescent="0.3">
      <c r="D155" s="7"/>
      <c r="E155" s="7"/>
      <c r="F155" s="7"/>
      <c r="G155" s="7"/>
      <c r="H155" s="7"/>
      <c r="I155" s="7"/>
      <c r="J155" s="7"/>
    </row>
    <row r="156" spans="2:10" x14ac:dyDescent="0.3">
      <c r="D156" s="7"/>
      <c r="E156" s="7"/>
      <c r="F156" s="7"/>
      <c r="G156" s="7"/>
      <c r="H156" s="7"/>
      <c r="I156" s="7"/>
      <c r="J156" s="7"/>
    </row>
    <row r="157" spans="2:10" x14ac:dyDescent="0.3">
      <c r="B157" s="39" t="s">
        <v>168</v>
      </c>
      <c r="D157" s="7"/>
      <c r="E157" s="7"/>
      <c r="F157" s="7"/>
      <c r="G157" s="7"/>
      <c r="H157" s="7"/>
      <c r="I157" s="7"/>
      <c r="J157" s="7"/>
    </row>
    <row r="158" spans="2:10" x14ac:dyDescent="0.3">
      <c r="D158" s="7"/>
      <c r="E158" s="7"/>
      <c r="F158" s="7"/>
      <c r="G158" s="7"/>
      <c r="H158" s="7"/>
      <c r="I158" s="7"/>
      <c r="J158" s="7"/>
    </row>
    <row r="159" spans="2:10" x14ac:dyDescent="0.3">
      <c r="D159" s="7"/>
      <c r="E159" s="7"/>
      <c r="F159" s="7"/>
      <c r="G159" s="7"/>
      <c r="H159" s="7"/>
      <c r="I159" s="7"/>
      <c r="J159" s="7"/>
    </row>
    <row r="160" spans="2:10" x14ac:dyDescent="0.3">
      <c r="D160" s="7"/>
      <c r="E160" s="7"/>
      <c r="F160" s="7"/>
      <c r="G160" s="7"/>
      <c r="H160" s="7"/>
      <c r="I160" s="7"/>
      <c r="J160" s="7"/>
    </row>
    <row r="161" spans="4:10" x14ac:dyDescent="0.3">
      <c r="D161" s="7"/>
      <c r="E161" s="7"/>
      <c r="F161" s="7"/>
      <c r="G161" s="7"/>
      <c r="H161" s="7"/>
      <c r="I161" s="7"/>
      <c r="J161" s="7"/>
    </row>
    <row r="162" spans="4:10" x14ac:dyDescent="0.3">
      <c r="D162" s="7"/>
      <c r="E162" s="7"/>
      <c r="F162" s="7"/>
      <c r="G162" s="7"/>
      <c r="H162" s="7"/>
      <c r="I162" s="7"/>
      <c r="J162" s="7"/>
    </row>
    <row r="163" spans="4:10" x14ac:dyDescent="0.3">
      <c r="D163" s="7"/>
      <c r="E163" s="7"/>
      <c r="F163" s="7"/>
      <c r="G163" s="7"/>
      <c r="H163" s="7"/>
      <c r="I163" s="7"/>
      <c r="J163" s="7"/>
    </row>
    <row r="164" spans="4:10" x14ac:dyDescent="0.3">
      <c r="D164" s="7"/>
      <c r="E164" s="7"/>
      <c r="F164" s="7"/>
      <c r="G164" s="7"/>
      <c r="H164" s="7"/>
      <c r="I164" s="7"/>
      <c r="J164" s="7"/>
    </row>
    <row r="165" spans="4:10" x14ac:dyDescent="0.3">
      <c r="D165" s="7"/>
      <c r="E165" s="7"/>
      <c r="F165" s="7"/>
      <c r="G165" s="7"/>
      <c r="H165" s="7"/>
      <c r="I165" s="7"/>
      <c r="J165" s="7"/>
    </row>
    <row r="166" spans="4:10" x14ac:dyDescent="0.3">
      <c r="D166" s="7"/>
      <c r="E166" s="7"/>
      <c r="F166" s="7"/>
      <c r="G166" s="7"/>
      <c r="H166" s="7"/>
      <c r="I166" s="7"/>
      <c r="J166" s="7"/>
    </row>
    <row r="167" spans="4:10" x14ac:dyDescent="0.3">
      <c r="D167" s="7"/>
      <c r="E167" s="7"/>
      <c r="F167" s="7"/>
      <c r="G167" s="7"/>
      <c r="H167" s="7"/>
      <c r="I167" s="7"/>
      <c r="J167" s="7"/>
    </row>
    <row r="168" spans="4:10" x14ac:dyDescent="0.3">
      <c r="D168" s="7"/>
      <c r="E168" s="7"/>
      <c r="F168" s="7"/>
      <c r="G168" s="7"/>
      <c r="H168" s="7"/>
      <c r="I168" s="7"/>
      <c r="J168" s="7"/>
    </row>
    <row r="169" spans="4:10" x14ac:dyDescent="0.3">
      <c r="D169" s="7"/>
      <c r="E169" s="7"/>
      <c r="F169" s="7"/>
      <c r="G169" s="7"/>
      <c r="H169" s="7"/>
      <c r="I169" s="7"/>
      <c r="J169" s="7"/>
    </row>
    <row r="170" spans="4:10" x14ac:dyDescent="0.3">
      <c r="D170" s="7"/>
      <c r="E170" s="7"/>
      <c r="F170" s="7"/>
      <c r="G170" s="7"/>
      <c r="H170" s="7"/>
      <c r="I170" s="7"/>
      <c r="J170" s="7"/>
    </row>
    <row r="171" spans="4:10" x14ac:dyDescent="0.3">
      <c r="D171" s="7"/>
      <c r="E171" s="7"/>
      <c r="F171" s="7"/>
      <c r="G171" s="7"/>
      <c r="H171" s="7"/>
      <c r="I171" s="7"/>
      <c r="J171" s="7"/>
    </row>
    <row r="172" spans="4:10" x14ac:dyDescent="0.3">
      <c r="D172" s="7"/>
      <c r="E172" s="7"/>
      <c r="F172" s="7"/>
      <c r="G172" s="7"/>
      <c r="H172" s="7"/>
      <c r="I172" s="7"/>
      <c r="J172" s="7"/>
    </row>
    <row r="173" spans="4:10" x14ac:dyDescent="0.3">
      <c r="D173" s="7"/>
      <c r="E173" s="7"/>
      <c r="F173" s="7"/>
      <c r="G173" s="7"/>
      <c r="H173" s="7"/>
      <c r="I173" s="7"/>
      <c r="J173" s="7"/>
    </row>
    <row r="174" spans="4:10" x14ac:dyDescent="0.3">
      <c r="D174" s="7"/>
      <c r="E174" s="7"/>
      <c r="F174" s="7"/>
      <c r="G174" s="7"/>
      <c r="H174" s="7"/>
      <c r="I174" s="7"/>
      <c r="J174" s="7"/>
    </row>
    <row r="175" spans="4:10" x14ac:dyDescent="0.3">
      <c r="D175" s="7"/>
      <c r="E175" s="7"/>
      <c r="F175" s="7"/>
      <c r="G175" s="7"/>
      <c r="H175" s="7"/>
      <c r="I175" s="7"/>
      <c r="J175" s="7"/>
    </row>
    <row r="176" spans="4:10" x14ac:dyDescent="0.3">
      <c r="D176" s="7"/>
      <c r="E176" s="7"/>
      <c r="F176" s="7"/>
      <c r="G176" s="7"/>
      <c r="H176" s="7"/>
      <c r="I176" s="7"/>
      <c r="J176" s="7"/>
    </row>
    <row r="177" spans="2:10" x14ac:dyDescent="0.3">
      <c r="D177" s="7"/>
      <c r="E177" s="7"/>
      <c r="F177" s="7"/>
      <c r="G177" s="7"/>
      <c r="H177" s="7"/>
      <c r="I177" s="7"/>
      <c r="J177" s="7"/>
    </row>
    <row r="178" spans="2:10" x14ac:dyDescent="0.3">
      <c r="B178" s="39" t="s">
        <v>302</v>
      </c>
    </row>
    <row r="179" spans="2:10" x14ac:dyDescent="0.3">
      <c r="E179" s="31"/>
    </row>
    <row r="199" spans="2:2" x14ac:dyDescent="0.3">
      <c r="B199" s="39" t="s">
        <v>268</v>
      </c>
    </row>
    <row r="218" spans="2:2" x14ac:dyDescent="0.3">
      <c r="B218" s="39" t="s">
        <v>208</v>
      </c>
    </row>
  </sheetData>
  <mergeCells count="1">
    <mergeCell ref="A1:B1"/>
  </mergeCells>
  <conditionalFormatting sqref="D3">
    <cfRule type="cellIs" dxfId="55" priority="45" operator="greaterThan">
      <formula>$C3</formula>
    </cfRule>
  </conditionalFormatting>
  <conditionalFormatting sqref="D12">
    <cfRule type="cellIs" dxfId="54" priority="43" operator="lessThan">
      <formula>$C12</formula>
    </cfRule>
  </conditionalFormatting>
  <conditionalFormatting sqref="D15:G15 J15">
    <cfRule type="cellIs" dxfId="53" priority="41" operator="greaterThan">
      <formula>$C$15</formula>
    </cfRule>
  </conditionalFormatting>
  <conditionalFormatting sqref="E3:G3 J3">
    <cfRule type="cellIs" dxfId="52" priority="37" operator="greaterThan">
      <formula>$C3</formula>
    </cfRule>
  </conditionalFormatting>
  <conditionalFormatting sqref="D51:G51 J51">
    <cfRule type="cellIs" dxfId="51" priority="36" operator="greaterThan">
      <formula>$C51</formula>
    </cfRule>
  </conditionalFormatting>
  <conditionalFormatting sqref="D62:G62 J62">
    <cfRule type="cellIs" dxfId="50" priority="35" operator="greaterThan">
      <formula>$C62</formula>
    </cfRule>
  </conditionalFormatting>
  <conditionalFormatting sqref="D64:G64 J64">
    <cfRule type="cellIs" dxfId="49" priority="34" operator="greaterThan">
      <formula>$C64</formula>
    </cfRule>
  </conditionalFormatting>
  <conditionalFormatting sqref="E12:G12 J12">
    <cfRule type="cellIs" dxfId="48" priority="33" operator="lessThan">
      <formula>$C12</formula>
    </cfRule>
  </conditionalFormatting>
  <conditionalFormatting sqref="D76:E77">
    <cfRule type="cellIs" dxfId="47" priority="32" operator="lessThan">
      <formula>$C76</formula>
    </cfRule>
  </conditionalFormatting>
  <conditionalFormatting sqref="E76:G77 J76:J77">
    <cfRule type="cellIs" dxfId="46" priority="31" operator="lessThan">
      <formula>$C76</formula>
    </cfRule>
  </conditionalFormatting>
  <conditionalFormatting sqref="D65">
    <cfRule type="expression" dxfId="45" priority="22">
      <formula>D$65+D$66&gt;=$C$66</formula>
    </cfRule>
  </conditionalFormatting>
  <conditionalFormatting sqref="E65:G65 J65">
    <cfRule type="expression" dxfId="44" priority="21">
      <formula>E$65+E$66&gt;=$C$66</formula>
    </cfRule>
  </conditionalFormatting>
  <conditionalFormatting sqref="D66">
    <cfRule type="expression" dxfId="43" priority="20">
      <formula>D$65+D$66&gt;=$C$66</formula>
    </cfRule>
  </conditionalFormatting>
  <conditionalFormatting sqref="E66:G66 J66">
    <cfRule type="expression" dxfId="42" priority="19">
      <formula>E$65+E$66&gt;=$C$66</formula>
    </cfRule>
  </conditionalFormatting>
  <conditionalFormatting sqref="H15">
    <cfRule type="cellIs" dxfId="41" priority="18" operator="greaterThan">
      <formula>$C$15</formula>
    </cfRule>
  </conditionalFormatting>
  <conditionalFormatting sqref="H3">
    <cfRule type="cellIs" dxfId="40" priority="17" operator="greaterThan">
      <formula>$C3</formula>
    </cfRule>
  </conditionalFormatting>
  <conditionalFormatting sqref="H51">
    <cfRule type="cellIs" dxfId="39" priority="16" operator="greaterThan">
      <formula>$C51</formula>
    </cfRule>
  </conditionalFormatting>
  <conditionalFormatting sqref="H62">
    <cfRule type="cellIs" dxfId="38" priority="15" operator="greaterThan">
      <formula>$C62</formula>
    </cfRule>
  </conditionalFormatting>
  <conditionalFormatting sqref="H64">
    <cfRule type="cellIs" dxfId="37" priority="14" operator="greaterThan">
      <formula>$C64</formula>
    </cfRule>
  </conditionalFormatting>
  <conditionalFormatting sqref="H12">
    <cfRule type="cellIs" dxfId="36" priority="13" operator="lessThan">
      <formula>$C12</formula>
    </cfRule>
  </conditionalFormatting>
  <conditionalFormatting sqref="H76:H77">
    <cfRule type="cellIs" dxfId="35" priority="12" operator="lessThan">
      <formula>$C76</formula>
    </cfRule>
  </conditionalFormatting>
  <conditionalFormatting sqref="H65">
    <cfRule type="expression" dxfId="34" priority="11">
      <formula>H$65+H$66&gt;=$C$66</formula>
    </cfRule>
  </conditionalFormatting>
  <conditionalFormatting sqref="H66">
    <cfRule type="expression" dxfId="33" priority="10">
      <formula>H$65+H$66&gt;=$C$66</formula>
    </cfRule>
  </conditionalFormatting>
  <conditionalFormatting sqref="I15">
    <cfRule type="cellIs" dxfId="32" priority="9" operator="greaterThan">
      <formula>$C$15</formula>
    </cfRule>
  </conditionalFormatting>
  <conditionalFormatting sqref="I3">
    <cfRule type="cellIs" dxfId="31" priority="8" operator="greaterThan">
      <formula>$C3</formula>
    </cfRule>
  </conditionalFormatting>
  <conditionalFormatting sqref="I51">
    <cfRule type="cellIs" dxfId="30" priority="7" operator="greaterThan">
      <formula>$C51</formula>
    </cfRule>
  </conditionalFormatting>
  <conditionalFormatting sqref="I62">
    <cfRule type="cellIs" dxfId="29" priority="6" operator="greaterThan">
      <formula>$C62</formula>
    </cfRule>
  </conditionalFormatting>
  <conditionalFormatting sqref="I64">
    <cfRule type="cellIs" dxfId="28" priority="5" operator="greaterThan">
      <formula>$C64</formula>
    </cfRule>
  </conditionalFormatting>
  <conditionalFormatting sqref="I12">
    <cfRule type="cellIs" dxfId="27" priority="4" operator="lessThan">
      <formula>$C12</formula>
    </cfRule>
  </conditionalFormatting>
  <conditionalFormatting sqref="I76:I77">
    <cfRule type="cellIs" dxfId="26" priority="3" operator="lessThan">
      <formula>$C76</formula>
    </cfRule>
  </conditionalFormatting>
  <conditionalFormatting sqref="I65">
    <cfRule type="expression" dxfId="25" priority="2">
      <formula>I$65+I$66&gt;=$C$66</formula>
    </cfRule>
  </conditionalFormatting>
  <conditionalFormatting sqref="I66">
    <cfRule type="expression" dxfId="24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sqref="A1:K9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11" width="7.5546875" customWidth="1"/>
  </cols>
  <sheetData>
    <row r="1" spans="1:11" ht="23.25" customHeight="1" x14ac:dyDescent="0.3">
      <c r="A1" s="74" t="s">
        <v>311</v>
      </c>
      <c r="B1" s="74" t="s">
        <v>312</v>
      </c>
      <c r="C1" s="74" t="s">
        <v>322</v>
      </c>
      <c r="D1" s="42" t="s">
        <v>211</v>
      </c>
      <c r="E1" s="42">
        <v>2016</v>
      </c>
      <c r="F1" s="42">
        <v>2017</v>
      </c>
      <c r="G1" s="42">
        <v>2018</v>
      </c>
      <c r="H1" s="42">
        <v>2019</v>
      </c>
      <c r="I1" s="42">
        <v>2020</v>
      </c>
      <c r="J1" s="42">
        <v>2021</v>
      </c>
      <c r="K1" s="42">
        <v>2022</v>
      </c>
    </row>
    <row r="2" spans="1:11" ht="29.25" customHeight="1" x14ac:dyDescent="0.3">
      <c r="A2" s="75" t="s">
        <v>313</v>
      </c>
      <c r="B2" s="75" t="s">
        <v>78</v>
      </c>
      <c r="C2" s="77" t="s">
        <v>321</v>
      </c>
      <c r="D2" s="88" t="s">
        <v>328</v>
      </c>
      <c r="E2" s="82">
        <f>Piano_indicatori!D3</f>
        <v>26.99</v>
      </c>
      <c r="F2" s="82">
        <f>Piano_indicatori!E3</f>
        <v>27.23</v>
      </c>
      <c r="G2" s="82">
        <f>Piano_indicatori!F3</f>
        <v>26.63</v>
      </c>
      <c r="H2" s="82">
        <f>Piano_indicatori!G3</f>
        <v>26.13</v>
      </c>
      <c r="I2" s="82">
        <f>Piano_indicatori!H3</f>
        <v>22.81</v>
      </c>
      <c r="J2" s="82">
        <f>Piano_indicatori!I3</f>
        <v>23.28</v>
      </c>
      <c r="K2" s="82">
        <f>Piano_indicatori!J3</f>
        <v>22.4</v>
      </c>
    </row>
    <row r="3" spans="1:11" ht="29.25" customHeight="1" x14ac:dyDescent="0.3">
      <c r="A3" s="76" t="s">
        <v>314</v>
      </c>
      <c r="B3" s="76" t="s">
        <v>95</v>
      </c>
      <c r="C3" s="78" t="s">
        <v>96</v>
      </c>
      <c r="D3" s="89" t="s">
        <v>329</v>
      </c>
      <c r="E3" s="83">
        <f>Piano_indicatori!D12</f>
        <v>33.090000000000003</v>
      </c>
      <c r="F3" s="83">
        <f>Piano_indicatori!E12</f>
        <v>36.6</v>
      </c>
      <c r="G3" s="83">
        <f>Piano_indicatori!F12</f>
        <v>51.37</v>
      </c>
      <c r="H3" s="83">
        <f>Piano_indicatori!G12</f>
        <v>45.83</v>
      </c>
      <c r="I3" s="83">
        <f>Piano_indicatori!H12</f>
        <v>35.78</v>
      </c>
      <c r="J3" s="83">
        <f>Piano_indicatori!I12</f>
        <v>39.04</v>
      </c>
      <c r="K3" s="83">
        <f>Piano_indicatori!J12</f>
        <v>37.76</v>
      </c>
    </row>
    <row r="4" spans="1:11" ht="29.25" customHeight="1" x14ac:dyDescent="0.3">
      <c r="A4" s="75" t="s">
        <v>315</v>
      </c>
      <c r="B4" s="75" t="s">
        <v>100</v>
      </c>
      <c r="C4" s="79" t="s">
        <v>324</v>
      </c>
      <c r="D4" s="88" t="s">
        <v>330</v>
      </c>
      <c r="E4" s="84">
        <f>Piano_indicatori!D15</f>
        <v>0</v>
      </c>
      <c r="F4" s="84">
        <f>Piano_indicatori!E15</f>
        <v>0</v>
      </c>
      <c r="G4" s="84">
        <f>Piano_indicatori!F15</f>
        <v>0</v>
      </c>
      <c r="H4" s="84">
        <f>Piano_indicatori!G15</f>
        <v>0</v>
      </c>
      <c r="I4" s="84">
        <f>Piano_indicatori!H15</f>
        <v>0</v>
      </c>
      <c r="J4" s="84">
        <f>Piano_indicatori!I15</f>
        <v>0</v>
      </c>
      <c r="K4" s="84">
        <f>Piano_indicatori!J15</f>
        <v>0</v>
      </c>
    </row>
    <row r="5" spans="1:11" ht="29.25" customHeight="1" x14ac:dyDescent="0.3">
      <c r="A5" s="76" t="s">
        <v>316</v>
      </c>
      <c r="B5" s="76" t="s">
        <v>165</v>
      </c>
      <c r="C5" s="80" t="s">
        <v>325</v>
      </c>
      <c r="D5" s="90" t="s">
        <v>331</v>
      </c>
      <c r="E5" s="85">
        <f>Piano_indicatori!D51</f>
        <v>3.29</v>
      </c>
      <c r="F5" s="85">
        <f>Piano_indicatori!E51</f>
        <v>3.29</v>
      </c>
      <c r="G5" s="85">
        <f>Piano_indicatori!F51</f>
        <v>3.29</v>
      </c>
      <c r="H5" s="85">
        <f>Piano_indicatori!G51</f>
        <v>3.29</v>
      </c>
      <c r="I5" s="85">
        <f>Piano_indicatori!H51</f>
        <v>3.29</v>
      </c>
      <c r="J5" s="85">
        <f>Piano_indicatori!I51</f>
        <v>3.29</v>
      </c>
      <c r="K5" s="85">
        <f>Piano_indicatori!J51</f>
        <v>3.29</v>
      </c>
    </row>
    <row r="6" spans="1:11" ht="29.25" customHeight="1" x14ac:dyDescent="0.3">
      <c r="A6" s="75" t="s">
        <v>317</v>
      </c>
      <c r="B6" s="75" t="s">
        <v>185</v>
      </c>
      <c r="C6" s="92" t="s">
        <v>186</v>
      </c>
      <c r="D6" s="91" t="s">
        <v>332</v>
      </c>
      <c r="E6" s="86">
        <f>Piano_indicatori!D62</f>
        <v>0.18</v>
      </c>
      <c r="F6" s="86">
        <f>Piano_indicatori!E62</f>
        <v>0.18</v>
      </c>
      <c r="G6" s="86">
        <f>Piano_indicatori!F62</f>
        <v>0.18</v>
      </c>
      <c r="H6" s="86">
        <f>Piano_indicatori!G62</f>
        <v>0.18</v>
      </c>
      <c r="I6" s="86">
        <f>Piano_indicatori!H62</f>
        <v>0.16</v>
      </c>
      <c r="J6" s="86">
        <f>Piano_indicatori!I62</f>
        <v>0.16</v>
      </c>
      <c r="K6" s="86">
        <f>Piano_indicatori!J62</f>
        <v>0.16</v>
      </c>
    </row>
    <row r="7" spans="1:11" ht="29.25" customHeight="1" x14ac:dyDescent="0.3">
      <c r="A7" s="76" t="s">
        <v>318</v>
      </c>
      <c r="B7" s="76" t="s">
        <v>188</v>
      </c>
      <c r="C7" s="80" t="s">
        <v>189</v>
      </c>
      <c r="D7" s="89" t="s">
        <v>333</v>
      </c>
      <c r="E7" s="109">
        <f>Piano_indicatori!D64</f>
        <v>0.96</v>
      </c>
      <c r="F7" s="109">
        <f>Piano_indicatori!E64</f>
        <v>1.18</v>
      </c>
      <c r="G7" s="109">
        <f>Piano_indicatori!F64</f>
        <v>0.7</v>
      </c>
      <c r="H7" s="109">
        <f>Piano_indicatori!G64</f>
        <v>0.4</v>
      </c>
      <c r="I7" s="109">
        <f>Piano_indicatori!H64</f>
        <v>0.69</v>
      </c>
      <c r="J7" s="109">
        <f>Piano_indicatori!I64</f>
        <v>0.33</v>
      </c>
      <c r="K7" s="109">
        <f>Piano_indicatori!J64</f>
        <v>3.53</v>
      </c>
    </row>
    <row r="8" spans="1:11" ht="29.25" customHeight="1" x14ac:dyDescent="0.3">
      <c r="A8" s="75" t="s">
        <v>319</v>
      </c>
      <c r="B8" s="75" t="s">
        <v>323</v>
      </c>
      <c r="C8" s="79" t="s">
        <v>326</v>
      </c>
      <c r="D8" s="88" t="s">
        <v>334</v>
      </c>
      <c r="E8" s="110">
        <f>Piano_indicatori!D65+Piano_indicatori!D66</f>
        <v>1.88</v>
      </c>
      <c r="F8" s="110">
        <f>Piano_indicatori!E65+Piano_indicatori!E66</f>
        <v>2.38</v>
      </c>
      <c r="G8" s="110">
        <f>Piano_indicatori!F65+Piano_indicatori!F66</f>
        <v>0.47</v>
      </c>
      <c r="H8" s="110">
        <f>Piano_indicatori!G65+Piano_indicatori!G66</f>
        <v>0.75</v>
      </c>
      <c r="I8" s="110">
        <f>Piano_indicatori!H65+Piano_indicatori!H66</f>
        <v>0.44</v>
      </c>
      <c r="J8" s="110">
        <f>Piano_indicatori!I65+Piano_indicatori!I66</f>
        <v>0.47</v>
      </c>
      <c r="K8" s="110">
        <f>Piano_indicatori!J65+Piano_indicatori!J66</f>
        <v>0.56000000000000005</v>
      </c>
    </row>
    <row r="9" spans="1:11" ht="29.25" customHeight="1" x14ac:dyDescent="0.3">
      <c r="A9" s="76" t="s">
        <v>320</v>
      </c>
      <c r="B9" s="76"/>
      <c r="C9" s="81" t="s">
        <v>327</v>
      </c>
      <c r="D9" s="90" t="s">
        <v>335</v>
      </c>
      <c r="E9" s="87">
        <f>Piano_indicatori!D76</f>
        <v>49.514338502015086</v>
      </c>
      <c r="F9" s="87">
        <f>Piano_indicatori!E76</f>
        <v>50.488968678958834</v>
      </c>
      <c r="G9" s="87">
        <f>Piano_indicatori!F76</f>
        <v>54.748083441875764</v>
      </c>
      <c r="H9" s="87">
        <f>Piano_indicatori!G76</f>
        <v>54.798177708966001</v>
      </c>
      <c r="I9" s="87">
        <f>Piano_indicatori!H76</f>
        <v>50.363740506418466</v>
      </c>
      <c r="J9" s="87">
        <f>Piano_indicatori!I76</f>
        <v>51.620788368318756</v>
      </c>
      <c r="K9" s="87">
        <f>Piano_indicatori!J76</f>
        <v>56.661914346359602</v>
      </c>
    </row>
  </sheetData>
  <conditionalFormatting sqref="E2:H2 K2">
    <cfRule type="cellIs" dxfId="23" priority="24" operator="greaterThan">
      <formula>48</formula>
    </cfRule>
  </conditionalFormatting>
  <conditionalFormatting sqref="E3:H3 K3">
    <cfRule type="cellIs" dxfId="22" priority="23" operator="lessThan">
      <formula>22</formula>
    </cfRule>
  </conditionalFormatting>
  <conditionalFormatting sqref="E4:H4 K4">
    <cfRule type="cellIs" dxfId="21" priority="22" operator="greaterThan">
      <formula>0</formula>
    </cfRule>
  </conditionalFormatting>
  <conditionalFormatting sqref="E5:H5 K5">
    <cfRule type="cellIs" dxfId="20" priority="21" operator="greaterThan">
      <formula>16</formula>
    </cfRule>
  </conditionalFormatting>
  <conditionalFormatting sqref="E6:H6 K6">
    <cfRule type="cellIs" dxfId="19" priority="20" operator="greaterThan">
      <formula>1.2</formula>
    </cfRule>
  </conditionalFormatting>
  <conditionalFormatting sqref="E7:H7 K7">
    <cfRule type="cellIs" dxfId="18" priority="19" operator="greaterThan">
      <formula>1</formula>
    </cfRule>
  </conditionalFormatting>
  <conditionalFormatting sqref="E8:H8 K8">
    <cfRule type="cellIs" dxfId="17" priority="18" operator="greaterThan">
      <formula>0.6</formula>
    </cfRule>
  </conditionalFormatting>
  <conditionalFormatting sqref="E9:H9 K9">
    <cfRule type="cellIs" dxfId="16" priority="17" operator="lessThan">
      <formula>47</formula>
    </cfRule>
  </conditionalFormatting>
  <conditionalFormatting sqref="I2">
    <cfRule type="cellIs" dxfId="15" priority="16" operator="greaterThan">
      <formula>48</formula>
    </cfRule>
  </conditionalFormatting>
  <conditionalFormatting sqref="I3">
    <cfRule type="cellIs" dxfId="14" priority="15" operator="lessThan">
      <formula>22</formula>
    </cfRule>
  </conditionalFormatting>
  <conditionalFormatting sqref="I4">
    <cfRule type="cellIs" dxfId="13" priority="14" operator="greaterThan">
      <formula>0</formula>
    </cfRule>
  </conditionalFormatting>
  <conditionalFormatting sqref="I5">
    <cfRule type="cellIs" dxfId="12" priority="13" operator="greaterThan">
      <formula>16</formula>
    </cfRule>
  </conditionalFormatting>
  <conditionalFormatting sqref="I6">
    <cfRule type="cellIs" dxfId="11" priority="12" operator="greaterThan">
      <formula>1.2</formula>
    </cfRule>
  </conditionalFormatting>
  <conditionalFormatting sqref="I7">
    <cfRule type="cellIs" dxfId="10" priority="11" operator="greaterThan">
      <formula>1</formula>
    </cfRule>
  </conditionalFormatting>
  <conditionalFormatting sqref="I8">
    <cfRule type="cellIs" dxfId="9" priority="10" operator="greaterThan">
      <formula>0.6</formula>
    </cfRule>
  </conditionalFormatting>
  <conditionalFormatting sqref="I9">
    <cfRule type="cellIs" dxfId="8" priority="9" operator="lessThan">
      <formula>47</formula>
    </cfRule>
  </conditionalFormatting>
  <conditionalFormatting sqref="J2">
    <cfRule type="cellIs" dxfId="7" priority="8" operator="greaterThan">
      <formula>48</formula>
    </cfRule>
  </conditionalFormatting>
  <conditionalFormatting sqref="J3">
    <cfRule type="cellIs" dxfId="6" priority="7" operator="lessThan">
      <formula>22</formula>
    </cfRule>
  </conditionalFormatting>
  <conditionalFormatting sqref="J4">
    <cfRule type="cellIs" dxfId="5" priority="6" operator="greaterThan">
      <formula>0</formula>
    </cfRule>
  </conditionalFormatting>
  <conditionalFormatting sqref="J5">
    <cfRule type="cellIs" dxfId="4" priority="5" operator="greaterThan">
      <formula>16</formula>
    </cfRule>
  </conditionalFormatting>
  <conditionalFormatting sqref="J6">
    <cfRule type="cellIs" dxfId="3" priority="4" operator="greaterThan">
      <formula>1.2</formula>
    </cfRule>
  </conditionalFormatting>
  <conditionalFormatting sqref="J7">
    <cfRule type="cellIs" dxfId="2" priority="3" operator="greaterThan">
      <formula>1</formula>
    </cfRule>
  </conditionalFormatting>
  <conditionalFormatting sqref="J8">
    <cfRule type="cellIs" dxfId="1" priority="2" operator="greaterThan">
      <formula>0.6</formula>
    </cfRule>
  </conditionalFormatting>
  <conditionalFormatting sqref="J9">
    <cfRule type="cellIs" dxfId="0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G3" sqref="G3"/>
    </sheetView>
  </sheetViews>
  <sheetFormatPr defaultRowHeight="14.4" x14ac:dyDescent="0.3"/>
  <cols>
    <col min="2" max="2" width="12.33203125" bestFit="1" customWidth="1"/>
    <col min="3" max="3" width="9.109375" bestFit="1" customWidth="1"/>
    <col min="5" max="6" width="10.33203125" customWidth="1"/>
  </cols>
  <sheetData>
    <row r="1" spans="1:21" ht="43.2" x14ac:dyDescent="0.3">
      <c r="A1" s="100" t="s">
        <v>336</v>
      </c>
      <c r="B1" s="100" t="s">
        <v>337</v>
      </c>
      <c r="C1" s="100" t="s">
        <v>351</v>
      </c>
      <c r="D1" s="100" t="s">
        <v>352</v>
      </c>
      <c r="E1" s="100" t="s">
        <v>353</v>
      </c>
      <c r="F1" s="100" t="s">
        <v>363</v>
      </c>
      <c r="G1" s="100" t="s">
        <v>354</v>
      </c>
    </row>
    <row r="2" spans="1:21" x14ac:dyDescent="0.3">
      <c r="A2">
        <v>2023</v>
      </c>
      <c r="B2" s="1">
        <v>316736</v>
      </c>
      <c r="C2" s="1">
        <v>1223102</v>
      </c>
    </row>
    <row r="3" spans="1:21" x14ac:dyDescent="0.3">
      <c r="A3">
        <v>2022</v>
      </c>
      <c r="B3" s="1">
        <v>315948</v>
      </c>
      <c r="C3" s="1">
        <v>1222818</v>
      </c>
      <c r="D3" s="1">
        <v>-1666</v>
      </c>
      <c r="E3" s="1">
        <v>1696</v>
      </c>
      <c r="F3" s="1">
        <v>758</v>
      </c>
      <c r="G3" s="1">
        <f t="shared" ref="G3:G10" si="0">B2-B3-D3-E3-F3</f>
        <v>0</v>
      </c>
    </row>
    <row r="4" spans="1:21" x14ac:dyDescent="0.3">
      <c r="A4">
        <v>2021</v>
      </c>
      <c r="B4" s="1">
        <v>317205</v>
      </c>
      <c r="C4" s="1">
        <v>1230158</v>
      </c>
      <c r="D4" s="1">
        <v>-2220</v>
      </c>
      <c r="E4" s="1">
        <v>1185</v>
      </c>
      <c r="F4" s="1">
        <v>-222</v>
      </c>
      <c r="G4" s="1">
        <f t="shared" si="0"/>
        <v>0</v>
      </c>
    </row>
    <row r="5" spans="1:21" x14ac:dyDescent="0.3">
      <c r="A5">
        <v>2020</v>
      </c>
      <c r="B5" s="1">
        <v>315284</v>
      </c>
      <c r="C5" s="1">
        <v>1230205</v>
      </c>
      <c r="D5" s="1">
        <v>-1784</v>
      </c>
      <c r="E5" s="1">
        <v>256</v>
      </c>
      <c r="F5" s="1">
        <v>3449</v>
      </c>
      <c r="G5" s="1">
        <f t="shared" si="0"/>
        <v>0</v>
      </c>
    </row>
    <row r="6" spans="1:21" x14ac:dyDescent="0.3">
      <c r="A6">
        <v>2019</v>
      </c>
      <c r="B6" s="1">
        <v>316491</v>
      </c>
      <c r="C6" s="1">
        <v>1234997</v>
      </c>
      <c r="D6" s="1">
        <v>-1250</v>
      </c>
      <c r="E6" s="1">
        <v>-31</v>
      </c>
      <c r="F6" s="1">
        <v>74</v>
      </c>
      <c r="G6" s="1">
        <f t="shared" si="0"/>
        <v>0</v>
      </c>
      <c r="L6" s="115"/>
      <c r="M6" s="116"/>
      <c r="N6" s="116"/>
      <c r="O6" s="116"/>
      <c r="P6" s="116"/>
      <c r="Q6" s="116"/>
      <c r="R6" s="116"/>
      <c r="S6" s="115"/>
      <c r="T6" s="116"/>
      <c r="U6" s="116"/>
    </row>
    <row r="7" spans="1:21" x14ac:dyDescent="0.3">
      <c r="A7">
        <v>2018</v>
      </c>
      <c r="B7" s="1">
        <v>316758</v>
      </c>
      <c r="C7" s="1">
        <v>1240589</v>
      </c>
      <c r="D7" s="1">
        <v>-1025</v>
      </c>
      <c r="E7" s="1">
        <v>758</v>
      </c>
      <c r="F7" s="1"/>
      <c r="G7" s="1">
        <f t="shared" si="0"/>
        <v>0</v>
      </c>
      <c r="L7" s="115"/>
      <c r="M7" s="116"/>
      <c r="N7" s="116"/>
      <c r="O7" s="116"/>
      <c r="P7" s="116"/>
      <c r="Q7" s="116"/>
      <c r="R7" s="116"/>
      <c r="S7" s="115"/>
      <c r="T7" s="116"/>
      <c r="U7" s="116"/>
    </row>
    <row r="8" spans="1:21" x14ac:dyDescent="0.3">
      <c r="A8">
        <v>2017</v>
      </c>
      <c r="B8" s="1">
        <v>316893</v>
      </c>
      <c r="C8" s="1">
        <v>1245190</v>
      </c>
      <c r="D8" s="1">
        <v>-1121</v>
      </c>
      <c r="E8" s="1">
        <v>986</v>
      </c>
      <c r="F8" s="1"/>
      <c r="G8" s="1">
        <f t="shared" si="0"/>
        <v>0</v>
      </c>
      <c r="L8" s="115"/>
      <c r="M8" s="116"/>
      <c r="N8" s="116"/>
      <c r="O8" s="116"/>
      <c r="P8" s="116"/>
      <c r="Q8" s="116"/>
      <c r="R8" s="116"/>
      <c r="S8" s="115"/>
      <c r="T8" s="116"/>
      <c r="U8" s="116"/>
    </row>
    <row r="9" spans="1:21" x14ac:dyDescent="0.3">
      <c r="A9">
        <v>2016</v>
      </c>
      <c r="B9" s="1">
        <v>318234</v>
      </c>
      <c r="C9" s="1">
        <v>1249699</v>
      </c>
      <c r="D9" s="1">
        <v>-904</v>
      </c>
      <c r="E9" s="1">
        <v>-437</v>
      </c>
      <c r="F9" s="1"/>
      <c r="G9" s="1">
        <f t="shared" si="0"/>
        <v>0</v>
      </c>
      <c r="L9" s="115"/>
      <c r="M9" s="116"/>
      <c r="N9" s="116"/>
      <c r="O9" s="116"/>
      <c r="P9" s="116"/>
      <c r="Q9" s="116"/>
      <c r="R9" s="116"/>
      <c r="S9" s="115"/>
      <c r="T9" s="116"/>
      <c r="U9" s="116"/>
    </row>
    <row r="10" spans="1:21" x14ac:dyDescent="0.3">
      <c r="A10">
        <v>2015</v>
      </c>
      <c r="B10" s="1">
        <v>318031</v>
      </c>
      <c r="C10" s="1">
        <v>1253461</v>
      </c>
      <c r="D10" s="1">
        <v>-964</v>
      </c>
      <c r="E10" s="1">
        <v>1167</v>
      </c>
      <c r="F10" s="1"/>
      <c r="G10" s="1">
        <f t="shared" si="0"/>
        <v>0</v>
      </c>
    </row>
    <row r="29" spans="1:4" x14ac:dyDescent="0.3">
      <c r="A29" s="117"/>
      <c r="B29" s="115"/>
      <c r="C29" s="115"/>
      <c r="D29" s="115"/>
    </row>
    <row r="30" spans="1:4" x14ac:dyDescent="0.3">
      <c r="A30" s="117"/>
      <c r="B30" s="115"/>
      <c r="C30" s="115"/>
      <c r="D30" s="115"/>
    </row>
    <row r="31" spans="1:4" x14ac:dyDescent="0.3">
      <c r="A31" s="117"/>
      <c r="B31" s="115"/>
      <c r="C31" s="115"/>
      <c r="D31" s="115"/>
    </row>
    <row r="32" spans="1:4" x14ac:dyDescent="0.3">
      <c r="A32" s="117"/>
      <c r="B32" s="115"/>
      <c r="C32" s="115"/>
      <c r="D32" s="115"/>
    </row>
    <row r="33" spans="1:4" x14ac:dyDescent="0.3">
      <c r="A33" s="117"/>
      <c r="B33" s="115"/>
      <c r="C33" s="115"/>
      <c r="D33" s="115"/>
    </row>
    <row r="34" spans="1:4" x14ac:dyDescent="0.3">
      <c r="A34" s="117"/>
      <c r="B34" s="115"/>
      <c r="C34" s="115"/>
      <c r="D34" s="115"/>
    </row>
    <row r="35" spans="1:4" x14ac:dyDescent="0.3">
      <c r="A35" s="117"/>
      <c r="B35" s="115"/>
      <c r="C35" s="115"/>
      <c r="D35" s="115"/>
    </row>
    <row r="36" spans="1:4" x14ac:dyDescent="0.3">
      <c r="A36" s="117"/>
      <c r="B36" s="115"/>
      <c r="C36" s="115"/>
      <c r="D36" s="115"/>
    </row>
    <row r="37" spans="1:4" x14ac:dyDescent="0.3">
      <c r="A37" s="117"/>
      <c r="B37" s="115"/>
      <c r="C37" s="115"/>
      <c r="D37" s="115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opLeftCell="B1" workbookViewId="0">
      <selection sqref="A1:L21"/>
    </sheetView>
  </sheetViews>
  <sheetFormatPr defaultRowHeight="14.4" x14ac:dyDescent="0.3"/>
  <cols>
    <col min="1" max="1" width="55.6640625" bestFit="1" customWidth="1"/>
    <col min="2" max="8" width="12.44140625" bestFit="1" customWidth="1"/>
    <col min="9" max="9" width="8.44140625" customWidth="1"/>
    <col min="10" max="10" width="6.5546875" bestFit="1" customWidth="1"/>
    <col min="11" max="11" width="13.88671875" customWidth="1"/>
    <col min="12" max="12" width="7" bestFit="1" customWidth="1"/>
  </cols>
  <sheetData>
    <row r="1" spans="1:12" ht="28.8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54" t="s">
        <v>297</v>
      </c>
      <c r="J1" s="42" t="s">
        <v>233</v>
      </c>
      <c r="K1" s="54" t="s">
        <v>384</v>
      </c>
      <c r="L1" s="42" t="s">
        <v>269</v>
      </c>
    </row>
    <row r="2" spans="1:12" x14ac:dyDescent="0.3">
      <c r="A2" s="55" t="s">
        <v>20</v>
      </c>
      <c r="B2" s="56">
        <f>Entrate_Uscite!B3</f>
        <v>247723841.08000001</v>
      </c>
      <c r="C2" s="56">
        <f>Entrate_Uscite!E3</f>
        <v>240814061.72999999</v>
      </c>
      <c r="D2" s="56">
        <f>Entrate_Uscite!H3</f>
        <v>236718538.53999999</v>
      </c>
      <c r="E2" s="56">
        <f>Entrate_Uscite!K3</f>
        <v>241361265.88</v>
      </c>
      <c r="F2" s="56">
        <f>Entrate_Uscite!N3</f>
        <v>232492853.25999999</v>
      </c>
      <c r="G2" s="56">
        <f>Entrate_Uscite!Q3</f>
        <v>238278404.44</v>
      </c>
      <c r="H2" s="56">
        <f>Entrate_Uscite!T3</f>
        <v>248512641.72</v>
      </c>
      <c r="I2" s="56">
        <f>H2/H$21*100</f>
        <v>52.042551835782916</v>
      </c>
      <c r="J2" s="57">
        <f>IF(G2&gt;0,H2/G2*100-100,"-")</f>
        <v>4.2950754618541538</v>
      </c>
      <c r="K2" s="56">
        <f>Entrate_Uscite!U3</f>
        <v>180941400.58000001</v>
      </c>
      <c r="L2" s="58">
        <f t="shared" ref="L2:L21" si="0">IF(H2&gt;0,K2/H2*100,"-")</f>
        <v>72.809736892124505</v>
      </c>
    </row>
    <row r="3" spans="1:12" x14ac:dyDescent="0.3">
      <c r="A3" s="55" t="s">
        <v>21</v>
      </c>
      <c r="B3" s="56">
        <f>Entrate_Uscite!B4</f>
        <v>53129096.119999997</v>
      </c>
      <c r="C3" s="56">
        <f>Entrate_Uscite!E4</f>
        <v>49891604.920000002</v>
      </c>
      <c r="D3" s="56">
        <f>Entrate_Uscite!H4</f>
        <v>56557268.369999997</v>
      </c>
      <c r="E3" s="56">
        <f>Entrate_Uscite!K4</f>
        <v>64878003.890000001</v>
      </c>
      <c r="F3" s="56">
        <f>Entrate_Uscite!N4</f>
        <v>105659276.04000001</v>
      </c>
      <c r="G3" s="56">
        <f>Entrate_Uscite!Q4</f>
        <v>91498535.549999997</v>
      </c>
      <c r="H3" s="56">
        <f>Entrate_Uscite!T4</f>
        <v>87328645.049999997</v>
      </c>
      <c r="I3" s="56">
        <f t="shared" ref="I3:I21" si="1">H3/H$21*100</f>
        <v>18.288025531851851</v>
      </c>
      <c r="J3" s="57">
        <f t="shared" ref="J3:J21" si="2">IF(G3&gt;0,H3/G3*100-100,"-")</f>
        <v>-4.5573303167473398</v>
      </c>
      <c r="K3" s="56">
        <f>Entrate_Uscite!U4</f>
        <v>66834752.960000001</v>
      </c>
      <c r="L3" s="58">
        <f t="shared" si="0"/>
        <v>76.532451547523479</v>
      </c>
    </row>
    <row r="4" spans="1:12" x14ac:dyDescent="0.3">
      <c r="A4" s="55" t="s">
        <v>22</v>
      </c>
      <c r="B4" s="56">
        <f>Entrate_Uscite!B5</f>
        <v>45611258.579999998</v>
      </c>
      <c r="C4" s="56">
        <f>Entrate_Uscite!E5</f>
        <v>42228460.329999998</v>
      </c>
      <c r="D4" s="56">
        <f>Entrate_Uscite!H5</f>
        <v>46957590.479999997</v>
      </c>
      <c r="E4" s="56">
        <f>Entrate_Uscite!K5</f>
        <v>52236667.18</v>
      </c>
      <c r="F4" s="56">
        <f>Entrate_Uscite!N5</f>
        <v>41998288.920000002</v>
      </c>
      <c r="G4" s="56">
        <f>Entrate_Uscite!Q5</f>
        <v>50493816.18</v>
      </c>
      <c r="H4" s="56">
        <f>Entrate_Uscite!T5</f>
        <v>52555818.780000001</v>
      </c>
      <c r="I4" s="56">
        <f t="shared" si="1"/>
        <v>11.006035363834139</v>
      </c>
      <c r="J4" s="57">
        <f t="shared" si="2"/>
        <v>4.0836735188510858</v>
      </c>
      <c r="K4" s="56">
        <f>Entrate_Uscite!U5</f>
        <v>30331217.27</v>
      </c>
      <c r="L4" s="58">
        <f t="shared" si="0"/>
        <v>57.712386514169346</v>
      </c>
    </row>
    <row r="5" spans="1:12" x14ac:dyDescent="0.3">
      <c r="A5" s="4" t="s">
        <v>31</v>
      </c>
      <c r="B5" s="43">
        <f t="shared" ref="B5:H5" si="3">SUM(B2:B4)</f>
        <v>346464195.77999997</v>
      </c>
      <c r="C5" s="43">
        <f t="shared" si="3"/>
        <v>332934126.97999996</v>
      </c>
      <c r="D5" s="43">
        <f t="shared" si="3"/>
        <v>340233397.38999999</v>
      </c>
      <c r="E5" s="43">
        <f t="shared" si="3"/>
        <v>358475936.94999999</v>
      </c>
      <c r="F5" s="43">
        <f t="shared" si="3"/>
        <v>380150418.22000003</v>
      </c>
      <c r="G5" s="43">
        <f t="shared" ref="G5" si="4">SUM(G2:G4)</f>
        <v>380270756.17000002</v>
      </c>
      <c r="H5" s="43">
        <f t="shared" si="3"/>
        <v>388397105.54999995</v>
      </c>
      <c r="I5" s="43">
        <f t="shared" si="1"/>
        <v>81.336612731468875</v>
      </c>
      <c r="J5" s="44">
        <f t="shared" si="2"/>
        <v>2.1369903544113242</v>
      </c>
      <c r="K5" s="43">
        <f>SUM(K2:K4)</f>
        <v>278107370.81</v>
      </c>
      <c r="L5" s="45">
        <f t="shared" si="0"/>
        <v>71.60387315867834</v>
      </c>
    </row>
    <row r="6" spans="1:12" x14ac:dyDescent="0.3">
      <c r="A6" s="55" t="s">
        <v>23</v>
      </c>
      <c r="B6" s="56">
        <f>Entrate_Uscite!B6</f>
        <v>172219.14</v>
      </c>
      <c r="C6" s="56">
        <f>Entrate_Uscite!E6</f>
        <v>115847.98</v>
      </c>
      <c r="D6" s="56">
        <f>Entrate_Uscite!H6</f>
        <v>201752.32000000001</v>
      </c>
      <c r="E6" s="56">
        <f>Entrate_Uscite!K6</f>
        <v>106795.17</v>
      </c>
      <c r="F6" s="56">
        <f>Entrate_Uscite!N6</f>
        <v>46107.26</v>
      </c>
      <c r="G6" s="56">
        <f>Entrate_Uscite!Q6</f>
        <v>126076.37</v>
      </c>
      <c r="H6" s="56">
        <f>Entrate_Uscite!T6</f>
        <v>24609.67</v>
      </c>
      <c r="I6" s="56">
        <f t="shared" si="1"/>
        <v>5.1536614707896299E-3</v>
      </c>
      <c r="J6" s="57">
        <f t="shared" si="2"/>
        <v>-80.480346951613541</v>
      </c>
      <c r="K6" s="56">
        <f>Entrate_Uscite!U6</f>
        <v>24383.09</v>
      </c>
      <c r="L6" s="58">
        <f t="shared" si="0"/>
        <v>99.079305004902551</v>
      </c>
    </row>
    <row r="7" spans="1:12" x14ac:dyDescent="0.3">
      <c r="A7" s="55" t="s">
        <v>24</v>
      </c>
      <c r="B7" s="56">
        <f>Entrate_Uscite!B7</f>
        <v>13347371.43</v>
      </c>
      <c r="C7" s="56">
        <f>Entrate_Uscite!E7</f>
        <v>42679098.289999999</v>
      </c>
      <c r="D7" s="56">
        <f>Entrate_Uscite!H7</f>
        <v>20450916.27</v>
      </c>
      <c r="E7" s="56">
        <f>Entrate_Uscite!K7</f>
        <v>23962545.390000001</v>
      </c>
      <c r="F7" s="56">
        <f>Entrate_Uscite!N7</f>
        <v>29376693.129999999</v>
      </c>
      <c r="G7" s="56">
        <f>Entrate_Uscite!Q7</f>
        <v>18130591.960000001</v>
      </c>
      <c r="H7" s="56">
        <f>Entrate_Uscite!T7</f>
        <v>74376697.409999996</v>
      </c>
      <c r="I7" s="56">
        <f t="shared" si="1"/>
        <v>15.575678981737498</v>
      </c>
      <c r="J7" s="57">
        <f t="shared" si="2"/>
        <v>310.22762838682291</v>
      </c>
      <c r="K7" s="56">
        <f>Entrate_Uscite!U7</f>
        <v>64216598.899999999</v>
      </c>
      <c r="L7" s="58">
        <f t="shared" si="0"/>
        <v>86.339675108195962</v>
      </c>
    </row>
    <row r="8" spans="1:12" x14ac:dyDescent="0.3">
      <c r="A8" s="55" t="s">
        <v>25</v>
      </c>
      <c r="B8" s="56">
        <f>Entrate_Uscite!B8</f>
        <v>0</v>
      </c>
      <c r="C8" s="56">
        <f>Entrate_Uscite!E8</f>
        <v>0</v>
      </c>
      <c r="D8" s="56">
        <f>Entrate_Uscite!H8</f>
        <v>516.46</v>
      </c>
      <c r="E8" s="56">
        <f>Entrate_Uscite!K8</f>
        <v>0</v>
      </c>
      <c r="F8" s="56">
        <f>Entrate_Uscite!N8</f>
        <v>0</v>
      </c>
      <c r="G8" s="56">
        <f>Entrate_Uscite!Q8</f>
        <v>0</v>
      </c>
      <c r="H8" s="56">
        <f>Entrate_Uscite!T8</f>
        <v>0</v>
      </c>
      <c r="I8" s="56">
        <f t="shared" si="1"/>
        <v>0</v>
      </c>
      <c r="J8" s="57" t="str">
        <f t="shared" si="2"/>
        <v>-</v>
      </c>
      <c r="K8" s="56">
        <f>Entrate_Uscite!U8</f>
        <v>0</v>
      </c>
      <c r="L8" s="58" t="str">
        <f t="shared" si="0"/>
        <v>-</v>
      </c>
    </row>
    <row r="9" spans="1:12" x14ac:dyDescent="0.3">
      <c r="A9" s="55" t="s">
        <v>26</v>
      </c>
      <c r="B9" s="56">
        <f>Entrate_Uscite!B9</f>
        <v>572704.21</v>
      </c>
      <c r="C9" s="56">
        <f>Entrate_Uscite!E9</f>
        <v>1045739.61</v>
      </c>
      <c r="D9" s="56">
        <f>Entrate_Uscite!H9</f>
        <v>527099.63</v>
      </c>
      <c r="E9" s="56">
        <f>Entrate_Uscite!K9</f>
        <v>1666349.56</v>
      </c>
      <c r="F9" s="56">
        <f>Entrate_Uscite!N9</f>
        <v>2011174.26</v>
      </c>
      <c r="G9" s="56">
        <f>Entrate_Uscite!Q9</f>
        <v>1091910.94</v>
      </c>
      <c r="H9" s="56">
        <f>Entrate_Uscite!T9</f>
        <v>1500949.95</v>
      </c>
      <c r="I9" s="56">
        <f t="shared" si="1"/>
        <v>0.31432310660397406</v>
      </c>
      <c r="J9" s="57">
        <f t="shared" si="2"/>
        <v>37.460839983890992</v>
      </c>
      <c r="K9" s="56">
        <f>Entrate_Uscite!U9</f>
        <v>1491304.86</v>
      </c>
      <c r="L9" s="58">
        <f t="shared" si="0"/>
        <v>99.357400957973326</v>
      </c>
    </row>
    <row r="10" spans="1:12" x14ac:dyDescent="0.3">
      <c r="A10" s="55" t="s">
        <v>27</v>
      </c>
      <c r="B10" s="56">
        <f>Entrate_Uscite!B10</f>
        <v>6124095.1500000004</v>
      </c>
      <c r="C10" s="56">
        <f>Entrate_Uscite!E10</f>
        <v>8684359.9199999999</v>
      </c>
      <c r="D10" s="56">
        <f>Entrate_Uscite!H10</f>
        <v>12311284.65</v>
      </c>
      <c r="E10" s="56">
        <f>Entrate_Uscite!K10</f>
        <v>15031540.91</v>
      </c>
      <c r="F10" s="56">
        <f>Entrate_Uscite!N10</f>
        <v>9954499.6999999993</v>
      </c>
      <c r="G10" s="56">
        <f>Entrate_Uscite!Q10</f>
        <v>11556431.449999999</v>
      </c>
      <c r="H10" s="56">
        <f>Entrate_Uscite!T10</f>
        <v>13218808.52</v>
      </c>
      <c r="I10" s="56">
        <f t="shared" si="1"/>
        <v>2.7682315187188484</v>
      </c>
      <c r="J10" s="57">
        <f t="shared" si="2"/>
        <v>14.384865061437281</v>
      </c>
      <c r="K10" s="56">
        <f>Entrate_Uscite!U10</f>
        <v>12279677.460000001</v>
      </c>
      <c r="L10" s="58">
        <f t="shared" si="0"/>
        <v>92.895493882227754</v>
      </c>
    </row>
    <row r="11" spans="1:12" x14ac:dyDescent="0.3">
      <c r="A11" s="4" t="s">
        <v>32</v>
      </c>
      <c r="B11" s="46">
        <f t="shared" ref="B11:H11" si="5">SUM(B6:B10)</f>
        <v>20216389.93</v>
      </c>
      <c r="C11" s="46">
        <f t="shared" si="5"/>
        <v>52525045.799999997</v>
      </c>
      <c r="D11" s="46">
        <f t="shared" si="5"/>
        <v>33491569.329999998</v>
      </c>
      <c r="E11" s="46">
        <f t="shared" si="5"/>
        <v>40767231.030000001</v>
      </c>
      <c r="F11" s="46">
        <f t="shared" si="5"/>
        <v>41388474.350000001</v>
      </c>
      <c r="G11" s="46">
        <f t="shared" ref="G11" si="6">SUM(G6:G10)</f>
        <v>30905010.720000003</v>
      </c>
      <c r="H11" s="46">
        <f t="shared" si="5"/>
        <v>89121065.549999997</v>
      </c>
      <c r="I11" s="46">
        <f t="shared" si="1"/>
        <v>18.66338726853111</v>
      </c>
      <c r="J11" s="44">
        <f t="shared" si="2"/>
        <v>188.37092585871778</v>
      </c>
      <c r="K11" s="46">
        <f>SUM(K6:K10)</f>
        <v>78011964.310000002</v>
      </c>
      <c r="L11" s="45">
        <f t="shared" si="0"/>
        <v>87.534819998569915</v>
      </c>
    </row>
    <row r="12" spans="1:12" x14ac:dyDescent="0.3">
      <c r="A12" s="55" t="s">
        <v>28</v>
      </c>
      <c r="B12" s="56">
        <f>Entrate_Uscite!B11</f>
        <v>0</v>
      </c>
      <c r="C12" s="56">
        <f>Entrate_Uscite!E11</f>
        <v>0</v>
      </c>
      <c r="D12" s="56">
        <f>Entrate_Uscite!H11</f>
        <v>0</v>
      </c>
      <c r="E12" s="56">
        <f>Entrate_Uscite!K11</f>
        <v>0</v>
      </c>
      <c r="F12" s="56">
        <f>Entrate_Uscite!N11</f>
        <v>0</v>
      </c>
      <c r="G12" s="56">
        <f>Entrate_Uscite!Q11</f>
        <v>0</v>
      </c>
      <c r="H12" s="56">
        <f>Entrate_Uscite!T11</f>
        <v>0</v>
      </c>
      <c r="I12" s="56">
        <f t="shared" si="1"/>
        <v>0</v>
      </c>
      <c r="J12" s="57" t="str">
        <f t="shared" si="2"/>
        <v>-</v>
      </c>
      <c r="K12" s="56">
        <f>Entrate_Uscite!U11</f>
        <v>0</v>
      </c>
      <c r="L12" s="58" t="str">
        <f t="shared" si="0"/>
        <v>-</v>
      </c>
    </row>
    <row r="13" spans="1:12" x14ac:dyDescent="0.3">
      <c r="A13" s="55" t="s">
        <v>29</v>
      </c>
      <c r="B13" s="56">
        <f>Entrate_Uscite!B12</f>
        <v>4499969.5999999996</v>
      </c>
      <c r="C13" s="56">
        <f>Entrate_Uscite!E12</f>
        <v>471661.47</v>
      </c>
      <c r="D13" s="56">
        <f>Entrate_Uscite!H12</f>
        <v>0</v>
      </c>
      <c r="E13" s="56">
        <f>Entrate_Uscite!K12</f>
        <v>0</v>
      </c>
      <c r="F13" s="56">
        <f>Entrate_Uscite!N12</f>
        <v>0</v>
      </c>
      <c r="G13" s="56">
        <f>Entrate_Uscite!Q12</f>
        <v>0</v>
      </c>
      <c r="H13" s="56">
        <f>Entrate_Uscite!T12</f>
        <v>0</v>
      </c>
      <c r="I13" s="56">
        <f t="shared" si="1"/>
        <v>0</v>
      </c>
      <c r="J13" s="57" t="str">
        <f t="shared" si="2"/>
        <v>-</v>
      </c>
      <c r="K13" s="56">
        <f>Entrate_Uscite!U12</f>
        <v>0</v>
      </c>
      <c r="L13" s="58" t="str">
        <f t="shared" si="0"/>
        <v>-</v>
      </c>
    </row>
    <row r="14" spans="1:12" x14ac:dyDescent="0.3">
      <c r="A14" s="55" t="s">
        <v>30</v>
      </c>
      <c r="B14" s="56">
        <f>Entrate_Uscite!B13</f>
        <v>0</v>
      </c>
      <c r="C14" s="56">
        <f>Entrate_Uscite!E13</f>
        <v>0</v>
      </c>
      <c r="D14" s="56">
        <f>Entrate_Uscite!H13</f>
        <v>0</v>
      </c>
      <c r="E14" s="56">
        <f>Entrate_Uscite!K13</f>
        <v>0</v>
      </c>
      <c r="F14" s="56">
        <f>Entrate_Uscite!N13</f>
        <v>0</v>
      </c>
      <c r="G14" s="56">
        <f>Entrate_Uscite!Q13</f>
        <v>0</v>
      </c>
      <c r="H14" s="56">
        <f>Entrate_Uscite!T13</f>
        <v>0</v>
      </c>
      <c r="I14" s="56">
        <f t="shared" si="1"/>
        <v>0</v>
      </c>
      <c r="J14" s="57" t="str">
        <f t="shared" si="2"/>
        <v>-</v>
      </c>
      <c r="K14" s="56">
        <f>Entrate_Uscite!U13</f>
        <v>0</v>
      </c>
      <c r="L14" s="58" t="str">
        <f t="shared" si="0"/>
        <v>-</v>
      </c>
    </row>
    <row r="15" spans="1:12" x14ac:dyDescent="0.3">
      <c r="A15" s="4" t="s">
        <v>33</v>
      </c>
      <c r="B15" s="43">
        <f t="shared" ref="B15:H15" si="7">SUM(B12:B14)</f>
        <v>4499969.5999999996</v>
      </c>
      <c r="C15" s="43">
        <f t="shared" si="7"/>
        <v>471661.47</v>
      </c>
      <c r="D15" s="43">
        <f t="shared" si="7"/>
        <v>0</v>
      </c>
      <c r="E15" s="43">
        <f t="shared" si="7"/>
        <v>0</v>
      </c>
      <c r="F15" s="43">
        <f t="shared" si="7"/>
        <v>0</v>
      </c>
      <c r="G15" s="43">
        <f t="shared" ref="G15" si="8">SUM(G12:G14)</f>
        <v>0</v>
      </c>
      <c r="H15" s="43">
        <f t="shared" si="7"/>
        <v>0</v>
      </c>
      <c r="I15" s="43">
        <f t="shared" si="1"/>
        <v>0</v>
      </c>
      <c r="J15" s="44" t="str">
        <f t="shared" si="2"/>
        <v>-</v>
      </c>
      <c r="K15" s="43">
        <f>SUM(K12:K14)</f>
        <v>0</v>
      </c>
      <c r="L15" s="45" t="str">
        <f t="shared" si="0"/>
        <v>-</v>
      </c>
    </row>
    <row r="16" spans="1:12" x14ac:dyDescent="0.3">
      <c r="A16" s="47" t="s">
        <v>348</v>
      </c>
      <c r="B16" s="48">
        <f>B5+B11+B15</f>
        <v>371180555.31</v>
      </c>
      <c r="C16" s="48">
        <f t="shared" ref="C16:H16" si="9">C5+C11+C15</f>
        <v>385930834.25</v>
      </c>
      <c r="D16" s="48">
        <f t="shared" si="9"/>
        <v>373724966.71999997</v>
      </c>
      <c r="E16" s="48">
        <f t="shared" ref="E16:G16" si="10">E5+E11+E15</f>
        <v>399243167.98000002</v>
      </c>
      <c r="F16" s="48">
        <f t="shared" si="10"/>
        <v>421538892.57000005</v>
      </c>
      <c r="G16" s="48">
        <f t="shared" si="10"/>
        <v>411175766.89000005</v>
      </c>
      <c r="H16" s="48">
        <f t="shared" si="9"/>
        <v>477518171.09999996</v>
      </c>
      <c r="I16" s="48">
        <f t="shared" si="1"/>
        <v>100</v>
      </c>
      <c r="J16" s="49">
        <f t="shared" si="2"/>
        <v>16.134804030838751</v>
      </c>
      <c r="K16" s="48">
        <f t="shared" ref="K16" si="11">K5+K11+K15</f>
        <v>356119335.12</v>
      </c>
      <c r="L16" s="50">
        <f t="shared" si="0"/>
        <v>74.577127462951125</v>
      </c>
    </row>
    <row r="17" spans="1:12" x14ac:dyDescent="0.3">
      <c r="A17" s="4" t="s">
        <v>34</v>
      </c>
      <c r="B17" s="43">
        <f>Entrate_Uscite!B17</f>
        <v>0</v>
      </c>
      <c r="C17" s="43">
        <f>Entrate_Uscite!E17</f>
        <v>2998000</v>
      </c>
      <c r="D17" s="43">
        <f>Entrate_Uscite!H17</f>
        <v>0</v>
      </c>
      <c r="E17" s="43">
        <f>Entrate_Uscite!K17</f>
        <v>0</v>
      </c>
      <c r="F17" s="43">
        <f>Entrate_Uscite!N17</f>
        <v>0</v>
      </c>
      <c r="G17" s="43">
        <f>Entrate_Uscite!Q17</f>
        <v>11500000</v>
      </c>
      <c r="H17" s="43">
        <f>Entrate_Uscite!T17</f>
        <v>0</v>
      </c>
      <c r="I17" s="43">
        <f t="shared" si="1"/>
        <v>0</v>
      </c>
      <c r="J17" s="44">
        <f t="shared" si="2"/>
        <v>-100</v>
      </c>
      <c r="K17" s="43">
        <f>Entrate_Uscite!U17</f>
        <v>0</v>
      </c>
      <c r="L17" s="45" t="str">
        <f t="shared" si="0"/>
        <v>-</v>
      </c>
    </row>
    <row r="18" spans="1:12" x14ac:dyDescent="0.3">
      <c r="A18" s="4" t="s">
        <v>35</v>
      </c>
      <c r="B18" s="43">
        <f>Entrate_Uscite!B18</f>
        <v>0</v>
      </c>
      <c r="C18" s="43">
        <f>Entrate_Uscite!E18</f>
        <v>0</v>
      </c>
      <c r="D18" s="43">
        <f>Entrate_Uscite!H18</f>
        <v>0</v>
      </c>
      <c r="E18" s="43">
        <f>Entrate_Uscite!K18</f>
        <v>0</v>
      </c>
      <c r="F18" s="43">
        <f>Entrate_Uscite!N18</f>
        <v>0</v>
      </c>
      <c r="G18" s="43">
        <f>Entrate_Uscite!Q18</f>
        <v>0</v>
      </c>
      <c r="H18" s="43">
        <f>Entrate_Uscite!T18</f>
        <v>0</v>
      </c>
      <c r="I18" s="43">
        <f t="shared" si="1"/>
        <v>0</v>
      </c>
      <c r="J18" s="44" t="str">
        <f t="shared" si="2"/>
        <v>-</v>
      </c>
      <c r="K18" s="43">
        <f>Entrate_Uscite!U18</f>
        <v>0</v>
      </c>
      <c r="L18" s="45" t="str">
        <f t="shared" si="0"/>
        <v>-</v>
      </c>
    </row>
    <row r="19" spans="1:12" x14ac:dyDescent="0.3">
      <c r="A19" s="4" t="s">
        <v>36</v>
      </c>
      <c r="B19" s="43">
        <f>Entrate_Uscite!B19</f>
        <v>50311797.200000003</v>
      </c>
      <c r="C19" s="43">
        <f>Entrate_Uscite!E19</f>
        <v>48906283.229999997</v>
      </c>
      <c r="D19" s="43">
        <f>Entrate_Uscite!H19</f>
        <v>51634582.789999999</v>
      </c>
      <c r="E19" s="43">
        <f>Entrate_Uscite!K19</f>
        <v>47827283.539999999</v>
      </c>
      <c r="F19" s="43">
        <f>Entrate_Uscite!N19</f>
        <v>44811550.670000002</v>
      </c>
      <c r="G19" s="43">
        <f>Entrate_Uscite!Q19</f>
        <v>63468407.189999998</v>
      </c>
      <c r="H19" s="43">
        <f>Entrate_Uscite!T19</f>
        <v>50175403.380000003</v>
      </c>
      <c r="I19" s="43"/>
      <c r="J19" s="44">
        <f t="shared" si="2"/>
        <v>-20.944284563823786</v>
      </c>
      <c r="K19" s="43">
        <f>Entrate_Uscite!U19</f>
        <v>48344418.350000001</v>
      </c>
      <c r="L19" s="45">
        <f t="shared" si="0"/>
        <v>96.350831469887424</v>
      </c>
    </row>
    <row r="20" spans="1:12" x14ac:dyDescent="0.3">
      <c r="A20" s="47" t="s">
        <v>37</v>
      </c>
      <c r="B20" s="48">
        <f t="shared" ref="B20:H20" si="12">B5+B11+B15+B17+B18+B19</f>
        <v>421492352.50999999</v>
      </c>
      <c r="C20" s="48">
        <f t="shared" si="12"/>
        <v>437835117.48000002</v>
      </c>
      <c r="D20" s="48">
        <f t="shared" si="12"/>
        <v>425359549.50999999</v>
      </c>
      <c r="E20" s="48">
        <f t="shared" si="12"/>
        <v>447070451.52000004</v>
      </c>
      <c r="F20" s="48">
        <f t="shared" si="12"/>
        <v>466350443.24000007</v>
      </c>
      <c r="G20" s="48">
        <f t="shared" ref="G20" si="13">G5+G11+G15+G17+G18+G19</f>
        <v>486144174.08000004</v>
      </c>
      <c r="H20" s="48">
        <f t="shared" si="12"/>
        <v>527693574.47999996</v>
      </c>
      <c r="I20" s="48"/>
      <c r="J20" s="49">
        <f t="shared" si="2"/>
        <v>8.5467239175764718</v>
      </c>
      <c r="K20" s="48">
        <f>K5+K11+K15+K17+K18+K19</f>
        <v>404463753.47000003</v>
      </c>
      <c r="L20" s="50">
        <f t="shared" si="0"/>
        <v>76.647466073197293</v>
      </c>
    </row>
    <row r="21" spans="1:12" x14ac:dyDescent="0.3">
      <c r="A21" s="38" t="s">
        <v>38</v>
      </c>
      <c r="B21" s="51">
        <f t="shared" ref="B21:H21" si="14">B20-B19</f>
        <v>371180555.31</v>
      </c>
      <c r="C21" s="51">
        <f t="shared" si="14"/>
        <v>388928834.25</v>
      </c>
      <c r="D21" s="51">
        <f t="shared" si="14"/>
        <v>373724966.71999997</v>
      </c>
      <c r="E21" s="51">
        <f t="shared" si="14"/>
        <v>399243167.98000002</v>
      </c>
      <c r="F21" s="51">
        <f t="shared" si="14"/>
        <v>421538892.57000005</v>
      </c>
      <c r="G21" s="51">
        <f t="shared" ref="G21" si="15">G20-G19</f>
        <v>422675766.89000005</v>
      </c>
      <c r="H21" s="51">
        <f t="shared" si="14"/>
        <v>477518171.09999996</v>
      </c>
      <c r="I21" s="51">
        <f t="shared" si="1"/>
        <v>100</v>
      </c>
      <c r="J21" s="52">
        <f t="shared" si="2"/>
        <v>12.975052867005843</v>
      </c>
      <c r="K21" s="51">
        <f>K20-K19</f>
        <v>356119335.12</v>
      </c>
      <c r="L21" s="53">
        <f t="shared" si="0"/>
        <v>74.577127462951125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H4" sqref="H4"/>
    </sheetView>
  </sheetViews>
  <sheetFormatPr defaultRowHeight="14.4" x14ac:dyDescent="0.3"/>
  <cols>
    <col min="1" max="1" width="50.6640625" bestFit="1" customWidth="1"/>
    <col min="2" max="8" width="12.5546875" bestFit="1" customWidth="1"/>
    <col min="9" max="9" width="8.33203125" bestFit="1" customWidth="1"/>
    <col min="10" max="10" width="6.5546875" bestFit="1" customWidth="1"/>
    <col min="11" max="11" width="12.5546875" bestFit="1" customWidth="1"/>
    <col min="12" max="12" width="7" bestFit="1" customWidth="1"/>
  </cols>
  <sheetData>
    <row r="1" spans="1:12" ht="28.8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54" t="s">
        <v>297</v>
      </c>
      <c r="J1" s="42" t="s">
        <v>233</v>
      </c>
      <c r="K1" s="54" t="s">
        <v>385</v>
      </c>
      <c r="L1" s="42" t="s">
        <v>339</v>
      </c>
    </row>
    <row r="2" spans="1:12" x14ac:dyDescent="0.3">
      <c r="A2" s="59" t="s">
        <v>270</v>
      </c>
      <c r="B2" s="56">
        <f>Entrate_Uscite!B23</f>
        <v>74799508.700000003</v>
      </c>
      <c r="C2" s="56">
        <f>Entrate_Uscite!E23</f>
        <v>75735921.120000005</v>
      </c>
      <c r="D2" s="56">
        <f>Entrate_Uscite!H23</f>
        <v>76189234.390000001</v>
      </c>
      <c r="E2" s="56">
        <f>Entrate_Uscite!K23</f>
        <v>77313509.819999993</v>
      </c>
      <c r="F2" s="56">
        <f>Entrate_Uscite!N23</f>
        <v>74495266.090000004</v>
      </c>
      <c r="G2" s="56">
        <f>Entrate_Uscite!Q23</f>
        <v>73128371.049999997</v>
      </c>
      <c r="H2" s="56">
        <f>Entrate_Uscite!T23</f>
        <v>84366536.189999998</v>
      </c>
      <c r="I2" s="56">
        <f>H2/H$31*100</f>
        <v>20.730753255491738</v>
      </c>
      <c r="J2" s="57">
        <f t="shared" ref="J2:J31" si="0">IF(G2&gt;0,H2/G2*100-100,"-")</f>
        <v>15.367722511302958</v>
      </c>
      <c r="K2" s="56">
        <f>Entrate_Uscite!U23</f>
        <v>75022398.900000006</v>
      </c>
      <c r="L2" s="58">
        <f>IF(H2&gt;0,K2/H2*100,"-")</f>
        <v>88.924355897513365</v>
      </c>
    </row>
    <row r="3" spans="1:12" x14ac:dyDescent="0.3">
      <c r="A3" s="59" t="s">
        <v>271</v>
      </c>
      <c r="B3" s="56">
        <f>Entrate_Uscite!B24</f>
        <v>4733631.41</v>
      </c>
      <c r="C3" s="56">
        <f>Entrate_Uscite!E24</f>
        <v>4678333.5999999996</v>
      </c>
      <c r="D3" s="56">
        <f>Entrate_Uscite!H24</f>
        <v>4754993.5999999996</v>
      </c>
      <c r="E3" s="56">
        <f>Entrate_Uscite!K24</f>
        <v>5014794.18</v>
      </c>
      <c r="F3" s="56">
        <f>Entrate_Uscite!N24</f>
        <v>4794455.8899999997</v>
      </c>
      <c r="G3" s="56">
        <f>Entrate_Uscite!Q24</f>
        <v>4606606.59</v>
      </c>
      <c r="H3" s="56">
        <f>Entrate_Uscite!T24</f>
        <v>5337093.9800000004</v>
      </c>
      <c r="I3" s="56">
        <f t="shared" ref="I3:I31" si="1">H3/H$31*100</f>
        <v>1.3114438899278267</v>
      </c>
      <c r="J3" s="57">
        <f t="shared" si="0"/>
        <v>15.857386033045231</v>
      </c>
      <c r="K3" s="56">
        <f>Entrate_Uscite!U24</f>
        <v>4236959.62</v>
      </c>
      <c r="L3" s="58">
        <f>IF(H3&gt;0,K3/H3*100,"-")</f>
        <v>79.387015403464929</v>
      </c>
    </row>
    <row r="4" spans="1:12" x14ac:dyDescent="0.3">
      <c r="A4" s="59" t="s">
        <v>272</v>
      </c>
      <c r="B4" s="56">
        <f>Entrate_Uscite!B25</f>
        <v>200144320.91999999</v>
      </c>
      <c r="C4" s="56">
        <f>Entrate_Uscite!E25</f>
        <v>190739468.83000001</v>
      </c>
      <c r="D4" s="56">
        <f>Entrate_Uscite!H25</f>
        <v>203864763.62</v>
      </c>
      <c r="E4" s="56">
        <f>Entrate_Uscite!K25</f>
        <v>200770731.09999999</v>
      </c>
      <c r="F4" s="56">
        <f>Entrate_Uscite!N25</f>
        <v>202845706.78999999</v>
      </c>
      <c r="G4" s="56">
        <f>Entrate_Uscite!Q25</f>
        <v>216843851.81</v>
      </c>
      <c r="H4" s="56">
        <f>Entrate_Uscite!T25</f>
        <v>233006989.05000001</v>
      </c>
      <c r="I4" s="56">
        <f t="shared" si="1"/>
        <v>57.255051765099793</v>
      </c>
      <c r="J4" s="57">
        <f t="shared" si="0"/>
        <v>7.45381393342997</v>
      </c>
      <c r="K4" s="56">
        <f>Entrate_Uscite!U25</f>
        <v>182251510.96000001</v>
      </c>
      <c r="L4" s="58">
        <f t="shared" ref="L4:L9" si="2">IF(H4&gt;0,K4/H4*100,"-")</f>
        <v>78.217186404177525</v>
      </c>
    </row>
    <row r="5" spans="1:12" x14ac:dyDescent="0.3">
      <c r="A5" s="59" t="s">
        <v>273</v>
      </c>
      <c r="B5" s="56">
        <f>Entrate_Uscite!B26</f>
        <v>17900860.449999999</v>
      </c>
      <c r="C5" s="56">
        <f>Entrate_Uscite!E26</f>
        <v>13343686.58</v>
      </c>
      <c r="D5" s="56">
        <f>Entrate_Uscite!H26</f>
        <v>15754193.470000001</v>
      </c>
      <c r="E5" s="56">
        <f>Entrate_Uscite!K26</f>
        <v>14478628.630000001</v>
      </c>
      <c r="F5" s="56">
        <f>Entrate_Uscite!N26</f>
        <v>29673734.879999999</v>
      </c>
      <c r="G5" s="56">
        <f>Entrate_Uscite!Q26</f>
        <v>23263098.620000001</v>
      </c>
      <c r="H5" s="56">
        <f>Entrate_Uscite!T26</f>
        <v>23836593.57</v>
      </c>
      <c r="I5" s="56">
        <f t="shared" si="1"/>
        <v>5.8571865346971874</v>
      </c>
      <c r="J5" s="57">
        <f t="shared" si="0"/>
        <v>2.4652560665626311</v>
      </c>
      <c r="K5" s="56">
        <f>Entrate_Uscite!U26</f>
        <v>14596873.140000001</v>
      </c>
      <c r="L5" s="58">
        <f t="shared" si="2"/>
        <v>61.237244731022201</v>
      </c>
    </row>
    <row r="6" spans="1:12" x14ac:dyDescent="0.3">
      <c r="A6" s="59" t="s">
        <v>274</v>
      </c>
      <c r="B6" s="56">
        <f>Entrate_Uscite!B27</f>
        <v>4543333.1100000003</v>
      </c>
      <c r="C6" s="56">
        <f>Entrate_Uscite!E27</f>
        <v>4219531.33</v>
      </c>
      <c r="D6" s="56">
        <f>Entrate_Uscite!H27</f>
        <v>3965083.76</v>
      </c>
      <c r="E6" s="56">
        <f>Entrate_Uscite!K27</f>
        <v>3670599.63</v>
      </c>
      <c r="F6" s="56">
        <f>Entrate_Uscite!N27</f>
        <v>3288304.78</v>
      </c>
      <c r="G6" s="56">
        <f>Entrate_Uscite!Q27</f>
        <v>3063199.78</v>
      </c>
      <c r="H6" s="56">
        <f>Entrate_Uscite!T27</f>
        <v>3050603.12</v>
      </c>
      <c r="I6" s="56">
        <f t="shared" si="1"/>
        <v>0.74960171908360596</v>
      </c>
      <c r="J6" s="57">
        <f t="shared" si="0"/>
        <v>-0.41122554533481548</v>
      </c>
      <c r="K6" s="56">
        <f>Entrate_Uscite!U27</f>
        <v>3050603.12</v>
      </c>
      <c r="L6" s="58">
        <f t="shared" si="2"/>
        <v>100</v>
      </c>
    </row>
    <row r="7" spans="1:12" x14ac:dyDescent="0.3">
      <c r="A7" s="59" t="s">
        <v>275</v>
      </c>
      <c r="B7" s="56">
        <f>Entrate_Uscite!B28</f>
        <v>97394.8</v>
      </c>
      <c r="C7" s="56">
        <f>Entrate_Uscite!E28</f>
        <v>0</v>
      </c>
      <c r="D7" s="56">
        <f>Entrate_Uscite!H28</f>
        <v>0</v>
      </c>
      <c r="E7" s="56">
        <f>Entrate_Uscite!K28</f>
        <v>112370.92</v>
      </c>
      <c r="F7" s="56">
        <f>Entrate_Uscite!N28</f>
        <v>0</v>
      </c>
      <c r="G7" s="56">
        <f>Entrate_Uscite!Q28</f>
        <v>0</v>
      </c>
      <c r="H7" s="56">
        <f>Entrate_Uscite!T28</f>
        <v>782.89</v>
      </c>
      <c r="I7" s="56">
        <f t="shared" si="1"/>
        <v>1.9237366080362636E-4</v>
      </c>
      <c r="J7" s="57" t="str">
        <f t="shared" si="0"/>
        <v>-</v>
      </c>
      <c r="K7" s="56">
        <f>Entrate_Uscite!U28</f>
        <v>782.89</v>
      </c>
      <c r="L7" s="58">
        <f t="shared" si="2"/>
        <v>100</v>
      </c>
    </row>
    <row r="8" spans="1:12" x14ac:dyDescent="0.3">
      <c r="A8" s="59" t="s">
        <v>276</v>
      </c>
      <c r="B8" s="56">
        <f>Entrate_Uscite!B29</f>
        <v>388962.07</v>
      </c>
      <c r="C8" s="56">
        <f>Entrate_Uscite!E29</f>
        <v>591294.5</v>
      </c>
      <c r="D8" s="56">
        <f>Entrate_Uscite!H29</f>
        <v>732690.42</v>
      </c>
      <c r="E8" s="56">
        <f>Entrate_Uscite!K29</f>
        <v>1174995.68</v>
      </c>
      <c r="F8" s="56">
        <f>Entrate_Uscite!N29</f>
        <v>2181844.81</v>
      </c>
      <c r="G8" s="56">
        <f>Entrate_Uscite!Q29</f>
        <v>2019083.57</v>
      </c>
      <c r="H8" s="56">
        <f>Entrate_Uscite!T29</f>
        <v>783295.96</v>
      </c>
      <c r="I8" s="56">
        <f t="shared" si="1"/>
        <v>0.19247341429561096</v>
      </c>
      <c r="J8" s="57">
        <f t="shared" si="0"/>
        <v>-61.205371999535416</v>
      </c>
      <c r="K8" s="56">
        <f>Entrate_Uscite!U29</f>
        <v>214808.18</v>
      </c>
      <c r="L8" s="58">
        <f t="shared" si="2"/>
        <v>27.423629249919792</v>
      </c>
    </row>
    <row r="9" spans="1:12" x14ac:dyDescent="0.3">
      <c r="A9" s="59" t="s">
        <v>277</v>
      </c>
      <c r="B9" s="56">
        <f>Entrate_Uscite!B30</f>
        <v>9314646.5700000003</v>
      </c>
      <c r="C9" s="56">
        <f>Entrate_Uscite!E30</f>
        <v>6616316.9900000002</v>
      </c>
      <c r="D9" s="56">
        <f>Entrate_Uscite!H30</f>
        <v>8659667.8000000007</v>
      </c>
      <c r="E9" s="56">
        <f>Entrate_Uscite!K30</f>
        <v>4238837.6500000004</v>
      </c>
      <c r="F9" s="56">
        <f>Entrate_Uscite!N30</f>
        <v>4408889.79</v>
      </c>
      <c r="G9" s="56">
        <f>Entrate_Uscite!Q30</f>
        <v>2763628.59</v>
      </c>
      <c r="H9" s="56">
        <f>Entrate_Uscite!T30</f>
        <v>16503839.75</v>
      </c>
      <c r="I9" s="56">
        <f t="shared" si="1"/>
        <v>4.0553641891247878</v>
      </c>
      <c r="J9" s="57">
        <f t="shared" si="0"/>
        <v>497.18009177202794</v>
      </c>
      <c r="K9" s="56">
        <f>Entrate_Uscite!U30</f>
        <v>2341760.92</v>
      </c>
      <c r="L9" s="58">
        <f t="shared" si="2"/>
        <v>14.189188428105041</v>
      </c>
    </row>
    <row r="10" spans="1:12" x14ac:dyDescent="0.3">
      <c r="A10" s="4" t="s">
        <v>282</v>
      </c>
      <c r="B10" s="43">
        <f t="shared" ref="B10:H10" si="3">SUM(B2:B9)</f>
        <v>311922658.02999997</v>
      </c>
      <c r="C10" s="43">
        <f t="shared" si="3"/>
        <v>295924552.94999999</v>
      </c>
      <c r="D10" s="43">
        <f t="shared" si="3"/>
        <v>313920627.06000006</v>
      </c>
      <c r="E10" s="43">
        <f t="shared" si="3"/>
        <v>306774467.61000001</v>
      </c>
      <c r="F10" s="43">
        <f t="shared" si="3"/>
        <v>321688203.02999997</v>
      </c>
      <c r="G10" s="43">
        <f t="shared" ref="G10" si="4">SUM(G2:G9)</f>
        <v>325687840.00999993</v>
      </c>
      <c r="H10" s="43">
        <f t="shared" si="3"/>
        <v>366885734.50999999</v>
      </c>
      <c r="I10" s="43">
        <f t="shared" si="1"/>
        <v>90.152067141381352</v>
      </c>
      <c r="J10" s="44">
        <f t="shared" si="0"/>
        <v>12.649503432100857</v>
      </c>
      <c r="K10" s="43">
        <f>SUM(K2:K9)</f>
        <v>281715697.73000002</v>
      </c>
      <c r="L10" s="45">
        <f t="shared" ref="L10:L17" si="5">IF(H10&gt;0,K10/H10*100,"-")</f>
        <v>76.785677727767165</v>
      </c>
    </row>
    <row r="11" spans="1:12" x14ac:dyDescent="0.3">
      <c r="A11" s="59" t="s">
        <v>278</v>
      </c>
      <c r="B11" s="56">
        <f>Entrate_Uscite!B32</f>
        <v>37834622.240000002</v>
      </c>
      <c r="C11" s="56">
        <f>Entrate_Uscite!E32</f>
        <v>50029488.899999999</v>
      </c>
      <c r="D11" s="56">
        <f>Entrate_Uscite!H32</f>
        <v>34898594.43</v>
      </c>
      <c r="E11" s="56">
        <f>Entrate_Uscite!K32</f>
        <v>41438114.170000002</v>
      </c>
      <c r="F11" s="56">
        <f>Entrate_Uscite!N32</f>
        <v>40669477.700000003</v>
      </c>
      <c r="G11" s="56">
        <f>Entrate_Uscite!Q32</f>
        <v>34384271.909999996</v>
      </c>
      <c r="H11" s="56">
        <f>Entrate_Uscite!T32</f>
        <v>35272807.939999998</v>
      </c>
      <c r="I11" s="56">
        <f t="shared" si="1"/>
        <v>8.6673213225881263</v>
      </c>
      <c r="J11" s="57">
        <f t="shared" si="0"/>
        <v>2.5841350729360215</v>
      </c>
      <c r="K11" s="56">
        <f>Entrate_Uscite!U32</f>
        <v>28820944.739999998</v>
      </c>
      <c r="L11" s="58">
        <f t="shared" si="5"/>
        <v>81.708677089233177</v>
      </c>
    </row>
    <row r="12" spans="1:12" x14ac:dyDescent="0.3">
      <c r="A12" s="59" t="s">
        <v>279</v>
      </c>
      <c r="B12" s="56">
        <f>Entrate_Uscite!B33</f>
        <v>2704748.13</v>
      </c>
      <c r="C12" s="56">
        <f>Entrate_Uscite!E33</f>
        <v>11974011</v>
      </c>
      <c r="D12" s="56">
        <f>Entrate_Uscite!H33</f>
        <v>5480621.7999999998</v>
      </c>
      <c r="E12" s="56">
        <f>Entrate_Uscite!K33</f>
        <v>10863800.779999999</v>
      </c>
      <c r="F12" s="56">
        <f>Entrate_Uscite!N33</f>
        <v>1327688.92</v>
      </c>
      <c r="G12" s="56">
        <f>Entrate_Uscite!Q33</f>
        <v>1863152.25</v>
      </c>
      <c r="H12" s="56">
        <f>Entrate_Uscite!T33</f>
        <v>1506531.15</v>
      </c>
      <c r="I12" s="56">
        <f t="shared" si="1"/>
        <v>0.37018854812323204</v>
      </c>
      <c r="J12" s="57">
        <f t="shared" si="0"/>
        <v>-19.140738498423843</v>
      </c>
      <c r="K12" s="56">
        <f>Entrate_Uscite!U33</f>
        <v>1255880.6000000001</v>
      </c>
      <c r="L12" s="58">
        <f t="shared" si="5"/>
        <v>83.362405085351227</v>
      </c>
    </row>
    <row r="13" spans="1:12" x14ac:dyDescent="0.3">
      <c r="A13" s="59" t="s">
        <v>280</v>
      </c>
      <c r="B13" s="56">
        <f>Entrate_Uscite!B34</f>
        <v>0</v>
      </c>
      <c r="C13" s="56">
        <f>Entrate_Uscite!E34</f>
        <v>0</v>
      </c>
      <c r="D13" s="56">
        <f>Entrate_Uscite!H34</f>
        <v>0</v>
      </c>
      <c r="E13" s="56">
        <f>Entrate_Uscite!K34</f>
        <v>0</v>
      </c>
      <c r="F13" s="56">
        <f>Entrate_Uscite!N34</f>
        <v>0</v>
      </c>
      <c r="G13" s="56">
        <f>Entrate_Uscite!Q34</f>
        <v>0</v>
      </c>
      <c r="H13" s="56">
        <f>Entrate_Uscite!T34</f>
        <v>0</v>
      </c>
      <c r="I13" s="56">
        <f t="shared" si="1"/>
        <v>0</v>
      </c>
      <c r="J13" s="57" t="str">
        <f t="shared" si="0"/>
        <v>-</v>
      </c>
      <c r="K13" s="56">
        <f>Entrate_Uscite!U34</f>
        <v>0</v>
      </c>
      <c r="L13" s="58" t="str">
        <f t="shared" si="5"/>
        <v>-</v>
      </c>
    </row>
    <row r="14" spans="1:12" x14ac:dyDescent="0.3">
      <c r="A14" s="59" t="s">
        <v>281</v>
      </c>
      <c r="B14" s="56">
        <f>Entrate_Uscite!B35</f>
        <v>255370.41</v>
      </c>
      <c r="C14" s="56">
        <f>Entrate_Uscite!E35</f>
        <v>36771.550000000003</v>
      </c>
      <c r="D14" s="56">
        <f>Entrate_Uscite!H35</f>
        <v>649536.29</v>
      </c>
      <c r="E14" s="56">
        <f>Entrate_Uscite!K35</f>
        <v>73062.5</v>
      </c>
      <c r="F14" s="56">
        <f>Entrate_Uscite!N35</f>
        <v>128475.12</v>
      </c>
      <c r="G14" s="56">
        <f>Entrate_Uscite!Q35</f>
        <v>143620.38</v>
      </c>
      <c r="H14" s="56">
        <f>Entrate_Uscite!T35</f>
        <v>522311.53</v>
      </c>
      <c r="I14" s="56">
        <f t="shared" si="1"/>
        <v>0.12834367676946073</v>
      </c>
      <c r="J14" s="57">
        <f t="shared" si="0"/>
        <v>263.67507870401124</v>
      </c>
      <c r="K14" s="56">
        <f>Entrate_Uscite!U35</f>
        <v>502649.34</v>
      </c>
      <c r="L14" s="58">
        <f t="shared" si="5"/>
        <v>96.235543565350739</v>
      </c>
    </row>
    <row r="15" spans="1:12" x14ac:dyDescent="0.3">
      <c r="A15" s="4" t="s">
        <v>283</v>
      </c>
      <c r="B15" s="46">
        <f t="shared" ref="B15:H15" si="6">SUM(B11:B14)</f>
        <v>40794740.780000001</v>
      </c>
      <c r="C15" s="46">
        <f t="shared" si="6"/>
        <v>62040271.449999996</v>
      </c>
      <c r="D15" s="46">
        <f t="shared" si="6"/>
        <v>41028752.519999996</v>
      </c>
      <c r="E15" s="46">
        <f t="shared" si="6"/>
        <v>52374977.450000003</v>
      </c>
      <c r="F15" s="46">
        <f t="shared" si="6"/>
        <v>42125641.740000002</v>
      </c>
      <c r="G15" s="46">
        <f t="shared" ref="G15" si="7">SUM(G11:G14)</f>
        <v>36391044.539999999</v>
      </c>
      <c r="H15" s="46">
        <f t="shared" si="6"/>
        <v>37301650.619999997</v>
      </c>
      <c r="I15" s="46">
        <f t="shared" si="1"/>
        <v>9.16585354748082</v>
      </c>
      <c r="J15" s="44">
        <f t="shared" si="0"/>
        <v>2.5022806888631379</v>
      </c>
      <c r="K15" s="46">
        <f>SUM(K11:K14)</f>
        <v>30579474.68</v>
      </c>
      <c r="L15" s="45">
        <f t="shared" si="5"/>
        <v>81.978878070356018</v>
      </c>
    </row>
    <row r="16" spans="1:12" x14ac:dyDescent="0.3">
      <c r="A16" s="59" t="s">
        <v>284</v>
      </c>
      <c r="B16" s="56">
        <f>Entrate_Uscite!B36</f>
        <v>0</v>
      </c>
      <c r="C16" s="56">
        <f>Entrate_Uscite!E36</f>
        <v>0</v>
      </c>
      <c r="D16" s="56">
        <f>Entrate_Uscite!H36</f>
        <v>0</v>
      </c>
      <c r="E16" s="56">
        <f>Entrate_Uscite!K36</f>
        <v>0</v>
      </c>
      <c r="F16" s="56">
        <f>Entrate_Uscite!N36</f>
        <v>0</v>
      </c>
      <c r="G16" s="56">
        <f>Entrate_Uscite!Q36</f>
        <v>0</v>
      </c>
      <c r="H16" s="56">
        <f>Entrate_Uscite!T36</f>
        <v>0</v>
      </c>
      <c r="I16" s="56">
        <f t="shared" si="1"/>
        <v>0</v>
      </c>
      <c r="J16" s="57" t="str">
        <f t="shared" si="0"/>
        <v>-</v>
      </c>
      <c r="K16" s="56">
        <f>Entrate_Uscite!U36</f>
        <v>0</v>
      </c>
      <c r="L16" s="58" t="str">
        <f t="shared" si="5"/>
        <v>-</v>
      </c>
    </row>
    <row r="17" spans="1:12" x14ac:dyDescent="0.3">
      <c r="A17" s="59" t="s">
        <v>285</v>
      </c>
      <c r="B17" s="56">
        <f>Entrate_Uscite!B37</f>
        <v>4499969.5999999996</v>
      </c>
      <c r="C17" s="56">
        <f>Entrate_Uscite!E37</f>
        <v>471661.47</v>
      </c>
      <c r="D17" s="56">
        <f>Entrate_Uscite!H37</f>
        <v>0</v>
      </c>
      <c r="E17" s="56">
        <f>Entrate_Uscite!K37</f>
        <v>0</v>
      </c>
      <c r="F17" s="56">
        <f>Entrate_Uscite!N37</f>
        <v>0</v>
      </c>
      <c r="G17" s="56">
        <f>Entrate_Uscite!Q37</f>
        <v>0</v>
      </c>
      <c r="H17" s="56">
        <f>Entrate_Uscite!T37</f>
        <v>0</v>
      </c>
      <c r="I17" s="56">
        <f t="shared" si="1"/>
        <v>0</v>
      </c>
      <c r="J17" s="57" t="str">
        <f t="shared" si="0"/>
        <v>-</v>
      </c>
      <c r="K17" s="56">
        <f>Entrate_Uscite!U37</f>
        <v>0</v>
      </c>
      <c r="L17" s="58" t="str">
        <f t="shared" si="5"/>
        <v>-</v>
      </c>
    </row>
    <row r="18" spans="1:12" x14ac:dyDescent="0.3">
      <c r="A18" s="59" t="s">
        <v>286</v>
      </c>
      <c r="B18" s="56">
        <f>Entrate_Uscite!B38</f>
        <v>0</v>
      </c>
      <c r="C18" s="56">
        <f>Entrate_Uscite!E38</f>
        <v>0</v>
      </c>
      <c r="D18" s="56">
        <f>Entrate_Uscite!H38</f>
        <v>0</v>
      </c>
      <c r="E18" s="56">
        <f>Entrate_Uscite!K38</f>
        <v>0</v>
      </c>
      <c r="F18" s="56">
        <f>Entrate_Uscite!N38</f>
        <v>0</v>
      </c>
      <c r="G18" s="56">
        <f>Entrate_Uscite!Q38</f>
        <v>0</v>
      </c>
      <c r="H18" s="56">
        <f>Entrate_Uscite!T38</f>
        <v>0</v>
      </c>
      <c r="I18" s="56">
        <f t="shared" si="1"/>
        <v>0</v>
      </c>
      <c r="J18" s="57" t="str">
        <f t="shared" si="0"/>
        <v>-</v>
      </c>
      <c r="K18" s="56">
        <f>Entrate_Uscite!U38</f>
        <v>0</v>
      </c>
      <c r="L18" s="58" t="str">
        <f t="shared" ref="L18:L26" si="8">IF(H18&gt;0,K18/H18*100,"-")</f>
        <v>-</v>
      </c>
    </row>
    <row r="19" spans="1:12" x14ac:dyDescent="0.3">
      <c r="A19" s="59" t="s">
        <v>287</v>
      </c>
      <c r="B19" s="56">
        <f>Entrate_Uscite!B39</f>
        <v>0</v>
      </c>
      <c r="C19" s="56">
        <f>Entrate_Uscite!E39</f>
        <v>0</v>
      </c>
      <c r="D19" s="56">
        <f>Entrate_Uscite!H39</f>
        <v>0</v>
      </c>
      <c r="E19" s="56">
        <f>Entrate_Uscite!K39</f>
        <v>0</v>
      </c>
      <c r="F19" s="56">
        <f>Entrate_Uscite!N39</f>
        <v>0</v>
      </c>
      <c r="G19" s="56">
        <f>Entrate_Uscite!Q39</f>
        <v>0</v>
      </c>
      <c r="H19" s="56">
        <f>Entrate_Uscite!T39</f>
        <v>0</v>
      </c>
      <c r="I19" s="56">
        <f t="shared" si="1"/>
        <v>0</v>
      </c>
      <c r="J19" s="57" t="str">
        <f t="shared" si="0"/>
        <v>-</v>
      </c>
      <c r="K19" s="56">
        <f>Entrate_Uscite!U39</f>
        <v>0</v>
      </c>
      <c r="L19" s="58" t="str">
        <f t="shared" si="8"/>
        <v>-</v>
      </c>
    </row>
    <row r="20" spans="1:12" x14ac:dyDescent="0.3">
      <c r="A20" s="4" t="s">
        <v>288</v>
      </c>
      <c r="B20" s="43">
        <f t="shared" ref="B20:H20" si="9">SUM(B16:B19)</f>
        <v>4499969.5999999996</v>
      </c>
      <c r="C20" s="43">
        <f t="shared" si="9"/>
        <v>471661.47</v>
      </c>
      <c r="D20" s="43">
        <f t="shared" si="9"/>
        <v>0</v>
      </c>
      <c r="E20" s="43">
        <f t="shared" si="9"/>
        <v>0</v>
      </c>
      <c r="F20" s="43">
        <f t="shared" si="9"/>
        <v>0</v>
      </c>
      <c r="G20" s="43">
        <f t="shared" ref="G20" si="10">SUM(G16:G19)</f>
        <v>0</v>
      </c>
      <c r="H20" s="43">
        <f t="shared" si="9"/>
        <v>0</v>
      </c>
      <c r="I20" s="43">
        <f t="shared" si="1"/>
        <v>0</v>
      </c>
      <c r="J20" s="44" t="str">
        <f t="shared" si="0"/>
        <v>-</v>
      </c>
      <c r="K20" s="43">
        <f>SUM(K16:K19)</f>
        <v>0</v>
      </c>
      <c r="L20" s="40" t="str">
        <f t="shared" si="8"/>
        <v>-</v>
      </c>
    </row>
    <row r="21" spans="1:12" x14ac:dyDescent="0.3">
      <c r="A21" s="47" t="s">
        <v>349</v>
      </c>
      <c r="B21" s="48">
        <f t="shared" ref="B21:H21" si="11">B10+B15+B20</f>
        <v>357217368.40999997</v>
      </c>
      <c r="C21" s="48">
        <f t="shared" si="11"/>
        <v>358436485.87</v>
      </c>
      <c r="D21" s="48">
        <f t="shared" si="11"/>
        <v>354949379.58000004</v>
      </c>
      <c r="E21" s="48">
        <f t="shared" si="11"/>
        <v>359149445.06</v>
      </c>
      <c r="F21" s="48">
        <f t="shared" si="11"/>
        <v>363813844.76999998</v>
      </c>
      <c r="G21" s="48">
        <f t="shared" ref="G21" si="12">G10+G15+G20</f>
        <v>362078884.54999995</v>
      </c>
      <c r="H21" s="48">
        <f t="shared" si="11"/>
        <v>404187385.13</v>
      </c>
      <c r="I21" s="48">
        <f>H21/H$31*100</f>
        <v>99.317920688862188</v>
      </c>
      <c r="J21" s="49">
        <f t="shared" si="0"/>
        <v>11.629648227715194</v>
      </c>
      <c r="K21" s="48">
        <f>K10+K15+K20</f>
        <v>312295172.41000003</v>
      </c>
      <c r="L21" s="50">
        <f>IF(H21&gt;0,K21/H21*100,"-")</f>
        <v>77.26494786806758</v>
      </c>
    </row>
    <row r="22" spans="1:12" x14ac:dyDescent="0.3">
      <c r="A22" s="59" t="s">
        <v>289</v>
      </c>
      <c r="B22" s="60">
        <f>Entrate_Uscite!B40</f>
        <v>0</v>
      </c>
      <c r="C22" s="60">
        <f>Entrate_Uscite!E40</f>
        <v>0</v>
      </c>
      <c r="D22" s="60">
        <f>Entrate_Uscite!H40</f>
        <v>0</v>
      </c>
      <c r="E22" s="60">
        <f>Entrate_Uscite!K40</f>
        <v>0</v>
      </c>
      <c r="F22" s="60">
        <f>Entrate_Uscite!N40</f>
        <v>0</v>
      </c>
      <c r="G22" s="60">
        <f>Entrate_Uscite!Q40</f>
        <v>0</v>
      </c>
      <c r="H22" s="60">
        <f>Entrate_Uscite!T40</f>
        <v>0</v>
      </c>
      <c r="I22" s="60">
        <f t="shared" si="1"/>
        <v>0</v>
      </c>
      <c r="J22" s="61" t="str">
        <f t="shared" si="0"/>
        <v>-</v>
      </c>
      <c r="K22" s="60">
        <f>Entrate_Uscite!U40</f>
        <v>0</v>
      </c>
      <c r="L22" s="58" t="str">
        <f t="shared" si="8"/>
        <v>-</v>
      </c>
    </row>
    <row r="23" spans="1:12" x14ac:dyDescent="0.3">
      <c r="A23" s="59" t="s">
        <v>290</v>
      </c>
      <c r="B23" s="60">
        <f>Entrate_Uscite!B41</f>
        <v>0</v>
      </c>
      <c r="C23" s="60">
        <f>Entrate_Uscite!E41</f>
        <v>0</v>
      </c>
      <c r="D23" s="60">
        <f>Entrate_Uscite!H41</f>
        <v>0</v>
      </c>
      <c r="E23" s="60">
        <f>Entrate_Uscite!K41</f>
        <v>0</v>
      </c>
      <c r="F23" s="60">
        <f>Entrate_Uscite!N41</f>
        <v>0</v>
      </c>
      <c r="G23" s="60">
        <f>Entrate_Uscite!Q41</f>
        <v>0</v>
      </c>
      <c r="H23" s="60">
        <f>Entrate_Uscite!T41</f>
        <v>0</v>
      </c>
      <c r="I23" s="60">
        <f t="shared" si="1"/>
        <v>0</v>
      </c>
      <c r="J23" s="61" t="str">
        <f t="shared" si="0"/>
        <v>-</v>
      </c>
      <c r="K23" s="60">
        <f>Entrate_Uscite!U41</f>
        <v>0</v>
      </c>
      <c r="L23" s="58" t="str">
        <f t="shared" si="8"/>
        <v>-</v>
      </c>
    </row>
    <row r="24" spans="1:12" x14ac:dyDescent="0.3">
      <c r="A24" s="59" t="s">
        <v>291</v>
      </c>
      <c r="B24" s="60">
        <f>Entrate_Uscite!B42</f>
        <v>6853190.46</v>
      </c>
      <c r="C24" s="60">
        <f>Entrate_Uscite!E42</f>
        <v>6138703.0099999998</v>
      </c>
      <c r="D24" s="60">
        <f>Entrate_Uscite!H42</f>
        <v>6408855.29</v>
      </c>
      <c r="E24" s="60">
        <f>Entrate_Uscite!K42</f>
        <v>6078636.3099999996</v>
      </c>
      <c r="F24" s="60">
        <f>Entrate_Uscite!N42</f>
        <v>1723986.64</v>
      </c>
      <c r="G24" s="60">
        <f>Entrate_Uscite!Q42</f>
        <v>2332727.2799999998</v>
      </c>
      <c r="H24" s="60">
        <f>Entrate_Uscite!T42</f>
        <v>2775811.77</v>
      </c>
      <c r="I24" s="60">
        <f t="shared" si="1"/>
        <v>0.68207931113782738</v>
      </c>
      <c r="J24" s="61">
        <f t="shared" si="0"/>
        <v>18.994268802823797</v>
      </c>
      <c r="K24" s="60">
        <f>Entrate_Uscite!U42</f>
        <v>2775811.77</v>
      </c>
      <c r="L24" s="58">
        <f t="shared" si="8"/>
        <v>100</v>
      </c>
    </row>
    <row r="25" spans="1:12" x14ac:dyDescent="0.3">
      <c r="A25" s="59" t="s">
        <v>292</v>
      </c>
      <c r="B25" s="60">
        <f>Entrate_Uscite!B43</f>
        <v>0</v>
      </c>
      <c r="C25" s="60">
        <f>Entrate_Uscite!E43</f>
        <v>0</v>
      </c>
      <c r="D25" s="60">
        <f>Entrate_Uscite!H43</f>
        <v>0</v>
      </c>
      <c r="E25" s="60">
        <f>Entrate_Uscite!K43</f>
        <v>0</v>
      </c>
      <c r="F25" s="60">
        <f>Entrate_Uscite!N43</f>
        <v>0</v>
      </c>
      <c r="G25" s="60">
        <f>Entrate_Uscite!Q43</f>
        <v>0</v>
      </c>
      <c r="H25" s="60">
        <f>Entrate_Uscite!T43</f>
        <v>0</v>
      </c>
      <c r="I25" s="60">
        <f t="shared" si="1"/>
        <v>0</v>
      </c>
      <c r="J25" s="61" t="str">
        <f t="shared" si="0"/>
        <v>-</v>
      </c>
      <c r="K25" s="60">
        <f>Entrate_Uscite!U43</f>
        <v>0</v>
      </c>
      <c r="L25" s="58" t="str">
        <f t="shared" si="8"/>
        <v>-</v>
      </c>
    </row>
    <row r="26" spans="1:12" x14ac:dyDescent="0.3">
      <c r="A26" s="59" t="s">
        <v>293</v>
      </c>
      <c r="B26" s="60">
        <f>Entrate_Uscite!B44</f>
        <v>0</v>
      </c>
      <c r="C26" s="60">
        <f>Entrate_Uscite!E44</f>
        <v>0</v>
      </c>
      <c r="D26" s="60">
        <f>Entrate_Uscite!H44</f>
        <v>0</v>
      </c>
      <c r="E26" s="60">
        <f>Entrate_Uscite!K44</f>
        <v>0</v>
      </c>
      <c r="F26" s="60">
        <f>Entrate_Uscite!N44</f>
        <v>0</v>
      </c>
      <c r="G26" s="60">
        <f>Entrate_Uscite!Q44</f>
        <v>0</v>
      </c>
      <c r="H26" s="60">
        <f>Entrate_Uscite!T44</f>
        <v>0</v>
      </c>
      <c r="I26" s="60">
        <f t="shared" si="1"/>
        <v>0</v>
      </c>
      <c r="J26" s="61" t="str">
        <f t="shared" si="0"/>
        <v>-</v>
      </c>
      <c r="K26" s="60">
        <f>Entrate_Uscite!U44</f>
        <v>0</v>
      </c>
      <c r="L26" s="58" t="str">
        <f t="shared" si="8"/>
        <v>-</v>
      </c>
    </row>
    <row r="27" spans="1:12" x14ac:dyDescent="0.3">
      <c r="A27" s="4" t="s">
        <v>294</v>
      </c>
      <c r="B27" s="43">
        <f t="shared" ref="B27:H27" si="13">SUM(B22:B26)</f>
        <v>6853190.46</v>
      </c>
      <c r="C27" s="43">
        <f t="shared" si="13"/>
        <v>6138703.0099999998</v>
      </c>
      <c r="D27" s="43">
        <f t="shared" si="13"/>
        <v>6408855.29</v>
      </c>
      <c r="E27" s="43">
        <f t="shared" si="13"/>
        <v>6078636.3099999996</v>
      </c>
      <c r="F27" s="43">
        <f t="shared" si="13"/>
        <v>1723986.64</v>
      </c>
      <c r="G27" s="43">
        <f t="shared" ref="G27" si="14">SUM(G22:G26)</f>
        <v>2332727.2799999998</v>
      </c>
      <c r="H27" s="43">
        <f t="shared" si="13"/>
        <v>2775811.77</v>
      </c>
      <c r="I27" s="43">
        <f t="shared" si="1"/>
        <v>0.68207931113782738</v>
      </c>
      <c r="J27" s="44">
        <f t="shared" si="0"/>
        <v>18.994268802823797</v>
      </c>
      <c r="K27" s="43">
        <f>SUM(K22:K26)</f>
        <v>2775811.77</v>
      </c>
      <c r="L27" s="45">
        <f>IF(H27&gt;0,K27/H27*100,"-")</f>
        <v>100</v>
      </c>
    </row>
    <row r="28" spans="1:12" x14ac:dyDescent="0.3">
      <c r="A28" s="4" t="s">
        <v>295</v>
      </c>
      <c r="B28" s="43">
        <f>Entrate_Uscite!B52</f>
        <v>0</v>
      </c>
      <c r="C28" s="43">
        <f>Entrate_Uscite!E52</f>
        <v>0</v>
      </c>
      <c r="D28" s="43">
        <f>Entrate_Uscite!H52</f>
        <v>0</v>
      </c>
      <c r="E28" s="43">
        <f>Entrate_Uscite!K52</f>
        <v>0</v>
      </c>
      <c r="F28" s="43">
        <f>Entrate_Uscite!N52</f>
        <v>0</v>
      </c>
      <c r="G28" s="43">
        <f>Entrate_Uscite!Q52</f>
        <v>0</v>
      </c>
      <c r="H28" s="43">
        <f>Entrate_Uscite!T52</f>
        <v>0</v>
      </c>
      <c r="I28" s="43">
        <f t="shared" si="1"/>
        <v>0</v>
      </c>
      <c r="J28" s="44" t="str">
        <f t="shared" si="0"/>
        <v>-</v>
      </c>
      <c r="K28" s="43">
        <f>Entrate_Uscite!U52</f>
        <v>0</v>
      </c>
      <c r="L28" s="45" t="str">
        <f>IF(H28&gt;0,K28/H28*100,"-")</f>
        <v>-</v>
      </c>
    </row>
    <row r="29" spans="1:12" x14ac:dyDescent="0.3">
      <c r="A29" s="4" t="s">
        <v>296</v>
      </c>
      <c r="B29" s="43">
        <f>Entrate_Uscite!B53</f>
        <v>50311797.200000003</v>
      </c>
      <c r="C29" s="43">
        <f>Entrate_Uscite!E53</f>
        <v>48906283.229999997</v>
      </c>
      <c r="D29" s="43">
        <f>Entrate_Uscite!H53</f>
        <v>51634582.790000007</v>
      </c>
      <c r="E29" s="43">
        <f>Entrate_Uscite!K53</f>
        <v>47827283.539999999</v>
      </c>
      <c r="F29" s="43">
        <f>Entrate_Uscite!N53</f>
        <v>44811550.670000002</v>
      </c>
      <c r="G29" s="43">
        <f>Entrate_Uscite!Q53</f>
        <v>63468407.189999998</v>
      </c>
      <c r="H29" s="43">
        <f>Entrate_Uscite!T53</f>
        <v>50175403.380000003</v>
      </c>
      <c r="I29" s="43"/>
      <c r="J29" s="44">
        <f t="shared" si="0"/>
        <v>-20.944284563823786</v>
      </c>
      <c r="K29" s="43">
        <f>Entrate_Uscite!U53</f>
        <v>40612674.130000003</v>
      </c>
      <c r="L29" s="45">
        <f>IF(H29&gt;0,K29/H29*100,"-")</f>
        <v>80.941400355912791</v>
      </c>
    </row>
    <row r="30" spans="1:12" x14ac:dyDescent="0.3">
      <c r="A30" s="47" t="s">
        <v>69</v>
      </c>
      <c r="B30" s="48">
        <f t="shared" ref="B30:H30" si="15">B10+B15+B20+B27+B28+B29</f>
        <v>414382356.06999993</v>
      </c>
      <c r="C30" s="48">
        <f t="shared" si="15"/>
        <v>413481472.11000001</v>
      </c>
      <c r="D30" s="48">
        <f t="shared" si="15"/>
        <v>412992817.66000009</v>
      </c>
      <c r="E30" s="48">
        <f t="shared" si="15"/>
        <v>413055364.91000003</v>
      </c>
      <c r="F30" s="48">
        <f t="shared" si="15"/>
        <v>410349382.07999998</v>
      </c>
      <c r="G30" s="48">
        <f t="shared" ref="G30" si="16">G10+G15+G20+G27+G28+G29</f>
        <v>427880019.01999992</v>
      </c>
      <c r="H30" s="48">
        <f t="shared" si="15"/>
        <v>457138600.27999997</v>
      </c>
      <c r="I30" s="48"/>
      <c r="J30" s="49">
        <f t="shared" si="0"/>
        <v>6.8380340187449633</v>
      </c>
      <c r="K30" s="48">
        <f>K10+K15+K20+K27+K28+K29</f>
        <v>355683658.31</v>
      </c>
      <c r="L30" s="50">
        <f>IF(H30&gt;0,K30/H30*100,"-")</f>
        <v>77.806524780918025</v>
      </c>
    </row>
    <row r="31" spans="1:12" x14ac:dyDescent="0.3">
      <c r="A31" s="38" t="s">
        <v>70</v>
      </c>
      <c r="B31" s="51">
        <f t="shared" ref="B31:H31" si="17">B30-B29</f>
        <v>364070558.86999995</v>
      </c>
      <c r="C31" s="51">
        <f t="shared" si="17"/>
        <v>364575188.88</v>
      </c>
      <c r="D31" s="51">
        <f t="shared" si="17"/>
        <v>361358234.87000006</v>
      </c>
      <c r="E31" s="51">
        <f t="shared" si="17"/>
        <v>365228081.37</v>
      </c>
      <c r="F31" s="51">
        <f t="shared" si="17"/>
        <v>365537831.40999997</v>
      </c>
      <c r="G31" s="51">
        <f t="shared" ref="G31" si="18">G30-G29</f>
        <v>364411611.82999992</v>
      </c>
      <c r="H31" s="51">
        <f t="shared" si="17"/>
        <v>406963196.89999998</v>
      </c>
      <c r="I31" s="51">
        <f t="shared" si="1"/>
        <v>100</v>
      </c>
      <c r="J31" s="52">
        <f t="shared" si="0"/>
        <v>11.676791762017345</v>
      </c>
      <c r="K31" s="51">
        <f>K30-K29</f>
        <v>315070984.18000001</v>
      </c>
      <c r="L31" s="53">
        <f>IF(H31&gt;0,K31/H31*100,"-")</f>
        <v>77.420018955035886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sqref="A1:J6"/>
    </sheetView>
  </sheetViews>
  <sheetFormatPr defaultRowHeight="14.4" x14ac:dyDescent="0.3"/>
  <cols>
    <col min="1" max="1" width="40.88671875" customWidth="1"/>
    <col min="2" max="2" width="11.33203125" bestFit="1" customWidth="1"/>
    <col min="3" max="4" width="10.5546875" bestFit="1" customWidth="1"/>
    <col min="5" max="5" width="11.33203125" bestFit="1" customWidth="1"/>
    <col min="6" max="8" width="10.5546875" bestFit="1" customWidth="1"/>
    <col min="9" max="9" width="11.21875" bestFit="1" customWidth="1"/>
    <col min="10" max="10" width="11.33203125" bestFit="1" customWidth="1"/>
  </cols>
  <sheetData>
    <row r="1" spans="1:10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>
        <v>2021</v>
      </c>
      <c r="H1" s="42">
        <v>2022</v>
      </c>
      <c r="I1" s="42" t="s">
        <v>266</v>
      </c>
      <c r="J1" s="42" t="s">
        <v>340</v>
      </c>
    </row>
    <row r="2" spans="1:10" x14ac:dyDescent="0.3">
      <c r="A2" s="62" t="s">
        <v>298</v>
      </c>
      <c r="B2" s="64">
        <f>Entrate_Uscite!B56</f>
        <v>34541537.75</v>
      </c>
      <c r="C2" s="64">
        <f>Entrate_Uscite!E56</f>
        <v>37009574.029999971</v>
      </c>
      <c r="D2" s="64">
        <f>Entrate_Uscite!H56</f>
        <v>26312770.329999924</v>
      </c>
      <c r="E2" s="64">
        <f>Entrate_Uscite!K56</f>
        <v>51701469.339999974</v>
      </c>
      <c r="F2" s="64">
        <f>Entrate_Uscite!N56</f>
        <v>58462215.190000057</v>
      </c>
      <c r="G2" s="64">
        <f>Entrate_Uscite!Q56</f>
        <v>54582916.160000086</v>
      </c>
      <c r="H2" s="64">
        <f>Entrate_Uscite!T56</f>
        <v>21511371.039999962</v>
      </c>
      <c r="I2" s="64">
        <f t="shared" ref="I2:I6" si="0">H2-G2</f>
        <v>-33071545.120000124</v>
      </c>
      <c r="J2" s="64">
        <f>Entrate_Uscite!U56</f>
        <v>-3608326.9200000167</v>
      </c>
    </row>
    <row r="3" spans="1:10" x14ac:dyDescent="0.3">
      <c r="A3" s="62" t="s">
        <v>72</v>
      </c>
      <c r="B3" s="65">
        <f>Entrate_Uscite!B57</f>
        <v>-20578350.850000001</v>
      </c>
      <c r="C3" s="65">
        <f>Entrate_Uscite!E57</f>
        <v>-9515225.6499999985</v>
      </c>
      <c r="D3" s="65">
        <f>Entrate_Uscite!H57</f>
        <v>-7537183.1899999976</v>
      </c>
      <c r="E3" s="65">
        <f>Entrate_Uscite!K57</f>
        <v>-11607746.420000002</v>
      </c>
      <c r="F3" s="65">
        <f>Entrate_Uscite!N57</f>
        <v>-737167.3900000006</v>
      </c>
      <c r="G3" s="65">
        <f>Entrate_Uscite!Q57</f>
        <v>-5486033.8199999966</v>
      </c>
      <c r="H3" s="65">
        <f>Entrate_Uscite!T57</f>
        <v>51819414.93</v>
      </c>
      <c r="I3" s="64">
        <f t="shared" si="0"/>
        <v>57305448.75</v>
      </c>
      <c r="J3" s="64">
        <f>Entrate_Uscite!U57</f>
        <v>47432489.630000003</v>
      </c>
    </row>
    <row r="4" spans="1:10" x14ac:dyDescent="0.3">
      <c r="A4" s="62" t="s">
        <v>301</v>
      </c>
      <c r="B4" s="65">
        <f>Entrate_Uscite!B16-Entrate_Uscite!B50</f>
        <v>0</v>
      </c>
      <c r="C4" s="65">
        <f>Entrate_Uscite!E16-Entrate_Uscite!E50</f>
        <v>0</v>
      </c>
      <c r="D4" s="65">
        <f>Entrate_Uscite!H16-Entrate_Uscite!H50</f>
        <v>0</v>
      </c>
      <c r="E4" s="65">
        <f>Entrate_Uscite!K16-Entrate_Uscite!K50</f>
        <v>0</v>
      </c>
      <c r="F4" s="65">
        <f>Entrate_Uscite!N16-Entrate_Uscite!N50</f>
        <v>0</v>
      </c>
      <c r="G4" s="65">
        <f>Entrate_Uscite!Q16-Entrate_Uscite!Q50</f>
        <v>0</v>
      </c>
      <c r="H4" s="65">
        <f>Entrate_Uscite!T16-Entrate_Uscite!T50</f>
        <v>0</v>
      </c>
      <c r="I4" s="64">
        <f t="shared" si="0"/>
        <v>0</v>
      </c>
      <c r="J4" s="65">
        <f>Entrate_Uscite!U16-Entrate_Uscite!U50</f>
        <v>0</v>
      </c>
    </row>
    <row r="5" spans="1:10" x14ac:dyDescent="0.3">
      <c r="A5" s="47" t="s">
        <v>299</v>
      </c>
      <c r="B5" s="66">
        <f>Entrate_Uscite!B58</f>
        <v>13963186.900000036</v>
      </c>
      <c r="C5" s="66">
        <f>Entrate_Uscite!E58</f>
        <v>27494348.379999995</v>
      </c>
      <c r="D5" s="66">
        <f>Entrate_Uscite!H58</f>
        <v>18775587.139999926</v>
      </c>
      <c r="E5" s="66">
        <f>Entrate_Uscite!K58</f>
        <v>40093722.920000017</v>
      </c>
      <c r="F5" s="66">
        <f>Entrate_Uscite!N58</f>
        <v>57725047.800000072</v>
      </c>
      <c r="G5" s="66">
        <f>Entrate_Uscite!Q58</f>
        <v>49096882.340000093</v>
      </c>
      <c r="H5" s="66">
        <f>Entrate_Uscite!T58</f>
        <v>73330785.969999969</v>
      </c>
      <c r="I5" s="66">
        <f t="shared" si="0"/>
        <v>24233903.629999876</v>
      </c>
      <c r="J5" s="66">
        <f>Entrate_Uscite!U58</f>
        <v>43824162.709999979</v>
      </c>
    </row>
    <row r="6" spans="1:10" x14ac:dyDescent="0.3">
      <c r="A6" s="38" t="s">
        <v>300</v>
      </c>
      <c r="B6" s="67">
        <f>Entrate_Uscite!B59</f>
        <v>7109996.4400000572</v>
      </c>
      <c r="C6" s="67">
        <f>Entrate_Uscite!E59</f>
        <v>24353645.370000005</v>
      </c>
      <c r="D6" s="67">
        <f>Entrate_Uscite!H59</f>
        <v>12366731.849999905</v>
      </c>
      <c r="E6" s="67">
        <f>Entrate_Uscite!K59</f>
        <v>34015086.610000014</v>
      </c>
      <c r="F6" s="67">
        <f>Entrate_Uscite!N59</f>
        <v>56001061.160000086</v>
      </c>
      <c r="G6" s="67">
        <f>Entrate_Uscite!Q59</f>
        <v>58264155.060000122</v>
      </c>
      <c r="H6" s="67">
        <f>Entrate_Uscite!T59</f>
        <v>70554974.199999988</v>
      </c>
      <c r="I6" s="67">
        <f t="shared" si="0"/>
        <v>12290819.139999866</v>
      </c>
      <c r="J6" s="67">
        <f>Entrate_Uscite!U59</f>
        <v>41048350.939999998</v>
      </c>
    </row>
    <row r="7" spans="1:10" x14ac:dyDescent="0.3">
      <c r="J7" s="6"/>
    </row>
    <row r="8" spans="1:10" x14ac:dyDescent="0.3">
      <c r="J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76" workbookViewId="0">
      <selection activeCell="H20" sqref="H20"/>
    </sheetView>
  </sheetViews>
  <sheetFormatPr defaultRowHeight="14.4" x14ac:dyDescent="0.3"/>
  <cols>
    <col min="1" max="1" width="33.44140625" bestFit="1" customWidth="1"/>
    <col min="2" max="4" width="12.5546875" bestFit="1" customWidth="1"/>
    <col min="5" max="5" width="11.88671875" customWidth="1"/>
    <col min="6" max="6" width="10.88671875" customWidth="1"/>
    <col min="7" max="8" width="10.109375" bestFit="1" customWidth="1"/>
    <col min="9" max="9" width="12" bestFit="1" customWidth="1"/>
  </cols>
  <sheetData>
    <row r="1" spans="1:6" x14ac:dyDescent="0.3">
      <c r="A1" s="12">
        <v>2022</v>
      </c>
      <c r="B1" s="12" t="s">
        <v>364</v>
      </c>
      <c r="C1" s="12" t="s">
        <v>365</v>
      </c>
      <c r="D1" s="12" t="s">
        <v>366</v>
      </c>
      <c r="E1" s="12" t="s">
        <v>367</v>
      </c>
      <c r="F1" s="12" t="s">
        <v>368</v>
      </c>
    </row>
    <row r="2" spans="1:6" x14ac:dyDescent="0.3">
      <c r="A2" t="s">
        <v>369</v>
      </c>
      <c r="B2" s="1">
        <v>24562136.670000002</v>
      </c>
      <c r="C2" s="1">
        <v>18662153.629999999</v>
      </c>
      <c r="D2" s="1">
        <f>B2-C2</f>
        <v>5899983.0400000028</v>
      </c>
      <c r="E2" s="6">
        <f>IF(B2&gt;0,C2/B2*100,"-")</f>
        <v>75.979357499438578</v>
      </c>
      <c r="F2" s="6">
        <f>B2/B$11*100</f>
        <v>35.889945723049564</v>
      </c>
    </row>
    <row r="3" spans="1:6" x14ac:dyDescent="0.3">
      <c r="A3" t="s">
        <v>370</v>
      </c>
      <c r="B3" s="1">
        <v>827045.93</v>
      </c>
      <c r="C3" s="1">
        <v>449942.39</v>
      </c>
      <c r="D3" s="1">
        <f t="shared" ref="D3:D11" si="0">B3-C3</f>
        <v>377103.54000000004</v>
      </c>
      <c r="E3" s="6">
        <f t="shared" ref="E3:E11" si="1">IF(B3&gt;0,C3/B3*100,"-")</f>
        <v>54.403555314031948</v>
      </c>
      <c r="F3" s="6">
        <f t="shared" ref="F3:F11" si="2">B3/B$11*100</f>
        <v>1.2084711495976321</v>
      </c>
    </row>
    <row r="4" spans="1:6" x14ac:dyDescent="0.3">
      <c r="A4" t="s">
        <v>371</v>
      </c>
      <c r="B4" s="1">
        <v>1977018.77</v>
      </c>
      <c r="C4" s="1">
        <v>1547707.47</v>
      </c>
      <c r="D4" s="1">
        <f t="shared" si="0"/>
        <v>429311.30000000005</v>
      </c>
      <c r="E4" s="6">
        <f t="shared" si="1"/>
        <v>78.284915322275879</v>
      </c>
      <c r="F4" s="6">
        <f t="shared" si="2"/>
        <v>2.8887998345605745</v>
      </c>
    </row>
    <row r="5" spans="1:6" x14ac:dyDescent="0.3">
      <c r="A5" t="s">
        <v>372</v>
      </c>
      <c r="B5" s="1">
        <v>1196441.23</v>
      </c>
      <c r="C5" s="1">
        <v>815637.94</v>
      </c>
      <c r="D5" s="1">
        <f t="shared" si="0"/>
        <v>380803.29000000004</v>
      </c>
      <c r="E5" s="6">
        <f t="shared" si="1"/>
        <v>68.172002063151908</v>
      </c>
      <c r="F5" s="6">
        <f t="shared" si="2"/>
        <v>1.748227826529664</v>
      </c>
    </row>
    <row r="6" spans="1:6" x14ac:dyDescent="0.3">
      <c r="A6" t="s">
        <v>373</v>
      </c>
      <c r="B6" s="1">
        <v>0</v>
      </c>
      <c r="C6" s="1">
        <v>0</v>
      </c>
      <c r="D6" s="1">
        <f t="shared" si="0"/>
        <v>0</v>
      </c>
      <c r="E6" s="124" t="str">
        <f t="shared" si="1"/>
        <v>-</v>
      </c>
      <c r="F6" s="6">
        <f t="shared" si="2"/>
        <v>0</v>
      </c>
    </row>
    <row r="7" spans="1:6" x14ac:dyDescent="0.3">
      <c r="A7" t="s">
        <v>374</v>
      </c>
      <c r="B7" s="1">
        <v>4402001.8899999997</v>
      </c>
      <c r="C7" s="1">
        <v>4390001.8899999997</v>
      </c>
      <c r="D7" s="1">
        <f t="shared" si="0"/>
        <v>12000</v>
      </c>
      <c r="E7" s="6">
        <f t="shared" si="1"/>
        <v>99.727396754934148</v>
      </c>
      <c r="F7" s="6">
        <f t="shared" si="2"/>
        <v>6.4321606474011039</v>
      </c>
    </row>
    <row r="8" spans="1:6" x14ac:dyDescent="0.3">
      <c r="A8" t="s">
        <v>375</v>
      </c>
      <c r="B8" s="1">
        <v>32453041.149999999</v>
      </c>
      <c r="C8" s="1">
        <v>20276974.059999999</v>
      </c>
      <c r="D8" s="1">
        <f t="shared" si="0"/>
        <v>12176067.09</v>
      </c>
      <c r="E8" s="6">
        <f t="shared" si="1"/>
        <v>62.480967396178833</v>
      </c>
      <c r="F8" s="6">
        <f t="shared" si="2"/>
        <v>47.420055554205746</v>
      </c>
    </row>
    <row r="9" spans="1:6" x14ac:dyDescent="0.3">
      <c r="A9" t="s">
        <v>376</v>
      </c>
      <c r="B9" s="1">
        <v>0</v>
      </c>
      <c r="C9" s="1">
        <v>0</v>
      </c>
      <c r="D9" s="1">
        <f t="shared" si="0"/>
        <v>0</v>
      </c>
      <c r="E9" s="124" t="str">
        <f t="shared" si="1"/>
        <v>-</v>
      </c>
      <c r="F9" s="6">
        <f t="shared" si="2"/>
        <v>0</v>
      </c>
    </row>
    <row r="10" spans="1:6" x14ac:dyDescent="0.3">
      <c r="A10" t="s">
        <v>377</v>
      </c>
      <c r="B10" s="1">
        <v>3019689.16</v>
      </c>
      <c r="C10" s="1">
        <v>2675708.56</v>
      </c>
      <c r="D10" s="1">
        <f t="shared" si="0"/>
        <v>343980.60000000009</v>
      </c>
      <c r="E10" s="6">
        <f t="shared" si="1"/>
        <v>88.608741437479608</v>
      </c>
      <c r="F10" s="6">
        <f t="shared" si="2"/>
        <v>4.4123392646557216</v>
      </c>
    </row>
    <row r="11" spans="1:6" x14ac:dyDescent="0.3">
      <c r="A11" s="4" t="s">
        <v>207</v>
      </c>
      <c r="B11" s="3">
        <f>SUM(B2:B10)</f>
        <v>68437374.799999997</v>
      </c>
      <c r="C11" s="3">
        <f>SUM(C2:C10)</f>
        <v>48818125.939999998</v>
      </c>
      <c r="D11" s="3">
        <f t="shared" si="0"/>
        <v>19619248.859999999</v>
      </c>
      <c r="E11" s="125">
        <f t="shared" si="1"/>
        <v>71.332551961066741</v>
      </c>
      <c r="F11" s="125">
        <f t="shared" si="2"/>
        <v>100</v>
      </c>
    </row>
    <row r="12" spans="1:6" x14ac:dyDescent="0.3">
      <c r="A12" s="126" t="s">
        <v>378</v>
      </c>
      <c r="B12" s="127">
        <v>404187385.13</v>
      </c>
      <c r="C12" s="126"/>
      <c r="D12" s="126"/>
      <c r="E12" s="126"/>
      <c r="F12" s="128">
        <f>B11/B12*100</f>
        <v>16.93209073756428</v>
      </c>
    </row>
    <row r="14" spans="1:6" x14ac:dyDescent="0.3">
      <c r="A14" s="12">
        <v>2021</v>
      </c>
      <c r="B14" s="12" t="s">
        <v>364</v>
      </c>
      <c r="C14" s="12" t="s">
        <v>365</v>
      </c>
      <c r="D14" s="12" t="s">
        <v>366</v>
      </c>
      <c r="E14" s="12" t="s">
        <v>367</v>
      </c>
      <c r="F14" s="12" t="s">
        <v>368</v>
      </c>
    </row>
    <row r="15" spans="1:6" x14ac:dyDescent="0.3">
      <c r="A15" t="s">
        <v>369</v>
      </c>
      <c r="B15" s="1">
        <v>19748961.789999999</v>
      </c>
      <c r="C15" s="1">
        <v>14126102.01</v>
      </c>
      <c r="D15" s="1">
        <f>B15-C15</f>
        <v>5622859.7799999993</v>
      </c>
      <c r="E15" s="6">
        <f>IF(B15&gt;0,C15/B15*100,"-")</f>
        <v>71.52832721137186</v>
      </c>
      <c r="F15" s="6">
        <f>B15/B$11*100</f>
        <v>28.856983260556046</v>
      </c>
    </row>
    <row r="16" spans="1:6" x14ac:dyDescent="0.3">
      <c r="A16" t="s">
        <v>370</v>
      </c>
      <c r="B16" s="1">
        <v>802133.29</v>
      </c>
      <c r="C16" s="1">
        <v>601674.18000000005</v>
      </c>
      <c r="D16" s="1">
        <f t="shared" ref="D16:D24" si="3">B16-C16</f>
        <v>200459.11</v>
      </c>
      <c r="E16" s="6">
        <f t="shared" ref="E16:E24" si="4">IF(B16&gt;0,C16/B16*100,"-")</f>
        <v>75.009251891291044</v>
      </c>
      <c r="F16" s="6">
        <f t="shared" ref="F16:F24" si="5">B16/B$11*100</f>
        <v>1.1720690519531733</v>
      </c>
    </row>
    <row r="17" spans="1:6" x14ac:dyDescent="0.3">
      <c r="A17" t="s">
        <v>371</v>
      </c>
      <c r="B17" s="1">
        <v>2281201.0699999998</v>
      </c>
      <c r="C17" s="1">
        <v>742421.9</v>
      </c>
      <c r="D17" s="1">
        <f t="shared" si="3"/>
        <v>1538779.17</v>
      </c>
      <c r="E17" s="6">
        <f t="shared" si="4"/>
        <v>32.545219698673911</v>
      </c>
      <c r="F17" s="6">
        <f t="shared" si="5"/>
        <v>3.3332679353445913</v>
      </c>
    </row>
    <row r="18" spans="1:6" x14ac:dyDescent="0.3">
      <c r="A18" t="s">
        <v>372</v>
      </c>
      <c r="B18" s="1">
        <v>1210116.3999999999</v>
      </c>
      <c r="C18" s="1">
        <v>926417.19</v>
      </c>
      <c r="D18" s="1">
        <f t="shared" si="3"/>
        <v>283699.20999999996</v>
      </c>
      <c r="E18" s="6">
        <f t="shared" si="4"/>
        <v>76.556039567763904</v>
      </c>
      <c r="F18" s="6">
        <f t="shared" si="5"/>
        <v>1.7682098466465432</v>
      </c>
    </row>
    <row r="19" spans="1:6" x14ac:dyDescent="0.3">
      <c r="A19" t="s">
        <v>373</v>
      </c>
      <c r="B19" s="1">
        <v>0</v>
      </c>
      <c r="C19" s="1">
        <v>0</v>
      </c>
      <c r="D19" s="1">
        <f t="shared" si="3"/>
        <v>0</v>
      </c>
      <c r="E19" s="124" t="str">
        <f t="shared" si="4"/>
        <v>-</v>
      </c>
      <c r="F19" s="6">
        <f t="shared" si="5"/>
        <v>0</v>
      </c>
    </row>
    <row r="20" spans="1:6" x14ac:dyDescent="0.3">
      <c r="A20" t="s">
        <v>374</v>
      </c>
      <c r="B20" s="1">
        <v>4772457.5</v>
      </c>
      <c r="C20" s="1">
        <v>4772457.5</v>
      </c>
      <c r="D20" s="1">
        <f t="shared" si="3"/>
        <v>0</v>
      </c>
      <c r="E20" s="6">
        <f t="shared" si="4"/>
        <v>100</v>
      </c>
      <c r="F20" s="6">
        <f t="shared" si="5"/>
        <v>6.9734666385829867</v>
      </c>
    </row>
    <row r="21" spans="1:6" x14ac:dyDescent="0.3">
      <c r="A21" t="s">
        <v>375</v>
      </c>
      <c r="B21" s="1">
        <v>27628890.75</v>
      </c>
      <c r="C21" s="1">
        <v>16521234.17</v>
      </c>
      <c r="D21" s="1">
        <f t="shared" si="3"/>
        <v>11107656.58</v>
      </c>
      <c r="E21" s="6">
        <f t="shared" si="4"/>
        <v>59.79695066114806</v>
      </c>
      <c r="F21" s="6">
        <f t="shared" si="5"/>
        <v>40.371055772875728</v>
      </c>
    </row>
    <row r="22" spans="1:6" x14ac:dyDescent="0.3">
      <c r="A22" t="s">
        <v>376</v>
      </c>
      <c r="B22" s="1">
        <v>0</v>
      </c>
      <c r="C22" s="1">
        <v>0</v>
      </c>
      <c r="D22" s="1">
        <f t="shared" si="3"/>
        <v>0</v>
      </c>
      <c r="E22" s="124" t="str">
        <f t="shared" si="4"/>
        <v>-</v>
      </c>
      <c r="F22" s="6">
        <f t="shared" si="5"/>
        <v>0</v>
      </c>
    </row>
    <row r="23" spans="1:6" x14ac:dyDescent="0.3">
      <c r="A23" t="s">
        <v>377</v>
      </c>
      <c r="B23" s="1">
        <v>2950842.6</v>
      </c>
      <c r="C23" s="1">
        <v>2569462.7000000002</v>
      </c>
      <c r="D23" s="1">
        <f t="shared" si="3"/>
        <v>381379.89999999991</v>
      </c>
      <c r="E23" s="6">
        <f t="shared" si="4"/>
        <v>87.075559367348163</v>
      </c>
      <c r="F23" s="6">
        <f t="shared" si="5"/>
        <v>4.3117413673792768</v>
      </c>
    </row>
    <row r="24" spans="1:6" x14ac:dyDescent="0.3">
      <c r="A24" s="4" t="s">
        <v>207</v>
      </c>
      <c r="B24" s="3">
        <f>SUM(B15:B23)</f>
        <v>59394603.399999999</v>
      </c>
      <c r="C24" s="3">
        <f>SUM(C15:C23)</f>
        <v>40259769.650000006</v>
      </c>
      <c r="D24" s="3">
        <f t="shared" si="3"/>
        <v>19134833.749999993</v>
      </c>
      <c r="E24" s="125">
        <f t="shared" si="4"/>
        <v>67.783548244048049</v>
      </c>
      <c r="F24" s="125">
        <f t="shared" si="5"/>
        <v>86.78679387333834</v>
      </c>
    </row>
    <row r="25" spans="1:6" x14ac:dyDescent="0.3">
      <c r="A25" s="126" t="s">
        <v>378</v>
      </c>
      <c r="B25" s="127">
        <v>362078884.54999995</v>
      </c>
      <c r="C25" s="126"/>
      <c r="D25" s="126"/>
      <c r="E25" s="126"/>
      <c r="F25" s="128">
        <f>B24/B25*100</f>
        <v>16.403774407838501</v>
      </c>
    </row>
    <row r="27" spans="1:6" x14ac:dyDescent="0.3">
      <c r="A27" s="12">
        <v>2020</v>
      </c>
      <c r="B27" s="12" t="s">
        <v>364</v>
      </c>
      <c r="C27" s="12" t="s">
        <v>365</v>
      </c>
      <c r="D27" s="12" t="s">
        <v>366</v>
      </c>
      <c r="E27" s="12" t="s">
        <v>367</v>
      </c>
      <c r="F27" s="12" t="s">
        <v>368</v>
      </c>
    </row>
    <row r="28" spans="1:6" x14ac:dyDescent="0.3">
      <c r="A28" t="s">
        <v>369</v>
      </c>
      <c r="B28" s="1">
        <v>21961252.350000001</v>
      </c>
      <c r="C28" s="1">
        <v>14351805.609999999</v>
      </c>
      <c r="D28" s="1">
        <f>B28-C28</f>
        <v>7609446.7400000021</v>
      </c>
      <c r="E28" s="6">
        <f>IF(B28&gt;0,C28/B28*100,"-")</f>
        <v>65.350579198640276</v>
      </c>
      <c r="F28" s="6">
        <f>B28/B$11*100</f>
        <v>32.089559855530872</v>
      </c>
    </row>
    <row r="29" spans="1:6" x14ac:dyDescent="0.3">
      <c r="A29" t="s">
        <v>370</v>
      </c>
      <c r="B29" s="1">
        <v>869999.68</v>
      </c>
      <c r="C29" s="1">
        <v>284527.26</v>
      </c>
      <c r="D29" s="1">
        <f t="shared" ref="D29:D37" si="6">B29-C29</f>
        <v>585472.42000000004</v>
      </c>
      <c r="E29" s="6">
        <f t="shared" ref="E29:E37" si="7">IF(B29&gt;0,C29/B29*100,"-")</f>
        <v>32.704294787786587</v>
      </c>
      <c r="F29" s="6">
        <f t="shared" ref="F29:F37" si="8">B29/B$11*100</f>
        <v>1.2712347347373705</v>
      </c>
    </row>
    <row r="30" spans="1:6" x14ac:dyDescent="0.3">
      <c r="A30" t="s">
        <v>371</v>
      </c>
      <c r="B30" s="1">
        <v>2392813.39</v>
      </c>
      <c r="C30" s="1">
        <v>1726794.01</v>
      </c>
      <c r="D30" s="1">
        <f t="shared" si="6"/>
        <v>666019.38000000012</v>
      </c>
      <c r="E30" s="6">
        <f t="shared" si="7"/>
        <v>72.16584532737005</v>
      </c>
      <c r="F30" s="6">
        <f t="shared" si="8"/>
        <v>3.4963547286737833</v>
      </c>
    </row>
    <row r="31" spans="1:6" x14ac:dyDescent="0.3">
      <c r="A31" t="s">
        <v>372</v>
      </c>
      <c r="B31" s="1">
        <v>1390935.19</v>
      </c>
      <c r="C31" s="1">
        <v>1140542.48</v>
      </c>
      <c r="D31" s="1">
        <f t="shared" si="6"/>
        <v>250392.70999999996</v>
      </c>
      <c r="E31" s="6">
        <f t="shared" si="7"/>
        <v>81.998247524386812</v>
      </c>
      <c r="F31" s="6">
        <f t="shared" si="8"/>
        <v>2.0324204341046701</v>
      </c>
    </row>
    <row r="32" spans="1:6" x14ac:dyDescent="0.3">
      <c r="A32" t="s">
        <v>373</v>
      </c>
      <c r="B32" s="1">
        <v>0</v>
      </c>
      <c r="C32" s="1">
        <v>0</v>
      </c>
      <c r="D32" s="1">
        <f t="shared" si="6"/>
        <v>0</v>
      </c>
      <c r="E32" s="124" t="str">
        <f t="shared" si="7"/>
        <v>-</v>
      </c>
      <c r="F32" s="6">
        <f t="shared" si="8"/>
        <v>0</v>
      </c>
    </row>
    <row r="33" spans="1:6" x14ac:dyDescent="0.3">
      <c r="A33" t="s">
        <v>374</v>
      </c>
      <c r="B33" s="1">
        <v>469335</v>
      </c>
      <c r="C33" s="1">
        <v>464205</v>
      </c>
      <c r="D33" s="1">
        <f t="shared" si="6"/>
        <v>5130</v>
      </c>
      <c r="E33" s="6">
        <f t="shared" si="7"/>
        <v>98.906964108792224</v>
      </c>
      <c r="F33" s="6">
        <f t="shared" si="8"/>
        <v>0.68578755595400198</v>
      </c>
    </row>
    <row r="34" spans="1:6" x14ac:dyDescent="0.3">
      <c r="A34" t="s">
        <v>375</v>
      </c>
      <c r="B34" s="1">
        <v>33512281.16</v>
      </c>
      <c r="C34" s="1">
        <v>22067740.82</v>
      </c>
      <c r="D34" s="1">
        <f t="shared" si="6"/>
        <v>11444540.34</v>
      </c>
      <c r="E34" s="6">
        <f t="shared" si="7"/>
        <v>65.849712571461367</v>
      </c>
      <c r="F34" s="6">
        <f t="shared" si="8"/>
        <v>48.967806345488285</v>
      </c>
    </row>
    <row r="35" spans="1:6" x14ac:dyDescent="0.3">
      <c r="A35" t="s">
        <v>376</v>
      </c>
      <c r="B35" s="1">
        <v>0</v>
      </c>
      <c r="C35" s="1">
        <v>0</v>
      </c>
      <c r="D35" s="1">
        <f t="shared" si="6"/>
        <v>0</v>
      </c>
      <c r="E35" s="124" t="str">
        <f t="shared" si="7"/>
        <v>-</v>
      </c>
      <c r="F35" s="6">
        <f t="shared" si="8"/>
        <v>0</v>
      </c>
    </row>
    <row r="36" spans="1:6" x14ac:dyDescent="0.3">
      <c r="A36" t="s">
        <v>377</v>
      </c>
      <c r="B36" s="1">
        <v>5049126.3899999997</v>
      </c>
      <c r="C36" s="1">
        <v>2368680.42</v>
      </c>
      <c r="D36" s="1">
        <f t="shared" si="6"/>
        <v>2680445.9699999997</v>
      </c>
      <c r="E36" s="6">
        <f t="shared" si="7"/>
        <v>46.912678294036525</v>
      </c>
      <c r="F36" s="6">
        <f t="shared" si="8"/>
        <v>7.377732422898255</v>
      </c>
    </row>
    <row r="37" spans="1:6" x14ac:dyDescent="0.3">
      <c r="A37" s="4" t="s">
        <v>207</v>
      </c>
      <c r="B37" s="3">
        <f>SUM(B28:B36)</f>
        <v>65645743.160000004</v>
      </c>
      <c r="C37" s="3">
        <f>SUM(C28:C36)</f>
        <v>42404295.600000001</v>
      </c>
      <c r="D37" s="3">
        <f t="shared" si="6"/>
        <v>23241447.560000002</v>
      </c>
      <c r="E37" s="125">
        <f t="shared" si="7"/>
        <v>64.595651688559542</v>
      </c>
      <c r="F37" s="125">
        <f t="shared" si="8"/>
        <v>95.920896077387241</v>
      </c>
    </row>
    <row r="38" spans="1:6" x14ac:dyDescent="0.3">
      <c r="A38" s="126" t="s">
        <v>378</v>
      </c>
      <c r="B38" s="127">
        <v>363813844.76999998</v>
      </c>
      <c r="C38" s="126"/>
      <c r="D38" s="126"/>
      <c r="E38" s="126"/>
      <c r="F38" s="128">
        <f>B37/B38*100</f>
        <v>18.043772688612407</v>
      </c>
    </row>
    <row r="40" spans="1:6" x14ac:dyDescent="0.3">
      <c r="A40" s="12">
        <v>2019</v>
      </c>
      <c r="B40" s="12" t="s">
        <v>364</v>
      </c>
      <c r="C40" s="12" t="s">
        <v>365</v>
      </c>
      <c r="D40" s="12" t="s">
        <v>366</v>
      </c>
    </row>
    <row r="41" spans="1:6" x14ac:dyDescent="0.3">
      <c r="A41" t="s">
        <v>369</v>
      </c>
      <c r="B41" s="1">
        <v>22929712.34</v>
      </c>
      <c r="C41" s="1">
        <v>18016776.609999999</v>
      </c>
      <c r="D41" s="1">
        <f>B41-C41</f>
        <v>4912935.7300000004</v>
      </c>
      <c r="E41" s="6">
        <f>IF(B41&gt;0,C41/B41*100,"-")</f>
        <v>78.57393212286587</v>
      </c>
      <c r="F41" s="6">
        <f>B41/B$50*100</f>
        <v>43.713569361061971</v>
      </c>
    </row>
    <row r="42" spans="1:6" x14ac:dyDescent="0.3">
      <c r="A42" t="s">
        <v>370</v>
      </c>
      <c r="B42" s="1">
        <v>664043.79</v>
      </c>
      <c r="C42" s="1">
        <v>533243.17000000004</v>
      </c>
      <c r="D42" s="1">
        <f t="shared" ref="D42:D50" si="9">B42-C42</f>
        <v>130800.62</v>
      </c>
      <c r="E42" s="6">
        <f t="shared" ref="E42:E50" si="10">IF(B42&gt;0,C42/B42*100,"-")</f>
        <v>80.302410478080063</v>
      </c>
      <c r="F42" s="6">
        <f t="shared" ref="F42:F50" si="11">B42/B$50*100</f>
        <v>1.2659436735414131</v>
      </c>
    </row>
    <row r="43" spans="1:6" x14ac:dyDescent="0.3">
      <c r="A43" t="s">
        <v>371</v>
      </c>
      <c r="B43" s="1">
        <v>2464215.52</v>
      </c>
      <c r="C43" s="1">
        <v>1466328.22</v>
      </c>
      <c r="D43" s="1">
        <f t="shared" si="9"/>
        <v>997887.3</v>
      </c>
      <c r="E43" s="6">
        <f t="shared" si="10"/>
        <v>59.504869119564674</v>
      </c>
      <c r="F43" s="6">
        <f t="shared" si="11"/>
        <v>4.6978197744859012</v>
      </c>
    </row>
    <row r="44" spans="1:6" x14ac:dyDescent="0.3">
      <c r="A44" t="s">
        <v>372</v>
      </c>
      <c r="B44" s="1">
        <v>2666306.39</v>
      </c>
      <c r="C44" s="1">
        <v>2282301.6</v>
      </c>
      <c r="D44" s="1">
        <f t="shared" si="9"/>
        <v>384004.79000000004</v>
      </c>
      <c r="E44" s="6">
        <f t="shared" si="10"/>
        <v>85.597874593849653</v>
      </c>
      <c r="F44" s="6">
        <f t="shared" si="11"/>
        <v>5.0830890326427767</v>
      </c>
    </row>
    <row r="45" spans="1:6" x14ac:dyDescent="0.3">
      <c r="A45" t="s">
        <v>373</v>
      </c>
      <c r="B45" s="1">
        <v>0</v>
      </c>
      <c r="C45" s="1">
        <v>0</v>
      </c>
      <c r="D45" s="1">
        <f t="shared" si="9"/>
        <v>0</v>
      </c>
      <c r="E45" s="124" t="str">
        <f t="shared" si="10"/>
        <v>-</v>
      </c>
      <c r="F45" s="6">
        <f t="shared" si="11"/>
        <v>0</v>
      </c>
    </row>
    <row r="46" spans="1:6" x14ac:dyDescent="0.3">
      <c r="A46" t="s">
        <v>374</v>
      </c>
      <c r="B46" s="1">
        <v>0</v>
      </c>
      <c r="C46" s="1">
        <v>0</v>
      </c>
      <c r="D46" s="1">
        <f t="shared" si="9"/>
        <v>0</v>
      </c>
      <c r="E46" s="124" t="str">
        <f t="shared" si="10"/>
        <v>-</v>
      </c>
      <c r="F46" s="6">
        <f t="shared" si="11"/>
        <v>0</v>
      </c>
    </row>
    <row r="47" spans="1:6" x14ac:dyDescent="0.3">
      <c r="A47" t="s">
        <v>375</v>
      </c>
      <c r="B47" s="1">
        <v>21304080.23</v>
      </c>
      <c r="C47" s="1">
        <v>14459036.66</v>
      </c>
      <c r="D47" s="1">
        <f t="shared" si="9"/>
        <v>6845043.5700000003</v>
      </c>
      <c r="E47" s="6">
        <f t="shared" si="10"/>
        <v>67.869800075382074</v>
      </c>
      <c r="F47" s="6">
        <f t="shared" si="11"/>
        <v>40.614438375799267</v>
      </c>
    </row>
    <row r="48" spans="1:6" x14ac:dyDescent="0.3">
      <c r="A48" t="s">
        <v>376</v>
      </c>
      <c r="B48" s="1">
        <v>0</v>
      </c>
      <c r="C48" s="1">
        <v>0</v>
      </c>
      <c r="D48" s="1">
        <f t="shared" si="9"/>
        <v>0</v>
      </c>
      <c r="E48" s="124" t="str">
        <f t="shared" si="10"/>
        <v>-</v>
      </c>
      <c r="F48" s="6">
        <f t="shared" si="11"/>
        <v>0</v>
      </c>
    </row>
    <row r="49" spans="1:6" x14ac:dyDescent="0.3">
      <c r="A49" t="s">
        <v>377</v>
      </c>
      <c r="B49" s="1">
        <v>2426091.63</v>
      </c>
      <c r="C49" s="1">
        <v>2192270.79</v>
      </c>
      <c r="D49" s="1">
        <f t="shared" si="9"/>
        <v>233820.83999999985</v>
      </c>
      <c r="E49" s="6">
        <f t="shared" si="10"/>
        <v>90.362242006498334</v>
      </c>
      <c r="F49" s="6">
        <f t="shared" si="11"/>
        <v>4.6251397824686746</v>
      </c>
    </row>
    <row r="50" spans="1:6" x14ac:dyDescent="0.3">
      <c r="A50" s="4" t="s">
        <v>207</v>
      </c>
      <c r="B50" s="3">
        <f>SUM(B41:B49)</f>
        <v>52454449.899999999</v>
      </c>
      <c r="C50" s="3">
        <f>SUM(C41:C49)</f>
        <v>38949957.050000004</v>
      </c>
      <c r="D50" s="3">
        <f t="shared" si="9"/>
        <v>13504492.849999994</v>
      </c>
      <c r="E50" s="125">
        <f t="shared" si="10"/>
        <v>74.254819418094797</v>
      </c>
      <c r="F50" s="125">
        <f t="shared" si="11"/>
        <v>100</v>
      </c>
    </row>
    <row r="51" spans="1:6" x14ac:dyDescent="0.3">
      <c r="A51" s="126" t="s">
        <v>378</v>
      </c>
      <c r="B51" s="127">
        <v>359149445.06</v>
      </c>
      <c r="C51" s="126"/>
      <c r="D51" s="126"/>
      <c r="E51" s="126"/>
      <c r="F51" s="128">
        <f>B50/B51*100</f>
        <v>14.605187512189218</v>
      </c>
    </row>
    <row r="53" spans="1:6" x14ac:dyDescent="0.3">
      <c r="A53" s="12">
        <v>2018</v>
      </c>
      <c r="B53" s="12" t="s">
        <v>364</v>
      </c>
      <c r="C53" s="12" t="s">
        <v>365</v>
      </c>
      <c r="D53" s="12" t="s">
        <v>366</v>
      </c>
    </row>
    <row r="54" spans="1:6" x14ac:dyDescent="0.3">
      <c r="A54" t="s">
        <v>369</v>
      </c>
      <c r="B54" s="1">
        <v>20900190.93</v>
      </c>
      <c r="C54" s="1">
        <v>15731076.9</v>
      </c>
      <c r="D54" s="1">
        <f>B54-C54</f>
        <v>5169114.0299999993</v>
      </c>
      <c r="E54" s="6">
        <f>IF(B54&gt;0,C54/B54*100,"-")</f>
        <v>75.267622925969121</v>
      </c>
      <c r="F54" s="6">
        <f>B54/B$63*100</f>
        <v>40.488506505185121</v>
      </c>
    </row>
    <row r="55" spans="1:6" x14ac:dyDescent="0.3">
      <c r="A55" t="s">
        <v>370</v>
      </c>
      <c r="B55" s="1">
        <v>886324.93</v>
      </c>
      <c r="C55" s="1">
        <v>727123.2</v>
      </c>
      <c r="D55" s="1">
        <f>B55-C55</f>
        <v>159201.7300000001</v>
      </c>
      <c r="E55" s="6">
        <f t="shared" ref="E55:E63" si="12">IF(B55&gt;0,C55/B55*100,"-")</f>
        <v>82.037994801748368</v>
      </c>
      <c r="F55" s="6">
        <f t="shared" ref="F55:F63" si="13">B55/B$63*100</f>
        <v>1.7170165006723577</v>
      </c>
    </row>
    <row r="56" spans="1:6" x14ac:dyDescent="0.3">
      <c r="A56" t="s">
        <v>371</v>
      </c>
      <c r="B56" s="1">
        <v>2807451.69</v>
      </c>
      <c r="C56" s="1">
        <v>2019583.84</v>
      </c>
      <c r="D56" s="1">
        <f t="shared" ref="D56:D63" si="14">B56-C56</f>
        <v>787867.84999999986</v>
      </c>
      <c r="E56" s="6">
        <f t="shared" si="12"/>
        <v>71.936548265234805</v>
      </c>
      <c r="F56" s="6">
        <f t="shared" si="13"/>
        <v>5.4386836174973627</v>
      </c>
    </row>
    <row r="57" spans="1:6" x14ac:dyDescent="0.3">
      <c r="A57" t="s">
        <v>372</v>
      </c>
      <c r="B57" s="1">
        <v>2504138.1</v>
      </c>
      <c r="C57" s="1">
        <v>1791251.42</v>
      </c>
      <c r="D57" s="1">
        <f t="shared" si="14"/>
        <v>712886.68000000017</v>
      </c>
      <c r="E57" s="6">
        <f t="shared" si="12"/>
        <v>71.531654743801866</v>
      </c>
      <c r="F57" s="6">
        <f t="shared" si="13"/>
        <v>4.851095001538912</v>
      </c>
    </row>
    <row r="58" spans="1:6" x14ac:dyDescent="0.3">
      <c r="A58" t="s">
        <v>373</v>
      </c>
      <c r="B58" s="1">
        <v>0</v>
      </c>
      <c r="C58" s="1">
        <v>0</v>
      </c>
      <c r="D58" s="1">
        <f t="shared" si="14"/>
        <v>0</v>
      </c>
      <c r="E58" s="124" t="str">
        <f t="shared" si="12"/>
        <v>-</v>
      </c>
      <c r="F58" s="6">
        <f t="shared" si="13"/>
        <v>0</v>
      </c>
    </row>
    <row r="59" spans="1:6" x14ac:dyDescent="0.3">
      <c r="A59" t="s">
        <v>374</v>
      </c>
      <c r="B59" s="1">
        <v>14981.6</v>
      </c>
      <c r="C59" s="1">
        <v>8881.6</v>
      </c>
      <c r="D59" s="1">
        <f t="shared" si="14"/>
        <v>6100</v>
      </c>
      <c r="E59" s="6">
        <f t="shared" si="12"/>
        <v>59.283387622149839</v>
      </c>
      <c r="F59" s="6">
        <f t="shared" si="13"/>
        <v>2.9022826207170994E-2</v>
      </c>
    </row>
    <row r="60" spans="1:6" x14ac:dyDescent="0.3">
      <c r="A60" t="s">
        <v>375</v>
      </c>
      <c r="B60" s="1">
        <v>21714543.43</v>
      </c>
      <c r="C60" s="1">
        <v>13517006.550000001</v>
      </c>
      <c r="D60" s="1">
        <f t="shared" si="14"/>
        <v>8197536.879999999</v>
      </c>
      <c r="E60" s="6">
        <f t="shared" si="12"/>
        <v>62.248633472649537</v>
      </c>
      <c r="F60" s="6">
        <f t="shared" si="13"/>
        <v>42.066095753254437</v>
      </c>
    </row>
    <row r="61" spans="1:6" x14ac:dyDescent="0.3">
      <c r="A61" t="s">
        <v>376</v>
      </c>
      <c r="B61" s="1">
        <v>0</v>
      </c>
      <c r="C61" s="1">
        <v>0</v>
      </c>
      <c r="D61" s="1">
        <f t="shared" si="14"/>
        <v>0</v>
      </c>
      <c r="E61" s="124" t="str">
        <f t="shared" si="12"/>
        <v>-</v>
      </c>
      <c r="F61" s="6">
        <f t="shared" si="13"/>
        <v>0</v>
      </c>
    </row>
    <row r="62" spans="1:6" x14ac:dyDescent="0.3">
      <c r="A62" t="s">
        <v>377</v>
      </c>
      <c r="B62" s="1">
        <v>2792428.28</v>
      </c>
      <c r="C62" s="1">
        <v>2191935.4300000002</v>
      </c>
      <c r="D62" s="1">
        <f t="shared" si="14"/>
        <v>600492.84999999963</v>
      </c>
      <c r="E62" s="6">
        <f t="shared" si="12"/>
        <v>78.495675097517648</v>
      </c>
      <c r="F62" s="6">
        <f t="shared" si="13"/>
        <v>5.4095797956446177</v>
      </c>
    </row>
    <row r="63" spans="1:6" x14ac:dyDescent="0.3">
      <c r="A63" s="4" t="s">
        <v>207</v>
      </c>
      <c r="B63" s="3">
        <f>SUM(B54:B62)</f>
        <v>51620058.960000008</v>
      </c>
      <c r="C63" s="3">
        <f>SUM(C54:C62)</f>
        <v>35986858.940000005</v>
      </c>
      <c r="D63" s="3">
        <f t="shared" si="14"/>
        <v>15633200.020000003</v>
      </c>
      <c r="E63" s="125">
        <f t="shared" si="12"/>
        <v>69.714873762321645</v>
      </c>
      <c r="F63" s="125">
        <f t="shared" si="13"/>
        <v>100</v>
      </c>
    </row>
    <row r="64" spans="1:6" x14ac:dyDescent="0.3">
      <c r="A64" s="126" t="s">
        <v>378</v>
      </c>
      <c r="B64" s="127">
        <v>354949379.58000004</v>
      </c>
      <c r="C64" s="126"/>
      <c r="D64" s="126"/>
      <c r="E64" s="126"/>
      <c r="F64" s="128">
        <f>B63/B64*100</f>
        <v>14.542935395768358</v>
      </c>
    </row>
    <row r="66" spans="1:6" x14ac:dyDescent="0.3">
      <c r="A66" s="12">
        <v>2017</v>
      </c>
      <c r="B66" s="12" t="s">
        <v>364</v>
      </c>
      <c r="C66" s="12" t="s">
        <v>365</v>
      </c>
      <c r="D66" s="12" t="s">
        <v>366</v>
      </c>
    </row>
    <row r="67" spans="1:6" x14ac:dyDescent="0.3">
      <c r="A67" t="s">
        <v>369</v>
      </c>
      <c r="B67" s="1">
        <v>23284978.719999999</v>
      </c>
      <c r="C67" s="1">
        <v>15220867.75</v>
      </c>
      <c r="D67" s="1">
        <f>B67-C67</f>
        <v>8064110.9699999988</v>
      </c>
      <c r="E67" s="6">
        <f>IF(B67&gt;0,C67/B67*100,"-")</f>
        <v>65.367754607078297</v>
      </c>
      <c r="F67" s="6">
        <f>B67/B$76*100</f>
        <v>50.977001786395149</v>
      </c>
    </row>
    <row r="68" spans="1:6" x14ac:dyDescent="0.3">
      <c r="A68" t="s">
        <v>370</v>
      </c>
      <c r="B68" s="1">
        <v>847023.19</v>
      </c>
      <c r="C68" s="1">
        <v>818186.6</v>
      </c>
      <c r="D68" s="1">
        <f>B68-C68</f>
        <v>28836.589999999967</v>
      </c>
      <c r="E68" s="6">
        <f t="shared" ref="E68:E76" si="15">IF(B68&gt;0,C68/B68*100,"-")</f>
        <v>96.595537130453295</v>
      </c>
      <c r="F68" s="6">
        <f t="shared" ref="F68:F76" si="16">B68/B$76*100</f>
        <v>1.8543586914537717</v>
      </c>
    </row>
    <row r="69" spans="1:6" x14ac:dyDescent="0.3">
      <c r="A69" t="s">
        <v>371</v>
      </c>
      <c r="B69" s="1">
        <v>2722711.22</v>
      </c>
      <c r="C69" s="1">
        <v>2079619.98</v>
      </c>
      <c r="D69" s="1">
        <f t="shared" ref="D69:D76" si="17">B69-C69</f>
        <v>643091.24000000022</v>
      </c>
      <c r="E69" s="6">
        <f t="shared" si="15"/>
        <v>76.380482980490299</v>
      </c>
      <c r="F69" s="6">
        <f t="shared" si="16"/>
        <v>5.9607378814807923</v>
      </c>
    </row>
    <row r="70" spans="1:6" x14ac:dyDescent="0.3">
      <c r="A70" t="s">
        <v>372</v>
      </c>
      <c r="B70" s="1">
        <v>1023070.77</v>
      </c>
      <c r="C70" s="1">
        <v>286897.59999999998</v>
      </c>
      <c r="D70" s="1">
        <f t="shared" si="17"/>
        <v>736173.17</v>
      </c>
      <c r="E70" s="6">
        <f t="shared" si="15"/>
        <v>28.042791213749563</v>
      </c>
      <c r="F70" s="6">
        <f t="shared" si="16"/>
        <v>2.239773593827818</v>
      </c>
    </row>
    <row r="71" spans="1:6" x14ac:dyDescent="0.3">
      <c r="A71" t="s">
        <v>373</v>
      </c>
      <c r="B71" s="1">
        <v>146956</v>
      </c>
      <c r="C71" s="1">
        <v>138497.32</v>
      </c>
      <c r="D71" s="1">
        <f t="shared" si="17"/>
        <v>8458.679999999993</v>
      </c>
      <c r="E71" s="6">
        <f t="shared" si="15"/>
        <v>94.244073055880676</v>
      </c>
      <c r="F71" s="6">
        <f t="shared" si="16"/>
        <v>0.32172570843223369</v>
      </c>
    </row>
    <row r="72" spans="1:6" x14ac:dyDescent="0.3">
      <c r="A72" t="s">
        <v>374</v>
      </c>
      <c r="B72" s="1">
        <v>66233.8</v>
      </c>
      <c r="C72" s="1">
        <v>60133.8</v>
      </c>
      <c r="D72" s="1">
        <f t="shared" si="17"/>
        <v>6100</v>
      </c>
      <c r="E72" s="6">
        <f t="shared" si="15"/>
        <v>90.790200773623127</v>
      </c>
      <c r="F72" s="6">
        <f t="shared" si="16"/>
        <v>0.14500337670567301</v>
      </c>
    </row>
    <row r="73" spans="1:6" x14ac:dyDescent="0.3">
      <c r="A73" t="s">
        <v>375</v>
      </c>
      <c r="B73" s="1">
        <v>15600962.300000001</v>
      </c>
      <c r="C73" s="1">
        <v>9135451.8599999994</v>
      </c>
      <c r="D73" s="1">
        <f t="shared" si="17"/>
        <v>6465510.4400000013</v>
      </c>
      <c r="E73" s="6">
        <f t="shared" si="15"/>
        <v>58.556976706494567</v>
      </c>
      <c r="F73" s="6">
        <f t="shared" si="16"/>
        <v>34.154649338523576</v>
      </c>
    </row>
    <row r="74" spans="1:6" x14ac:dyDescent="0.3">
      <c r="A74" t="s">
        <v>376</v>
      </c>
      <c r="B74" s="1">
        <v>0</v>
      </c>
      <c r="C74" s="1">
        <v>0</v>
      </c>
      <c r="D74" s="1">
        <f t="shared" si="17"/>
        <v>0</v>
      </c>
      <c r="E74" s="124" t="str">
        <f t="shared" si="15"/>
        <v>-</v>
      </c>
      <c r="F74" s="6">
        <f t="shared" si="16"/>
        <v>0</v>
      </c>
    </row>
    <row r="75" spans="1:6" x14ac:dyDescent="0.3">
      <c r="A75" t="s">
        <v>377</v>
      </c>
      <c r="B75" s="1">
        <v>1985483.04</v>
      </c>
      <c r="C75" s="1">
        <v>1781977.18</v>
      </c>
      <c r="D75" s="1">
        <f t="shared" si="17"/>
        <v>203505.8600000001</v>
      </c>
      <c r="E75" s="6">
        <f t="shared" si="15"/>
        <v>89.75030982888677</v>
      </c>
      <c r="F75" s="6">
        <f t="shared" si="16"/>
        <v>4.3467496231809868</v>
      </c>
    </row>
    <row r="76" spans="1:6" x14ac:dyDescent="0.3">
      <c r="A76" s="4" t="s">
        <v>207</v>
      </c>
      <c r="B76" s="3">
        <f>SUM(B67:B75)</f>
        <v>45677419.039999999</v>
      </c>
      <c r="C76" s="3">
        <f>SUM(C67:C75)</f>
        <v>29521632.09</v>
      </c>
      <c r="D76" s="3">
        <f t="shared" si="17"/>
        <v>16155786.949999999</v>
      </c>
      <c r="E76" s="125">
        <f t="shared" si="15"/>
        <v>64.630692167934711</v>
      </c>
      <c r="F76" s="125">
        <f t="shared" si="16"/>
        <v>100</v>
      </c>
    </row>
    <row r="77" spans="1:6" x14ac:dyDescent="0.3">
      <c r="A77" s="126" t="s">
        <v>378</v>
      </c>
      <c r="B77" s="127">
        <v>358436485.87</v>
      </c>
      <c r="C77" s="126"/>
      <c r="D77" s="126"/>
      <c r="E77" s="126"/>
      <c r="F77" s="128">
        <f>B76/B77*100</f>
        <v>12.743518263530396</v>
      </c>
    </row>
    <row r="79" spans="1:6" x14ac:dyDescent="0.3">
      <c r="A79" s="12">
        <v>2016</v>
      </c>
      <c r="B79" s="12" t="s">
        <v>364</v>
      </c>
      <c r="C79" s="12" t="s">
        <v>365</v>
      </c>
      <c r="D79" s="12" t="s">
        <v>366</v>
      </c>
    </row>
    <row r="80" spans="1:6" x14ac:dyDescent="0.3">
      <c r="A80" t="s">
        <v>369</v>
      </c>
      <c r="B80" s="1">
        <v>25162105.84</v>
      </c>
      <c r="C80" s="1">
        <v>16523168.93</v>
      </c>
      <c r="D80" s="1">
        <f>B80-C80</f>
        <v>8638936.9100000001</v>
      </c>
      <c r="E80" s="6">
        <f>IF(B80&gt;0,C80/B80*100,"-")</f>
        <v>65.666876353938747</v>
      </c>
      <c r="F80" s="6">
        <f>B80/B$89*100</f>
        <v>44.941713865253448</v>
      </c>
    </row>
    <row r="81" spans="1:8" x14ac:dyDescent="0.3">
      <c r="A81" t="s">
        <v>370</v>
      </c>
      <c r="B81" s="1">
        <v>896455.39</v>
      </c>
      <c r="C81" s="1">
        <v>790664.85</v>
      </c>
      <c r="D81" s="1">
        <f>B81-C81</f>
        <v>105790.54000000004</v>
      </c>
      <c r="E81" s="6">
        <f t="shared" ref="E81:E89" si="18">IF(B81&gt;0,C81/B81*100,"-")</f>
        <v>88.199017912090412</v>
      </c>
      <c r="F81" s="6">
        <f t="shared" ref="F81:F89" si="19">B81/B$89*100</f>
        <v>1.601147451112708</v>
      </c>
    </row>
    <row r="82" spans="1:8" x14ac:dyDescent="0.3">
      <c r="A82" t="s">
        <v>371</v>
      </c>
      <c r="B82" s="1">
        <v>3292456.94</v>
      </c>
      <c r="C82" s="1">
        <v>2394652.7799999998</v>
      </c>
      <c r="D82" s="1">
        <f t="shared" ref="D82:D89" si="20">B82-C82</f>
        <v>897804.16000000015</v>
      </c>
      <c r="E82" s="124">
        <f t="shared" si="18"/>
        <v>72.731483619646056</v>
      </c>
      <c r="F82" s="6">
        <f t="shared" si="19"/>
        <v>5.8806150268998287</v>
      </c>
    </row>
    <row r="83" spans="1:8" x14ac:dyDescent="0.3">
      <c r="A83" t="s">
        <v>372</v>
      </c>
      <c r="B83" s="1">
        <v>87626.5</v>
      </c>
      <c r="C83" s="1">
        <v>66626.5</v>
      </c>
      <c r="D83" s="1">
        <f t="shared" si="20"/>
        <v>21000</v>
      </c>
      <c r="E83" s="6">
        <f t="shared" si="18"/>
        <v>76.034647053117482</v>
      </c>
      <c r="F83" s="6">
        <f t="shared" si="19"/>
        <v>0.15650856550143305</v>
      </c>
    </row>
    <row r="84" spans="1:8" x14ac:dyDescent="0.3">
      <c r="A84" t="s">
        <v>373</v>
      </c>
      <c r="B84" s="1">
        <v>245280</v>
      </c>
      <c r="C84" s="1">
        <v>165660</v>
      </c>
      <c r="D84" s="1">
        <f t="shared" si="20"/>
        <v>79620</v>
      </c>
      <c r="E84" s="124">
        <f t="shared" si="18"/>
        <v>67.539138943248531</v>
      </c>
      <c r="F84" s="6">
        <f t="shared" si="19"/>
        <v>0.43809145573760788</v>
      </c>
    </row>
    <row r="85" spans="1:8" x14ac:dyDescent="0.3">
      <c r="A85" t="s">
        <v>374</v>
      </c>
      <c r="B85" s="1">
        <v>43188</v>
      </c>
      <c r="C85" s="1">
        <v>0</v>
      </c>
      <c r="D85" s="1">
        <f t="shared" si="20"/>
        <v>43188</v>
      </c>
      <c r="E85" s="6">
        <f t="shared" si="18"/>
        <v>0</v>
      </c>
      <c r="F85" s="6">
        <f t="shared" si="19"/>
        <v>7.7137531761235362E-2</v>
      </c>
    </row>
    <row r="86" spans="1:8" x14ac:dyDescent="0.3">
      <c r="A86" t="s">
        <v>375</v>
      </c>
      <c r="B86" s="1">
        <v>23825810.059999999</v>
      </c>
      <c r="C86" s="1">
        <v>10582554.130000001</v>
      </c>
      <c r="D86" s="1">
        <f t="shared" si="20"/>
        <v>13243255.929999998</v>
      </c>
      <c r="E86" s="6">
        <f t="shared" si="18"/>
        <v>44.416345565377185</v>
      </c>
      <c r="F86" s="6">
        <f t="shared" si="19"/>
        <v>42.554973146253836</v>
      </c>
    </row>
    <row r="87" spans="1:8" x14ac:dyDescent="0.3">
      <c r="A87" t="s">
        <v>376</v>
      </c>
      <c r="B87" s="1">
        <v>0</v>
      </c>
      <c r="C87" s="1">
        <v>0</v>
      </c>
      <c r="D87" s="1">
        <f t="shared" si="20"/>
        <v>0</v>
      </c>
      <c r="E87" s="124" t="str">
        <f t="shared" si="18"/>
        <v>-</v>
      </c>
      <c r="F87" s="6">
        <f t="shared" si="19"/>
        <v>0</v>
      </c>
    </row>
    <row r="88" spans="1:8" x14ac:dyDescent="0.3">
      <c r="A88" t="s">
        <v>377</v>
      </c>
      <c r="B88" s="1">
        <v>2435386.7400000002</v>
      </c>
      <c r="C88" s="1">
        <v>2028256.26</v>
      </c>
      <c r="D88" s="1">
        <f t="shared" si="20"/>
        <v>407130.48000000021</v>
      </c>
      <c r="E88" s="6">
        <f t="shared" si="18"/>
        <v>83.282717553106153</v>
      </c>
      <c r="F88" s="6">
        <f t="shared" si="19"/>
        <v>4.3498129574798892</v>
      </c>
    </row>
    <row r="89" spans="1:8" x14ac:dyDescent="0.3">
      <c r="A89" s="4" t="s">
        <v>207</v>
      </c>
      <c r="B89" s="3">
        <f>SUM(B80:B88)</f>
        <v>55988309.470000006</v>
      </c>
      <c r="C89" s="3">
        <f>SUM(C80:C88)</f>
        <v>32551583.450000007</v>
      </c>
      <c r="D89" s="3">
        <f t="shared" si="20"/>
        <v>23436726.02</v>
      </c>
      <c r="E89" s="125">
        <f t="shared" si="18"/>
        <v>58.139964857202898</v>
      </c>
      <c r="F89" s="125">
        <f t="shared" si="19"/>
        <v>100</v>
      </c>
    </row>
    <row r="90" spans="1:8" x14ac:dyDescent="0.3">
      <c r="A90" s="126" t="s">
        <v>378</v>
      </c>
      <c r="B90" s="127">
        <v>357217368.40999997</v>
      </c>
      <c r="C90" s="126"/>
      <c r="D90" s="126"/>
      <c r="E90" s="126"/>
      <c r="F90" s="128">
        <f>B89/B90*100</f>
        <v>15.673456674071581</v>
      </c>
    </row>
    <row r="92" spans="1:8" x14ac:dyDescent="0.3">
      <c r="B92" s="129">
        <v>2016</v>
      </c>
      <c r="C92" s="129">
        <v>2017</v>
      </c>
      <c r="D92" s="129">
        <v>2018</v>
      </c>
      <c r="E92" s="129">
        <v>2019</v>
      </c>
      <c r="F92" s="129">
        <v>2020</v>
      </c>
      <c r="G92" s="129">
        <v>2021</v>
      </c>
      <c r="H92" s="129">
        <v>2022</v>
      </c>
    </row>
    <row r="93" spans="1:8" x14ac:dyDescent="0.3">
      <c r="A93" t="s">
        <v>375</v>
      </c>
      <c r="B93" s="1">
        <f>B86</f>
        <v>23825810.059999999</v>
      </c>
      <c r="C93" s="1">
        <f>B73</f>
        <v>15600962.300000001</v>
      </c>
      <c r="D93" s="1">
        <f>B60</f>
        <v>21714543.43</v>
      </c>
      <c r="E93" s="1">
        <f>B47</f>
        <v>21304080.23</v>
      </c>
      <c r="F93" s="1">
        <f>B34</f>
        <v>33512281.16</v>
      </c>
      <c r="G93" s="1">
        <f>B21</f>
        <v>27628890.75</v>
      </c>
      <c r="H93" s="1">
        <f>B8</f>
        <v>32453041.149999999</v>
      </c>
    </row>
    <row r="94" spans="1:8" x14ac:dyDescent="0.3">
      <c r="A94" t="s">
        <v>369</v>
      </c>
      <c r="B94" s="1">
        <f>B80</f>
        <v>25162105.84</v>
      </c>
      <c r="C94" s="1">
        <f>B67</f>
        <v>23284978.719999999</v>
      </c>
      <c r="D94" s="1">
        <f>B54</f>
        <v>20900190.93</v>
      </c>
      <c r="E94" s="1">
        <f>B41</f>
        <v>22929712.34</v>
      </c>
      <c r="F94" s="1">
        <f>B28</f>
        <v>21961252.350000001</v>
      </c>
      <c r="G94" s="1">
        <f>B15</f>
        <v>19748961.789999999</v>
      </c>
      <c r="H94" s="1">
        <f>B2</f>
        <v>24562136.670000002</v>
      </c>
    </row>
    <row r="95" spans="1:8" x14ac:dyDescent="0.3">
      <c r="A95" t="s">
        <v>374</v>
      </c>
      <c r="B95" s="1">
        <f>B85</f>
        <v>43188</v>
      </c>
      <c r="C95" s="1">
        <f>B72</f>
        <v>66233.8</v>
      </c>
      <c r="D95" s="1">
        <f>B59</f>
        <v>14981.6</v>
      </c>
      <c r="E95" s="1">
        <f>B46</f>
        <v>0</v>
      </c>
      <c r="F95" s="1">
        <f>B33</f>
        <v>469335</v>
      </c>
      <c r="G95" s="1">
        <f>B20</f>
        <v>4772457.5</v>
      </c>
      <c r="H95" s="1">
        <f>B7</f>
        <v>4402001.8899999997</v>
      </c>
    </row>
    <row r="96" spans="1:8" x14ac:dyDescent="0.3">
      <c r="A96" t="s">
        <v>377</v>
      </c>
      <c r="B96" s="1">
        <f>B88</f>
        <v>2435386.7400000002</v>
      </c>
      <c r="C96" s="1">
        <f>B75</f>
        <v>1985483.04</v>
      </c>
      <c r="D96" s="1">
        <f>B62</f>
        <v>2792428.28</v>
      </c>
      <c r="E96" s="1">
        <f>B49</f>
        <v>2426091.63</v>
      </c>
      <c r="F96" s="1">
        <f>B36</f>
        <v>5049126.3899999997</v>
      </c>
      <c r="G96" s="1">
        <f>B23</f>
        <v>2950842.6</v>
      </c>
      <c r="H96" s="1">
        <f>B10</f>
        <v>3019689.16</v>
      </c>
    </row>
    <row r="97" spans="1:8" x14ac:dyDescent="0.3">
      <c r="A97" t="s">
        <v>371</v>
      </c>
      <c r="B97" s="1">
        <f>B82</f>
        <v>3292456.94</v>
      </c>
      <c r="C97" s="1">
        <f>B69</f>
        <v>2722711.22</v>
      </c>
      <c r="D97" s="1">
        <f>B56</f>
        <v>2807451.69</v>
      </c>
      <c r="E97" s="1">
        <f>B43</f>
        <v>2464215.52</v>
      </c>
      <c r="F97" s="1">
        <f>B30</f>
        <v>2392813.39</v>
      </c>
      <c r="G97" s="1">
        <f>B17</f>
        <v>2281201.0699999998</v>
      </c>
      <c r="H97" s="1">
        <f>B4</f>
        <v>1977018.77</v>
      </c>
    </row>
    <row r="98" spans="1:8" x14ac:dyDescent="0.3">
      <c r="A98" t="s">
        <v>372</v>
      </c>
      <c r="B98" s="1">
        <f>B83</f>
        <v>87626.5</v>
      </c>
      <c r="C98" s="1">
        <f>B70</f>
        <v>1023070.77</v>
      </c>
      <c r="D98" s="1">
        <f>B57</f>
        <v>2504138.1</v>
      </c>
      <c r="E98" s="1">
        <f>B44</f>
        <v>2666306.39</v>
      </c>
      <c r="F98" s="1">
        <f>B31</f>
        <v>1390935.19</v>
      </c>
      <c r="G98" s="1">
        <f>B18</f>
        <v>1210116.3999999999</v>
      </c>
      <c r="H98" s="1">
        <f>B5</f>
        <v>1196441.23</v>
      </c>
    </row>
    <row r="99" spans="1:8" x14ac:dyDescent="0.3">
      <c r="A99" t="s">
        <v>370</v>
      </c>
      <c r="B99" s="1">
        <f>B81</f>
        <v>896455.39</v>
      </c>
      <c r="C99" s="1">
        <f>B68</f>
        <v>847023.19</v>
      </c>
      <c r="D99" s="1">
        <f>B55</f>
        <v>886324.93</v>
      </c>
      <c r="E99" s="1">
        <f>B42</f>
        <v>664043.79</v>
      </c>
      <c r="F99" s="1">
        <f>B29</f>
        <v>869999.68</v>
      </c>
      <c r="G99" s="1">
        <f>B16</f>
        <v>802133.29</v>
      </c>
      <c r="H99" s="1">
        <f>B3</f>
        <v>827045.93</v>
      </c>
    </row>
    <row r="100" spans="1:8" x14ac:dyDescent="0.3">
      <c r="A100" t="s">
        <v>373</v>
      </c>
      <c r="B100" s="1">
        <f>B84</f>
        <v>245280</v>
      </c>
      <c r="C100" s="1">
        <f>B71</f>
        <v>146956</v>
      </c>
      <c r="D100" s="1">
        <f>B58</f>
        <v>0</v>
      </c>
      <c r="E100" s="1">
        <f>B45</f>
        <v>0</v>
      </c>
      <c r="F100" s="1">
        <f>B32</f>
        <v>0</v>
      </c>
      <c r="G100" s="1">
        <f>B19</f>
        <v>0</v>
      </c>
      <c r="H100" s="1">
        <f>B6</f>
        <v>0</v>
      </c>
    </row>
    <row r="101" spans="1:8" x14ac:dyDescent="0.3">
      <c r="A101" t="s">
        <v>376</v>
      </c>
      <c r="B101" s="1">
        <f>B87</f>
        <v>0</v>
      </c>
      <c r="C101" s="1">
        <f>B74</f>
        <v>0</v>
      </c>
      <c r="D101" s="1">
        <f>B61</f>
        <v>0</v>
      </c>
      <c r="E101" s="1">
        <f>B48</f>
        <v>0</v>
      </c>
      <c r="F101" s="1">
        <f>B35</f>
        <v>0</v>
      </c>
      <c r="G101" s="1">
        <f>B22</f>
        <v>0</v>
      </c>
      <c r="H101" s="1">
        <f>B9</f>
        <v>0</v>
      </c>
    </row>
    <row r="102" spans="1:8" x14ac:dyDescent="0.3">
      <c r="B102" s="3">
        <f t="shared" ref="B102:H102" si="21">SUM(B93:B101)</f>
        <v>55988309.469999999</v>
      </c>
      <c r="C102" s="3">
        <f t="shared" si="21"/>
        <v>45677419.039999992</v>
      </c>
      <c r="D102" s="3">
        <f t="shared" si="21"/>
        <v>51620058.960000001</v>
      </c>
      <c r="E102" s="3">
        <f t="shared" si="21"/>
        <v>52454449.900000006</v>
      </c>
      <c r="F102" s="3">
        <f t="shared" si="21"/>
        <v>65645743.160000004</v>
      </c>
      <c r="G102" s="3">
        <f t="shared" si="21"/>
        <v>59394603.399999999</v>
      </c>
      <c r="H102" s="3">
        <f t="shared" si="21"/>
        <v>68437374.800000012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1" sqref="H11"/>
    </sheetView>
  </sheetViews>
  <sheetFormatPr defaultRowHeight="14.4" x14ac:dyDescent="0.3"/>
  <cols>
    <col min="1" max="1" width="40.77734375" bestFit="1" customWidth="1"/>
    <col min="2" max="8" width="11.5546875" bestFit="1" customWidth="1"/>
  </cols>
  <sheetData>
    <row r="1" spans="1:9" x14ac:dyDescent="0.3">
      <c r="B1" s="12">
        <v>2016</v>
      </c>
      <c r="C1" s="12">
        <v>2017</v>
      </c>
      <c r="D1" s="12">
        <v>2018</v>
      </c>
      <c r="E1" s="12">
        <v>2019</v>
      </c>
      <c r="F1" s="12">
        <v>2020</v>
      </c>
      <c r="G1" s="12">
        <v>2021</v>
      </c>
      <c r="H1" s="12">
        <v>2022</v>
      </c>
    </row>
    <row r="2" spans="1:9" x14ac:dyDescent="0.3">
      <c r="A2" s="5" t="s">
        <v>39</v>
      </c>
      <c r="B2" s="1">
        <v>5993066.5999999996</v>
      </c>
      <c r="C2" s="1">
        <v>6514588.7300000004</v>
      </c>
      <c r="D2" s="1">
        <v>7037856.7999999998</v>
      </c>
      <c r="E2" s="1">
        <v>7656878.04</v>
      </c>
      <c r="F2" s="1">
        <v>7929084.6699999999</v>
      </c>
      <c r="G2" s="1">
        <v>7205795.5800000001</v>
      </c>
      <c r="H2" s="1">
        <v>8272715.8600000003</v>
      </c>
      <c r="I2" s="6">
        <f>H2/H$15*100</f>
        <v>12.088008758629355</v>
      </c>
    </row>
    <row r="3" spans="1:9" x14ac:dyDescent="0.3">
      <c r="A3" s="5" t="s">
        <v>40</v>
      </c>
      <c r="B3" s="1">
        <v>167698.56</v>
      </c>
      <c r="C3" s="1">
        <v>163271.98000000001</v>
      </c>
      <c r="D3" s="1">
        <v>170661.32</v>
      </c>
      <c r="E3" s="1">
        <v>204940.89</v>
      </c>
      <c r="F3" s="1">
        <v>235782.67</v>
      </c>
      <c r="G3" s="1">
        <v>177906.78</v>
      </c>
      <c r="H3" s="1">
        <v>186415.56</v>
      </c>
      <c r="I3" s="6">
        <f t="shared" ref="I3:I17" si="0">H3/H$15*100</f>
        <v>0.27238853118603257</v>
      </c>
    </row>
    <row r="4" spans="1:9" x14ac:dyDescent="0.3">
      <c r="A4" s="5" t="s">
        <v>41</v>
      </c>
      <c r="B4" s="1">
        <v>41871632.920000002</v>
      </c>
      <c r="C4" s="1">
        <v>35808772.590000004</v>
      </c>
      <c r="D4" s="1">
        <v>38777984.850000001</v>
      </c>
      <c r="E4" s="1">
        <v>41210894.799999997</v>
      </c>
      <c r="F4" s="1">
        <v>44391276.030000001</v>
      </c>
      <c r="G4" s="1">
        <v>41769449.530000001</v>
      </c>
      <c r="H4" s="1">
        <v>50725159.659999996</v>
      </c>
      <c r="I4" s="6">
        <f t="shared" si="0"/>
        <v>74.119090348275591</v>
      </c>
    </row>
    <row r="5" spans="1:9" x14ac:dyDescent="0.3">
      <c r="A5" s="5" t="s">
        <v>42</v>
      </c>
      <c r="B5" s="1">
        <v>6788669.29</v>
      </c>
      <c r="C5" s="1">
        <v>2021373.55</v>
      </c>
      <c r="D5" s="1">
        <v>4727573.5999999996</v>
      </c>
      <c r="E5" s="1">
        <v>2666175.81</v>
      </c>
      <c r="F5" s="1">
        <v>11802035.9</v>
      </c>
      <c r="G5" s="1">
        <v>9666435.9600000009</v>
      </c>
      <c r="H5" s="1">
        <v>8668602.7300000004</v>
      </c>
      <c r="I5" s="6">
        <f t="shared" si="0"/>
        <v>12.666474649755266</v>
      </c>
    </row>
    <row r="6" spans="1:9" x14ac:dyDescent="0.3">
      <c r="A6" s="5" t="s">
        <v>43</v>
      </c>
      <c r="B6" s="1">
        <v>132398.54</v>
      </c>
      <c r="C6" s="1">
        <v>114308.81</v>
      </c>
      <c r="D6" s="1">
        <v>95196.47</v>
      </c>
      <c r="E6" s="1">
        <v>75003.13</v>
      </c>
      <c r="F6" s="1">
        <v>50913.24</v>
      </c>
      <c r="G6" s="1">
        <v>33047.35</v>
      </c>
      <c r="H6" s="1">
        <v>32110.76</v>
      </c>
      <c r="I6" s="6">
        <f t="shared" si="0"/>
        <v>4.6919917799067873E-2</v>
      </c>
    </row>
    <row r="7" spans="1:9" x14ac:dyDescent="0.3">
      <c r="A7" s="5" t="s">
        <v>44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f t="shared" si="0"/>
        <v>0</v>
      </c>
    </row>
    <row r="8" spans="1:9" x14ac:dyDescent="0.3">
      <c r="A8" s="5" t="s">
        <v>45</v>
      </c>
      <c r="B8" s="1">
        <v>14100.03</v>
      </c>
      <c r="C8" s="1">
        <v>10777.44</v>
      </c>
      <c r="D8" s="1">
        <v>13254.55</v>
      </c>
      <c r="E8" s="1">
        <v>11568.26</v>
      </c>
      <c r="F8" s="1">
        <v>8977.65</v>
      </c>
      <c r="G8" s="1">
        <v>101562.22</v>
      </c>
      <c r="H8" s="1">
        <v>31421.72</v>
      </c>
      <c r="I8" s="6">
        <f t="shared" si="0"/>
        <v>4.5913099518831914E-2</v>
      </c>
    </row>
    <row r="9" spans="1:9" x14ac:dyDescent="0.3">
      <c r="A9" s="5" t="s">
        <v>46</v>
      </c>
      <c r="B9" s="1">
        <v>0</v>
      </c>
      <c r="C9" s="1">
        <v>40684.36</v>
      </c>
      <c r="D9" s="1">
        <v>8563.51</v>
      </c>
      <c r="E9" s="1">
        <v>201259.49</v>
      </c>
      <c r="F9" s="1">
        <v>793947.41</v>
      </c>
      <c r="G9" s="1">
        <v>0</v>
      </c>
      <c r="H9" s="1">
        <v>1824.01</v>
      </c>
      <c r="I9" s="6">
        <f t="shared" si="0"/>
        <v>2.6652249671037932E-3</v>
      </c>
    </row>
    <row r="10" spans="1:9" x14ac:dyDescent="0.3">
      <c r="A10" s="5" t="s">
        <v>47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6">
        <f t="shared" si="0"/>
        <v>0</v>
      </c>
    </row>
    <row r="11" spans="1:9" x14ac:dyDescent="0.3">
      <c r="A11" s="5" t="s">
        <v>48</v>
      </c>
      <c r="B11" s="1">
        <v>1020743.53</v>
      </c>
      <c r="C11" s="1">
        <v>1003641.58</v>
      </c>
      <c r="D11" s="1">
        <v>788967.86</v>
      </c>
      <c r="E11" s="1">
        <v>427729.48</v>
      </c>
      <c r="F11" s="1">
        <v>433725.59</v>
      </c>
      <c r="G11" s="1">
        <v>440405.98</v>
      </c>
      <c r="H11" s="1">
        <v>519124.5</v>
      </c>
      <c r="I11" s="6">
        <f t="shared" si="0"/>
        <v>0.75853946986873599</v>
      </c>
    </row>
    <row r="12" spans="1:9" x14ac:dyDescent="0.3">
      <c r="A12" s="5" t="s">
        <v>49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6">
        <f t="shared" si="0"/>
        <v>0</v>
      </c>
    </row>
    <row r="13" spans="1:9" x14ac:dyDescent="0.3">
      <c r="A13" s="5" t="s">
        <v>50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6">
        <f t="shared" si="0"/>
        <v>0</v>
      </c>
    </row>
    <row r="14" spans="1:9" x14ac:dyDescent="0.3">
      <c r="A14" s="5" t="s">
        <v>51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6">
        <f t="shared" si="0"/>
        <v>0</v>
      </c>
    </row>
    <row r="15" spans="1:9" x14ac:dyDescent="0.3">
      <c r="A15" s="130" t="s">
        <v>379</v>
      </c>
      <c r="B15" s="3">
        <f t="shared" ref="B15:H15" si="1">SUM(B2:B14)</f>
        <v>55988309.469999999</v>
      </c>
      <c r="C15" s="3">
        <f t="shared" si="1"/>
        <v>45677419.039999999</v>
      </c>
      <c r="D15" s="3">
        <f t="shared" si="1"/>
        <v>51620058.959999993</v>
      </c>
      <c r="E15" s="3">
        <f t="shared" si="1"/>
        <v>52454449.899999999</v>
      </c>
      <c r="F15" s="3">
        <f t="shared" si="1"/>
        <v>65645743.160000004</v>
      </c>
      <c r="G15" s="3">
        <f t="shared" ref="G15" si="2">SUM(G2:G14)</f>
        <v>59394603.399999999</v>
      </c>
      <c r="H15" s="3">
        <f t="shared" si="1"/>
        <v>68437374.800000012</v>
      </c>
      <c r="I15" s="6">
        <f t="shared" si="0"/>
        <v>100</v>
      </c>
    </row>
    <row r="16" spans="1:9" x14ac:dyDescent="0.3">
      <c r="A16" s="130" t="s">
        <v>380</v>
      </c>
      <c r="B16" s="3">
        <f t="shared" ref="B16:H16" si="3">SUM(B2:B9)</f>
        <v>54967565.939999998</v>
      </c>
      <c r="C16" s="3">
        <f t="shared" si="3"/>
        <v>44673777.460000001</v>
      </c>
      <c r="D16" s="3">
        <f t="shared" si="3"/>
        <v>50831091.099999994</v>
      </c>
      <c r="E16" s="3">
        <f t="shared" si="3"/>
        <v>52026720.420000002</v>
      </c>
      <c r="F16" s="3">
        <f t="shared" si="3"/>
        <v>65212017.57</v>
      </c>
      <c r="G16" s="3">
        <f t="shared" ref="G16" si="4">SUM(G2:G9)</f>
        <v>58954197.420000002</v>
      </c>
      <c r="H16" s="3">
        <f t="shared" si="3"/>
        <v>67918250.300000012</v>
      </c>
      <c r="I16" s="6">
        <f t="shared" si="0"/>
        <v>99.241460530131263</v>
      </c>
    </row>
    <row r="17" spans="1:9" x14ac:dyDescent="0.3">
      <c r="A17" s="130" t="s">
        <v>381</v>
      </c>
      <c r="B17" s="3">
        <f t="shared" ref="B17:H17" si="5">SUM(B10:B14)</f>
        <v>1020743.53</v>
      </c>
      <c r="C17" s="3">
        <f t="shared" si="5"/>
        <v>1003641.58</v>
      </c>
      <c r="D17" s="3">
        <f t="shared" si="5"/>
        <v>788967.86</v>
      </c>
      <c r="E17" s="3">
        <f t="shared" si="5"/>
        <v>427729.48</v>
      </c>
      <c r="F17" s="3">
        <f t="shared" si="5"/>
        <v>433725.59</v>
      </c>
      <c r="G17" s="3">
        <f t="shared" ref="G17" si="6">SUM(G10:G14)</f>
        <v>440405.98</v>
      </c>
      <c r="H17" s="3">
        <f t="shared" si="5"/>
        <v>519124.5</v>
      </c>
      <c r="I17" s="6">
        <f t="shared" si="0"/>
        <v>0.75853946986873599</v>
      </c>
    </row>
    <row r="18" spans="1:9" x14ac:dyDescent="0.3">
      <c r="A18" s="131" t="s">
        <v>382</v>
      </c>
      <c r="B18" s="132">
        <f>B16/B15*100</f>
        <v>98.176863099345866</v>
      </c>
      <c r="C18" s="132">
        <f t="shared" ref="C18:H18" si="7">C16/C15*100</f>
        <v>97.802762062538818</v>
      </c>
      <c r="D18" s="132">
        <f t="shared" si="7"/>
        <v>98.471586674065279</v>
      </c>
      <c r="E18" s="132">
        <f t="shared" si="7"/>
        <v>99.184569696535902</v>
      </c>
      <c r="F18" s="132">
        <f t="shared" si="7"/>
        <v>99.339293655427312</v>
      </c>
      <c r="G18" s="132">
        <f t="shared" ref="G18" si="8">G16/G15*100</f>
        <v>99.258508425363118</v>
      </c>
      <c r="H18" s="132">
        <f t="shared" si="7"/>
        <v>99.241460530131263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selection sqref="A1:J21"/>
    </sheetView>
  </sheetViews>
  <sheetFormatPr defaultRowHeight="14.4" x14ac:dyDescent="0.3"/>
  <cols>
    <col min="1" max="1" width="36.44140625" bestFit="1" customWidth="1"/>
    <col min="2" max="10" width="11.109375" bestFit="1" customWidth="1"/>
    <col min="13" max="13" width="10" bestFit="1" customWidth="1"/>
  </cols>
  <sheetData>
    <row r="1" spans="1:10" x14ac:dyDescent="0.3">
      <c r="A1" s="41"/>
      <c r="B1" s="99">
        <v>2014</v>
      </c>
      <c r="C1" s="99">
        <v>2015</v>
      </c>
      <c r="D1" s="99">
        <v>2016</v>
      </c>
      <c r="E1" s="99">
        <v>2017</v>
      </c>
      <c r="F1" s="69">
        <v>2018</v>
      </c>
      <c r="G1" s="99">
        <v>2019</v>
      </c>
      <c r="H1" s="99">
        <v>2020</v>
      </c>
      <c r="I1" s="99">
        <v>2021</v>
      </c>
      <c r="J1" s="99">
        <v>2022</v>
      </c>
    </row>
    <row r="2" spans="1:10" x14ac:dyDescent="0.3">
      <c r="A2" t="s">
        <v>5</v>
      </c>
      <c r="B2" s="1">
        <v>181393947.31</v>
      </c>
      <c r="C2" s="1">
        <v>157486630.52000001</v>
      </c>
      <c r="D2" s="1">
        <v>161316896.06999999</v>
      </c>
      <c r="E2" s="1">
        <v>177133498.77000001</v>
      </c>
      <c r="F2" s="1">
        <v>198948928.68000001</v>
      </c>
      <c r="G2" s="1">
        <v>219160991.37</v>
      </c>
      <c r="H2" s="1">
        <v>234321638.38999999</v>
      </c>
      <c r="I2" s="1">
        <v>270075724.36000001</v>
      </c>
      <c r="J2" s="1">
        <v>343408122.07999998</v>
      </c>
    </row>
    <row r="3" spans="1:10" x14ac:dyDescent="0.3">
      <c r="A3" t="s">
        <v>6</v>
      </c>
      <c r="B3" s="1">
        <v>493713310.61000001</v>
      </c>
      <c r="C3" s="1">
        <v>419882385.67000002</v>
      </c>
      <c r="D3" s="1">
        <v>411523864.19999999</v>
      </c>
      <c r="E3" s="1">
        <v>408383765.56999999</v>
      </c>
      <c r="F3" s="1">
        <v>362488364.88999999</v>
      </c>
      <c r="G3" s="1">
        <v>353344178.47000003</v>
      </c>
      <c r="H3" s="1">
        <v>402818981.04000002</v>
      </c>
      <c r="I3" s="1">
        <v>418596938.06</v>
      </c>
      <c r="J3" s="1">
        <v>382953755.95999998</v>
      </c>
    </row>
    <row r="4" spans="1:10" x14ac:dyDescent="0.3">
      <c r="A4" t="s">
        <v>7</v>
      </c>
      <c r="B4" s="1">
        <v>202154094.15000001</v>
      </c>
      <c r="C4" s="1">
        <v>155438030.63</v>
      </c>
      <c r="D4" s="1">
        <v>157171170.90000001</v>
      </c>
      <c r="E4" s="1">
        <v>143493198.61000001</v>
      </c>
      <c r="F4" s="1">
        <v>121891045.01000001</v>
      </c>
      <c r="G4" s="1">
        <v>116770918.02</v>
      </c>
      <c r="H4" s="1">
        <v>120954039.41</v>
      </c>
      <c r="I4" s="1">
        <v>117418539.94</v>
      </c>
      <c r="J4" s="1">
        <v>136059193.09</v>
      </c>
    </row>
    <row r="5" spans="1:10" x14ac:dyDescent="0.3">
      <c r="A5" t="s">
        <v>8</v>
      </c>
      <c r="B5" s="1">
        <v>73826229.969999999</v>
      </c>
      <c r="C5" s="1">
        <v>57406494.350000001</v>
      </c>
      <c r="D5" s="1">
        <v>35749908.490000002</v>
      </c>
      <c r="E5" s="1">
        <v>32851739.48</v>
      </c>
      <c r="F5" s="1">
        <v>21983688.719999999</v>
      </c>
      <c r="G5" s="1">
        <v>23175540.550000001</v>
      </c>
      <c r="H5" s="1">
        <v>30598178.850000001</v>
      </c>
      <c r="I5" s="1">
        <v>34163870.350000001</v>
      </c>
      <c r="J5" s="1">
        <v>23425432.77</v>
      </c>
    </row>
    <row r="6" spans="1:10" x14ac:dyDescent="0.3">
      <c r="A6" t="s">
        <v>9</v>
      </c>
      <c r="B6" s="1">
        <v>140725185.83000001</v>
      </c>
      <c r="C6" s="1">
        <v>90885810.150000006</v>
      </c>
      <c r="D6" s="1">
        <v>76538579.310000002</v>
      </c>
      <c r="E6" s="1">
        <v>71193470.689999998</v>
      </c>
      <c r="F6" s="1">
        <v>57647355.549999997</v>
      </c>
      <c r="G6" s="1">
        <v>51305335.710000001</v>
      </c>
      <c r="H6" s="1">
        <v>58826375.649999999</v>
      </c>
      <c r="I6" s="1">
        <v>64323042.5</v>
      </c>
      <c r="J6" s="1">
        <v>73092585.840000004</v>
      </c>
    </row>
    <row r="7" spans="1:10" x14ac:dyDescent="0.3">
      <c r="A7" s="4" t="s">
        <v>0</v>
      </c>
      <c r="B7" s="3">
        <f t="shared" ref="B7:C7" si="0">B2+B3-B4-B5-B6</f>
        <v>258401747.97000006</v>
      </c>
      <c r="C7" s="3">
        <f t="shared" si="0"/>
        <v>273638681.06000006</v>
      </c>
      <c r="D7" s="3">
        <f t="shared" ref="D7:E7" si="1">D2+D3-D4-D5-D6</f>
        <v>303381101.56999999</v>
      </c>
      <c r="E7" s="3">
        <f t="shared" si="1"/>
        <v>337978855.56</v>
      </c>
      <c r="F7" s="3">
        <f t="shared" ref="F7:G7" si="2">F2+F3-F4-F5-F6</f>
        <v>359915204.2899999</v>
      </c>
      <c r="G7" s="3">
        <f t="shared" si="2"/>
        <v>381253375.56000006</v>
      </c>
      <c r="H7" s="3">
        <f t="shared" ref="H7:J7" si="3">H2+H3-H4-H5-H6</f>
        <v>426762025.5200001</v>
      </c>
      <c r="I7" s="3">
        <f t="shared" ref="I7" si="4">I2+I3-I4-I5-I6</f>
        <v>472767209.63</v>
      </c>
      <c r="J7" s="3">
        <f t="shared" si="3"/>
        <v>493784666.33999991</v>
      </c>
    </row>
    <row r="8" spans="1:10" x14ac:dyDescent="0.3">
      <c r="A8" t="s">
        <v>10</v>
      </c>
      <c r="B8" s="1">
        <v>160037150.43000001</v>
      </c>
      <c r="C8" s="1">
        <v>140240175.27000001</v>
      </c>
      <c r="D8" s="1">
        <v>166543572.19</v>
      </c>
      <c r="E8" s="1">
        <v>192060558.05000001</v>
      </c>
      <c r="F8" s="1">
        <v>187563101.34</v>
      </c>
      <c r="G8" s="1">
        <v>192576535.88999999</v>
      </c>
      <c r="H8" s="1">
        <v>216480546.99000001</v>
      </c>
      <c r="I8" s="1">
        <v>225849108.13</v>
      </c>
      <c r="J8" s="1">
        <v>202082093.68000001</v>
      </c>
    </row>
    <row r="9" spans="1:10" x14ac:dyDescent="0.3">
      <c r="A9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 x14ac:dyDescent="0.3">
      <c r="A10" t="s">
        <v>12</v>
      </c>
      <c r="B10" s="1">
        <v>0</v>
      </c>
      <c r="C10" s="1">
        <v>17542</v>
      </c>
      <c r="D10" s="1">
        <v>52652</v>
      </c>
      <c r="E10" s="1">
        <v>1176307</v>
      </c>
      <c r="F10" s="1">
        <v>373337</v>
      </c>
      <c r="G10" s="1">
        <v>472716</v>
      </c>
      <c r="H10" s="1">
        <v>590613</v>
      </c>
      <c r="I10" s="1">
        <v>645525</v>
      </c>
      <c r="J10" s="1">
        <v>685547</v>
      </c>
    </row>
    <row r="11" spans="1:10" x14ac:dyDescent="0.3">
      <c r="A11" t="s">
        <v>13</v>
      </c>
      <c r="B11" s="1">
        <v>0</v>
      </c>
      <c r="C11" s="1">
        <v>0</v>
      </c>
      <c r="D11" s="1">
        <v>24114209.989999998</v>
      </c>
      <c r="E11" s="1">
        <v>25467216.850000001</v>
      </c>
      <c r="F11" s="1">
        <v>45805256.390000001</v>
      </c>
      <c r="G11" s="1">
        <v>56703480.82</v>
      </c>
      <c r="H11" s="1">
        <v>63502919.439999998</v>
      </c>
      <c r="I11" s="1">
        <v>102991511.12</v>
      </c>
      <c r="J11" s="1">
        <v>89265171.280000001</v>
      </c>
    </row>
    <row r="12" spans="1:10" x14ac:dyDescent="0.3">
      <c r="A12" t="s">
        <v>14</v>
      </c>
      <c r="B12" s="1">
        <v>22859126.949999999</v>
      </c>
      <c r="C12" s="1">
        <f>14583.57+25070922.78</f>
        <v>25085506.350000001</v>
      </c>
      <c r="D12" s="1">
        <v>7978155.2800000003</v>
      </c>
      <c r="E12" s="1">
        <v>9399390.0099999998</v>
      </c>
      <c r="F12" s="1">
        <v>14736812.02</v>
      </c>
      <c r="G12" s="1">
        <v>23353340.059999999</v>
      </c>
      <c r="H12" s="1">
        <v>27811437.18</v>
      </c>
      <c r="I12" s="1">
        <v>28181145.25</v>
      </c>
      <c r="J12" s="1">
        <v>25756084.809999999</v>
      </c>
    </row>
    <row r="13" spans="1:10" x14ac:dyDescent="0.3">
      <c r="A13" s="4" t="s">
        <v>1</v>
      </c>
      <c r="B13" s="3">
        <f t="shared" ref="B13:C13" si="5">SUM(B8:B12)</f>
        <v>182896277.38</v>
      </c>
      <c r="C13" s="3">
        <f t="shared" si="5"/>
        <v>165343223.62</v>
      </c>
      <c r="D13" s="3">
        <f t="shared" ref="D13:E13" si="6">SUM(D8:D12)</f>
        <v>198688589.46000001</v>
      </c>
      <c r="E13" s="3">
        <f t="shared" si="6"/>
        <v>228103471.91</v>
      </c>
      <c r="F13" s="3">
        <f>SUM(F8:F12)</f>
        <v>248478506.75000003</v>
      </c>
      <c r="G13" s="3">
        <f>SUM(G8:G12)</f>
        <v>273106072.76999998</v>
      </c>
      <c r="H13" s="3">
        <f>SUM(H8:H12)</f>
        <v>308385516.61000001</v>
      </c>
      <c r="I13" s="3">
        <f>SUM(I8:I12)</f>
        <v>357667289.5</v>
      </c>
      <c r="J13" s="3">
        <f>SUM(J8:J12)</f>
        <v>317788896.77000004</v>
      </c>
    </row>
    <row r="14" spans="1:10" x14ac:dyDescent="0.3">
      <c r="A14" t="s">
        <v>16</v>
      </c>
      <c r="B14" s="1">
        <v>11037317.48</v>
      </c>
      <c r="C14" s="1">
        <v>11253989.32</v>
      </c>
      <c r="D14" s="1">
        <v>12788757.59</v>
      </c>
      <c r="E14" s="1">
        <v>15431521.52</v>
      </c>
      <c r="F14" s="1">
        <v>24688630.260000002</v>
      </c>
      <c r="G14" s="1">
        <v>18664350.129999999</v>
      </c>
      <c r="H14" s="1">
        <v>30067935.43</v>
      </c>
      <c r="I14" s="1">
        <v>25804701.079999998</v>
      </c>
      <c r="J14" s="1">
        <v>23860226.260000002</v>
      </c>
    </row>
    <row r="15" spans="1:10" x14ac:dyDescent="0.3">
      <c r="A15" t="s">
        <v>15</v>
      </c>
      <c r="B15" s="1">
        <v>41276992.229999997</v>
      </c>
      <c r="C15" s="1">
        <v>48793532.649999999</v>
      </c>
      <c r="D15" s="1">
        <v>50584114.850000001</v>
      </c>
      <c r="E15" s="1">
        <v>62895504.68</v>
      </c>
      <c r="F15" s="1">
        <v>55999428.200000003</v>
      </c>
      <c r="G15" s="1">
        <v>55349276.939999998</v>
      </c>
      <c r="H15" s="1">
        <v>62460298.439999998</v>
      </c>
      <c r="I15" s="1">
        <v>63345321.840000004</v>
      </c>
      <c r="J15" s="1">
        <v>114870448.54000001</v>
      </c>
    </row>
    <row r="16" spans="1:10" x14ac:dyDescent="0.3">
      <c r="A16" t="s">
        <v>17</v>
      </c>
      <c r="B16" s="1">
        <v>16568782.75</v>
      </c>
      <c r="C16" s="1">
        <v>38761607.200000003</v>
      </c>
      <c r="D16" s="1">
        <v>46266199.600000001</v>
      </c>
      <c r="E16" s="1">
        <v>37537308.130000003</v>
      </c>
      <c r="F16" s="1">
        <v>29147285.940000001</v>
      </c>
      <c r="G16" s="1">
        <v>27354526.120000001</v>
      </c>
      <c r="H16" s="1">
        <v>26988489.649999999</v>
      </c>
      <c r="I16" s="1">
        <v>25439004.059999999</v>
      </c>
      <c r="J16" s="1">
        <v>24447747.140000001</v>
      </c>
    </row>
    <row r="17" spans="1:11" x14ac:dyDescent="0.3">
      <c r="A17" t="s">
        <v>18</v>
      </c>
      <c r="B17" s="1">
        <v>19185.259999999998</v>
      </c>
      <c r="C17" s="1">
        <v>19185.259999999998</v>
      </c>
      <c r="D17" s="1">
        <v>19185.259999999998</v>
      </c>
      <c r="E17" s="1">
        <v>19185.259999999998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1" x14ac:dyDescent="0.3">
      <c r="A18" t="s">
        <v>19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1" x14ac:dyDescent="0.3">
      <c r="A19" s="4" t="s">
        <v>2</v>
      </c>
      <c r="B19" s="3">
        <f t="shared" ref="B19:C19" si="7">SUM(B14:B18)</f>
        <v>68902277.719999999</v>
      </c>
      <c r="C19" s="3">
        <f t="shared" si="7"/>
        <v>98828314.430000007</v>
      </c>
      <c r="D19" s="3">
        <f t="shared" ref="D19:E19" si="8">SUM(D14:D18)</f>
        <v>109658257.3</v>
      </c>
      <c r="E19" s="3">
        <f t="shared" si="8"/>
        <v>115883519.59000002</v>
      </c>
      <c r="F19" s="3">
        <f>SUM(F14:F18)</f>
        <v>109835344.40000001</v>
      </c>
      <c r="G19" s="3">
        <f>SUM(G14:G18)</f>
        <v>101368153.19</v>
      </c>
      <c r="H19" s="3">
        <f>SUM(H14:H18)</f>
        <v>119516723.52000001</v>
      </c>
      <c r="I19" s="3">
        <f>SUM(I14:I18)</f>
        <v>114589026.98</v>
      </c>
      <c r="J19" s="3">
        <f>SUM(J14:J18)</f>
        <v>163178421.94</v>
      </c>
    </row>
    <row r="20" spans="1:11" x14ac:dyDescent="0.3">
      <c r="A20" s="4" t="s">
        <v>3</v>
      </c>
      <c r="B20" s="3">
        <v>37288562.649999999</v>
      </c>
      <c r="C20" s="3">
        <v>26943622.109999999</v>
      </c>
      <c r="D20" s="3">
        <v>11886573.939999999</v>
      </c>
      <c r="E20" s="3">
        <v>10220023.220000001</v>
      </c>
      <c r="F20" s="3">
        <v>17205352.329999998</v>
      </c>
      <c r="G20" s="3">
        <v>21758988.82</v>
      </c>
      <c r="H20" s="3">
        <v>13215464.640000001</v>
      </c>
      <c r="I20" s="3">
        <v>14242412.43</v>
      </c>
      <c r="J20" s="3">
        <v>9084833.9100000001</v>
      </c>
    </row>
    <row r="21" spans="1:11" x14ac:dyDescent="0.3">
      <c r="A21" s="70" t="s">
        <v>4</v>
      </c>
      <c r="B21" s="37">
        <f t="shared" ref="B21" si="9">B7-B13-B19-B20</f>
        <v>-30685369.779999934</v>
      </c>
      <c r="C21" s="37">
        <f t="shared" ref="C21:D21" si="10">C7-C13-C19-C20</f>
        <v>-17476479.099999949</v>
      </c>
      <c r="D21" s="37">
        <f t="shared" si="10"/>
        <v>-16852319.13000001</v>
      </c>
      <c r="E21" s="37">
        <f t="shared" ref="E21:J21" si="11">E7-E13-E19-E20</f>
        <v>-16228159.160000013</v>
      </c>
      <c r="F21" s="37">
        <f t="shared" si="11"/>
        <v>-15603999.190000132</v>
      </c>
      <c r="G21" s="37">
        <f t="shared" si="11"/>
        <v>-14979839.219999917</v>
      </c>
      <c r="H21" s="37">
        <f t="shared" si="11"/>
        <v>-14355679.249999925</v>
      </c>
      <c r="I21" s="37">
        <f t="shared" si="11"/>
        <v>-13731519.280000009</v>
      </c>
      <c r="J21" s="37">
        <f t="shared" si="11"/>
        <v>3732513.7199998759</v>
      </c>
    </row>
    <row r="22" spans="1:11" x14ac:dyDescent="0.3">
      <c r="A22" t="s">
        <v>355</v>
      </c>
      <c r="B22" s="1">
        <v>-73757175.030000001</v>
      </c>
      <c r="C22" s="1">
        <v>-83123151.930000007</v>
      </c>
      <c r="D22" s="1">
        <v>-26244556.68</v>
      </c>
      <c r="E22" s="1">
        <v>-24525091.789999999</v>
      </c>
      <c r="F22" s="1">
        <v>-32697983.829999998</v>
      </c>
      <c r="G22" s="1">
        <v>-27855423.579999998</v>
      </c>
      <c r="H22" s="1">
        <v>-8152847.3099999996</v>
      </c>
      <c r="I22" s="1">
        <v>-23721817.07</v>
      </c>
      <c r="J22" s="1">
        <v>-62647983.840000004</v>
      </c>
    </row>
    <row r="23" spans="1:11" x14ac:dyDescent="0.3">
      <c r="A23" t="s">
        <v>356</v>
      </c>
      <c r="B23" s="6">
        <f t="shared" ref="B23:G23" si="12">B8/B3*100</f>
        <v>32.414996110246349</v>
      </c>
      <c r="C23" s="6">
        <f t="shared" si="12"/>
        <v>33.399871024887332</v>
      </c>
      <c r="D23" s="6">
        <f t="shared" si="12"/>
        <v>40.469967036725741</v>
      </c>
      <c r="E23" s="6">
        <f t="shared" si="12"/>
        <v>47.029430217906011</v>
      </c>
      <c r="F23" s="6">
        <f t="shared" si="12"/>
        <v>51.743205991430244</v>
      </c>
      <c r="G23" s="6">
        <f t="shared" si="12"/>
        <v>54.501120330853368</v>
      </c>
      <c r="H23" s="6">
        <f t="shared" ref="H23:J23" si="13">H8/H3*100</f>
        <v>53.741396800887955</v>
      </c>
      <c r="I23" s="6">
        <f t="shared" ref="I23" si="14">I8/I3*100</f>
        <v>53.953836637387845</v>
      </c>
      <c r="J23" s="6">
        <f t="shared" si="13"/>
        <v>52.769320194657588</v>
      </c>
      <c r="K23" s="1"/>
    </row>
  </sheetData>
  <conditionalFormatting sqref="D21:G21 J21">
    <cfRule type="cellIs" dxfId="87" priority="21" operator="greaterThan">
      <formula>0</formula>
    </cfRule>
  </conditionalFormatting>
  <conditionalFormatting sqref="D21:G21 J21">
    <cfRule type="cellIs" dxfId="86" priority="18" operator="greaterThan">
      <formula>0</formula>
    </cfRule>
    <cfRule type="cellIs" dxfId="85" priority="19" operator="lessThan">
      <formula>0</formula>
    </cfRule>
  </conditionalFormatting>
  <conditionalFormatting sqref="C21">
    <cfRule type="cellIs" dxfId="84" priority="12" operator="greaterThan">
      <formula>0</formula>
    </cfRule>
  </conditionalFormatting>
  <conditionalFormatting sqref="C21">
    <cfRule type="cellIs" dxfId="83" priority="10" operator="greaterThan">
      <formula>0</formula>
    </cfRule>
    <cfRule type="cellIs" dxfId="82" priority="11" operator="lessThan">
      <formula>0</formula>
    </cfRule>
  </conditionalFormatting>
  <conditionalFormatting sqref="B21">
    <cfRule type="cellIs" dxfId="81" priority="9" operator="greaterThan">
      <formula>0</formula>
    </cfRule>
  </conditionalFormatting>
  <conditionalFormatting sqref="B21">
    <cfRule type="cellIs" dxfId="80" priority="7" operator="greaterThan">
      <formula>0</formula>
    </cfRule>
    <cfRule type="cellIs" dxfId="79" priority="8" operator="lessThan">
      <formula>0</formula>
    </cfRule>
  </conditionalFormatting>
  <conditionalFormatting sqref="H21">
    <cfRule type="cellIs" dxfId="78" priority="6" operator="greaterThan">
      <formula>0</formula>
    </cfRule>
  </conditionalFormatting>
  <conditionalFormatting sqref="H21">
    <cfRule type="cellIs" dxfId="77" priority="4" operator="greaterThan">
      <formula>0</formula>
    </cfRule>
    <cfRule type="cellIs" dxfId="76" priority="5" operator="lessThan">
      <formula>0</formula>
    </cfRule>
  </conditionalFormatting>
  <conditionalFormatting sqref="I21">
    <cfRule type="cellIs" dxfId="75" priority="3" operator="greaterThan">
      <formula>0</formula>
    </cfRule>
  </conditionalFormatting>
  <conditionalFormatting sqref="I21">
    <cfRule type="cellIs" dxfId="74" priority="1" operator="greaterThan">
      <formula>0</formula>
    </cfRule>
    <cfRule type="cellIs" dxfId="73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pane xSplit="2" ySplit="1" topLeftCell="C24" activePane="bottomRight" state="frozen"/>
      <selection pane="topRight" activeCell="C1" sqref="C1"/>
      <selection pane="bottomLeft" activeCell="A2" sqref="A2"/>
      <selection pane="bottomRight" activeCell="L26" sqref="L26"/>
    </sheetView>
  </sheetViews>
  <sheetFormatPr defaultRowHeight="14.4" x14ac:dyDescent="0.3"/>
  <cols>
    <col min="1" max="1" width="65.33203125" bestFit="1" customWidth="1"/>
    <col min="2" max="2" width="10.88671875" customWidth="1"/>
    <col min="3" max="11" width="11.109375" bestFit="1" customWidth="1"/>
    <col min="12" max="12" width="12.33203125" bestFit="1" customWidth="1"/>
  </cols>
  <sheetData>
    <row r="1" spans="1:12" x14ac:dyDescent="0.3">
      <c r="C1" s="101">
        <v>2014</v>
      </c>
      <c r="D1" s="101">
        <v>2015</v>
      </c>
      <c r="E1" s="101">
        <v>2016</v>
      </c>
      <c r="F1" s="12">
        <v>2017</v>
      </c>
      <c r="G1" s="12">
        <v>2018</v>
      </c>
      <c r="H1" s="12">
        <v>2019</v>
      </c>
      <c r="I1" s="12">
        <v>2020</v>
      </c>
      <c r="J1" s="12">
        <v>2021</v>
      </c>
      <c r="K1" s="12">
        <v>2022</v>
      </c>
      <c r="L1" s="12" t="s">
        <v>266</v>
      </c>
    </row>
    <row r="2" spans="1:12" x14ac:dyDescent="0.3">
      <c r="A2" t="s">
        <v>236</v>
      </c>
      <c r="B2" s="26" t="s">
        <v>260</v>
      </c>
      <c r="C2" s="94">
        <v>219407304.88999999</v>
      </c>
      <c r="D2" s="94">
        <v>221205685.52000001</v>
      </c>
      <c r="E2" s="94">
        <v>200639403.59999999</v>
      </c>
      <c r="F2" s="1">
        <v>195686888.97999999</v>
      </c>
      <c r="G2" s="1">
        <v>192998182.46000001</v>
      </c>
      <c r="H2" s="1">
        <v>197640909.80000001</v>
      </c>
      <c r="I2" s="1">
        <v>188690458.93000001</v>
      </c>
      <c r="J2" s="1">
        <v>191523797.88999999</v>
      </c>
      <c r="K2" s="1">
        <v>200441622.02000001</v>
      </c>
      <c r="L2" s="1">
        <f>K2-J2</f>
        <v>8917824.130000025</v>
      </c>
    </row>
    <row r="3" spans="1:12" x14ac:dyDescent="0.3">
      <c r="A3" t="s">
        <v>237</v>
      </c>
      <c r="B3" s="26" t="s">
        <v>260</v>
      </c>
      <c r="C3" s="94">
        <v>33463226.079999998</v>
      </c>
      <c r="D3" s="94">
        <v>22668389.289999999</v>
      </c>
      <c r="E3" s="1">
        <v>47093539.450000003</v>
      </c>
      <c r="F3" s="1">
        <v>45118070.780000001</v>
      </c>
      <c r="G3" s="1">
        <v>43720356.079999998</v>
      </c>
      <c r="H3" s="1">
        <v>43720356.079999998</v>
      </c>
      <c r="I3" s="1">
        <v>43802394.329999998</v>
      </c>
      <c r="J3" s="1">
        <v>46754606.549999997</v>
      </c>
      <c r="K3" s="1">
        <v>48071019.700000003</v>
      </c>
      <c r="L3" s="1">
        <f t="shared" ref="L3:L29" si="0">K3-J3</f>
        <v>1316413.150000006</v>
      </c>
    </row>
    <row r="4" spans="1:12" x14ac:dyDescent="0.3">
      <c r="A4" t="s">
        <v>238</v>
      </c>
      <c r="B4" s="26" t="s">
        <v>260</v>
      </c>
      <c r="C4" s="94">
        <f>69904269.85+10079104.18</f>
        <v>79983374.030000001</v>
      </c>
      <c r="D4" s="94">
        <f>54833960.2+9397053.89</f>
        <v>64231014.090000004</v>
      </c>
      <c r="E4" s="1">
        <v>62499193.630000003</v>
      </c>
      <c r="F4" s="1">
        <v>58047659.859999999</v>
      </c>
      <c r="G4" s="1">
        <v>78829039.409999996</v>
      </c>
      <c r="H4" s="1">
        <v>84631476.560000002</v>
      </c>
      <c r="I4" s="1">
        <v>114643669.84999999</v>
      </c>
      <c r="J4" s="1">
        <v>101680665.06</v>
      </c>
      <c r="K4" s="1">
        <v>97969917.010000005</v>
      </c>
      <c r="L4" s="1">
        <f t="shared" si="0"/>
        <v>-3710748.049999997</v>
      </c>
    </row>
    <row r="5" spans="1:12" x14ac:dyDescent="0.3">
      <c r="A5" t="s">
        <v>239</v>
      </c>
      <c r="B5" s="26" t="s">
        <v>260</v>
      </c>
      <c r="C5" s="94">
        <f>5196129.92+4312+6518989.99</f>
        <v>11719431.91</v>
      </c>
      <c r="D5" s="94">
        <f>5157222.2+8293036.32</f>
        <v>13450258.52</v>
      </c>
      <c r="E5" s="1">
        <v>12598123.74</v>
      </c>
      <c r="F5" s="1">
        <v>15169294.869999999</v>
      </c>
      <c r="G5" s="1">
        <v>14593127.130000001</v>
      </c>
      <c r="H5" s="1">
        <v>16249553.140000001</v>
      </c>
      <c r="I5" s="1">
        <v>16077537.23</v>
      </c>
      <c r="J5" s="1">
        <v>20885865.399999999</v>
      </c>
      <c r="K5" s="1">
        <v>20584158.710000001</v>
      </c>
      <c r="L5" s="1">
        <f t="shared" si="0"/>
        <v>-301706.68999999762</v>
      </c>
    </row>
    <row r="6" spans="1:12" x14ac:dyDescent="0.3">
      <c r="A6" t="s">
        <v>240</v>
      </c>
      <c r="B6" s="26" t="s">
        <v>260</v>
      </c>
      <c r="C6" s="94">
        <v>0</v>
      </c>
      <c r="D6" s="94">
        <v>0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1">
        <f t="shared" si="0"/>
        <v>0</v>
      </c>
    </row>
    <row r="7" spans="1:12" x14ac:dyDescent="0.3">
      <c r="A7" t="s">
        <v>241</v>
      </c>
      <c r="B7" s="26" t="s">
        <v>260</v>
      </c>
      <c r="C7" s="94">
        <v>0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1">
        <f t="shared" si="0"/>
        <v>0</v>
      </c>
    </row>
    <row r="8" spans="1:12" x14ac:dyDescent="0.3">
      <c r="A8" t="s">
        <v>242</v>
      </c>
      <c r="B8" s="26" t="s">
        <v>260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1">
        <f t="shared" si="0"/>
        <v>0</v>
      </c>
    </row>
    <row r="9" spans="1:12" x14ac:dyDescent="0.3">
      <c r="A9" s="32" t="s">
        <v>243</v>
      </c>
      <c r="B9" s="33" t="s">
        <v>260</v>
      </c>
      <c r="C9" s="95">
        <v>16705290.58</v>
      </c>
      <c r="D9" s="95">
        <v>19805236.219999999</v>
      </c>
      <c r="E9" s="34">
        <v>30321666.59</v>
      </c>
      <c r="F9" s="34">
        <v>22560815.420000002</v>
      </c>
      <c r="G9" s="34">
        <v>24148141.149999999</v>
      </c>
      <c r="H9" s="34">
        <v>29330565.960000001</v>
      </c>
      <c r="I9" s="34">
        <v>21523521.100000001</v>
      </c>
      <c r="J9" s="34">
        <v>22399535.359999999</v>
      </c>
      <c r="K9" s="34">
        <v>26378419.140000001</v>
      </c>
      <c r="L9" s="1">
        <f t="shared" si="0"/>
        <v>3978883.7800000012</v>
      </c>
    </row>
    <row r="10" spans="1:12" x14ac:dyDescent="0.3">
      <c r="A10" s="35" t="s">
        <v>264</v>
      </c>
      <c r="B10" s="36" t="s">
        <v>260</v>
      </c>
      <c r="C10" s="93">
        <f t="shared" ref="C10:G10" si="1">SUM(C2:C9)</f>
        <v>361278627.49000001</v>
      </c>
      <c r="D10" s="93">
        <f t="shared" si="1"/>
        <v>341360583.63999999</v>
      </c>
      <c r="E10" s="93">
        <f t="shared" si="1"/>
        <v>353151927.00999999</v>
      </c>
      <c r="F10" s="93">
        <f t="shared" si="1"/>
        <v>336582729.91000003</v>
      </c>
      <c r="G10" s="93">
        <f t="shared" si="1"/>
        <v>354288846.23000002</v>
      </c>
      <c r="H10" s="93">
        <f t="shared" ref="H10:K10" si="2">SUM(H2:H9)</f>
        <v>371572861.53999996</v>
      </c>
      <c r="I10" s="93">
        <f t="shared" ref="I10:J10" si="3">SUM(I2:I9)</f>
        <v>384737581.44000006</v>
      </c>
      <c r="J10" s="93">
        <f t="shared" si="3"/>
        <v>383244470.25999999</v>
      </c>
      <c r="K10" s="93">
        <f t="shared" si="2"/>
        <v>393445136.57999998</v>
      </c>
      <c r="L10" s="11">
        <f t="shared" si="0"/>
        <v>10200666.319999993</v>
      </c>
    </row>
    <row r="11" spans="1:12" x14ac:dyDescent="0.3">
      <c r="A11" t="s">
        <v>244</v>
      </c>
      <c r="B11" s="26" t="s">
        <v>261</v>
      </c>
      <c r="C11" s="94">
        <v>1359581.68</v>
      </c>
      <c r="D11" s="94">
        <v>1012870.93</v>
      </c>
      <c r="E11" s="1">
        <v>1589172.68</v>
      </c>
      <c r="F11" s="1">
        <v>1127815.58</v>
      </c>
      <c r="G11" s="1">
        <v>1520283.92</v>
      </c>
      <c r="H11" s="1">
        <v>1042787.73</v>
      </c>
      <c r="I11" s="1">
        <v>2492044.21</v>
      </c>
      <c r="J11" s="1">
        <v>1521212.87</v>
      </c>
      <c r="K11" s="1">
        <v>1433594.37</v>
      </c>
      <c r="L11" s="1">
        <f t="shared" si="0"/>
        <v>-87618.5</v>
      </c>
    </row>
    <row r="12" spans="1:12" x14ac:dyDescent="0.3">
      <c r="A12" t="s">
        <v>245</v>
      </c>
      <c r="B12" s="26" t="s">
        <v>261</v>
      </c>
      <c r="C12" s="94">
        <v>190137766.88999999</v>
      </c>
      <c r="D12" s="94">
        <v>194359686.75999999</v>
      </c>
      <c r="E12" s="1">
        <v>193659695.12</v>
      </c>
      <c r="F12" s="1">
        <v>184570259.31</v>
      </c>
      <c r="G12" s="1">
        <v>200596211.36000001</v>
      </c>
      <c r="H12" s="1">
        <v>197575083.81999999</v>
      </c>
      <c r="I12" s="1">
        <v>203682017.38</v>
      </c>
      <c r="J12" s="1">
        <v>207269510.65000001</v>
      </c>
      <c r="K12" s="1">
        <v>225837741.06</v>
      </c>
      <c r="L12" s="1">
        <f t="shared" si="0"/>
        <v>18568230.409999996</v>
      </c>
    </row>
    <row r="13" spans="1:12" x14ac:dyDescent="0.3">
      <c r="A13" t="s">
        <v>246</v>
      </c>
      <c r="B13" s="26" t="s">
        <v>261</v>
      </c>
      <c r="C13" s="94">
        <v>5615192.4400000004</v>
      </c>
      <c r="D13" s="94">
        <v>4947597.51</v>
      </c>
      <c r="E13" s="1">
        <v>2102008.41</v>
      </c>
      <c r="F13" s="1">
        <v>1913053.15</v>
      </c>
      <c r="G13" s="1">
        <v>1810626.24</v>
      </c>
      <c r="H13" s="1">
        <v>1750402.96</v>
      </c>
      <c r="I13" s="1">
        <v>1768380.75</v>
      </c>
      <c r="J13" s="1">
        <v>2110630.1</v>
      </c>
      <c r="K13" s="1">
        <v>2128835.31</v>
      </c>
      <c r="L13" s="1">
        <f t="shared" si="0"/>
        <v>18205.209999999963</v>
      </c>
    </row>
    <row r="14" spans="1:12" x14ac:dyDescent="0.3">
      <c r="A14" t="s">
        <v>247</v>
      </c>
      <c r="B14" s="26" t="s">
        <v>261</v>
      </c>
      <c r="C14" s="94">
        <f>20432006.53+37500+1627135.35</f>
        <v>22096641.880000003</v>
      </c>
      <c r="D14" s="94">
        <v>15848586.640000001</v>
      </c>
      <c r="E14" s="1">
        <v>18413830.350000001</v>
      </c>
      <c r="F14" s="1">
        <v>15986306.75</v>
      </c>
      <c r="G14" s="1">
        <v>30825730.539999999</v>
      </c>
      <c r="H14" s="1">
        <v>26843040.050000001</v>
      </c>
      <c r="I14" s="1">
        <v>30899524.719999999</v>
      </c>
      <c r="J14" s="1">
        <v>25256375.039999999</v>
      </c>
      <c r="K14" s="1">
        <v>25585203.629999999</v>
      </c>
      <c r="L14" s="1">
        <f t="shared" si="0"/>
        <v>328828.58999999985</v>
      </c>
    </row>
    <row r="15" spans="1:12" x14ac:dyDescent="0.3">
      <c r="A15" t="s">
        <v>248</v>
      </c>
      <c r="B15" s="26" t="s">
        <v>261</v>
      </c>
      <c r="C15" s="94">
        <v>75616354.790000007</v>
      </c>
      <c r="D15" s="94">
        <v>77138169.219999999</v>
      </c>
      <c r="E15" s="1">
        <v>74799508.700000003</v>
      </c>
      <c r="F15" s="1">
        <v>75676779.390000001</v>
      </c>
      <c r="G15" s="1">
        <v>75395440.329999998</v>
      </c>
      <c r="H15" s="1">
        <v>77309471.040000007</v>
      </c>
      <c r="I15" s="1">
        <v>74476103.310000002</v>
      </c>
      <c r="J15" s="1">
        <v>72526261.049999997</v>
      </c>
      <c r="K15" s="1">
        <v>81034164.870000005</v>
      </c>
      <c r="L15" s="1">
        <f t="shared" si="0"/>
        <v>8507903.8200000077</v>
      </c>
    </row>
    <row r="16" spans="1:12" x14ac:dyDescent="0.3">
      <c r="A16" t="s">
        <v>249</v>
      </c>
      <c r="B16" s="26" t="s">
        <v>261</v>
      </c>
      <c r="C16" s="94">
        <f>1640035.67+27496172.1+1431.1+171900576.26</f>
        <v>201038215.13</v>
      </c>
      <c r="D16" s="94">
        <f>1830004.65+22823059.05+54115640.5</f>
        <v>78768704.200000003</v>
      </c>
      <c r="E16" s="1">
        <v>69066833.760000005</v>
      </c>
      <c r="F16" s="1">
        <v>61727004.009999998</v>
      </c>
      <c r="G16" s="1">
        <v>42795132.649999999</v>
      </c>
      <c r="H16" s="1">
        <v>73716215.469999999</v>
      </c>
      <c r="I16" s="1">
        <v>73625656.739999995</v>
      </c>
      <c r="J16" s="1">
        <v>72402796.730000004</v>
      </c>
      <c r="K16" s="1">
        <v>101485990.33</v>
      </c>
      <c r="L16" s="1">
        <f t="shared" si="0"/>
        <v>29083193.599999994</v>
      </c>
    </row>
    <row r="17" spans="1:13" x14ac:dyDescent="0.3">
      <c r="A17" t="s">
        <v>250</v>
      </c>
      <c r="B17" s="26" t="s">
        <v>261</v>
      </c>
      <c r="C17" s="94">
        <v>-30486.16</v>
      </c>
      <c r="D17" s="94">
        <v>18010.169999999998</v>
      </c>
      <c r="E17" s="1">
        <v>-7714.68</v>
      </c>
      <c r="F17" s="1">
        <v>23765.599999999999</v>
      </c>
      <c r="G17" s="1">
        <v>1835.31</v>
      </c>
      <c r="H17" s="1">
        <v>8672.69</v>
      </c>
      <c r="I17" s="1">
        <v>-9011.75</v>
      </c>
      <c r="J17" s="1">
        <v>-8696.27</v>
      </c>
      <c r="K17" s="1">
        <v>-10163.719999999999</v>
      </c>
      <c r="L17" s="1">
        <f t="shared" si="0"/>
        <v>-1467.4499999999989</v>
      </c>
    </row>
    <row r="18" spans="1:13" x14ac:dyDescent="0.3">
      <c r="A18" t="s">
        <v>251</v>
      </c>
      <c r="B18" s="26" t="s">
        <v>261</v>
      </c>
      <c r="C18" s="94">
        <v>22854123.84</v>
      </c>
      <c r="D18" s="94">
        <v>2243921.4</v>
      </c>
      <c r="E18" s="1">
        <v>6997278.46</v>
      </c>
      <c r="F18" s="1">
        <v>2771203.79</v>
      </c>
      <c r="G18" s="1">
        <v>25665881.09</v>
      </c>
      <c r="H18" s="1">
        <v>15208089.220000001</v>
      </c>
      <c r="I18" s="1">
        <v>9600250.5099999998</v>
      </c>
      <c r="J18" s="1">
        <v>39488591.68</v>
      </c>
      <c r="K18" s="1">
        <v>0</v>
      </c>
      <c r="L18" s="1">
        <f t="shared" si="0"/>
        <v>-39488591.68</v>
      </c>
    </row>
    <row r="19" spans="1:13" x14ac:dyDescent="0.3">
      <c r="A19" t="s">
        <v>14</v>
      </c>
      <c r="B19" s="26" t="s">
        <v>261</v>
      </c>
      <c r="C19" s="94">
        <v>5003.1099999999997</v>
      </c>
      <c r="D19" s="94">
        <v>34198451.259999998</v>
      </c>
      <c r="E19" s="1">
        <v>44690.46</v>
      </c>
      <c r="F19" s="1">
        <v>9580.4599999999991</v>
      </c>
      <c r="G19" s="1">
        <v>9580.4599999999991</v>
      </c>
      <c r="H19" s="1">
        <v>4349988.2</v>
      </c>
      <c r="I19" s="1">
        <v>1657285.23</v>
      </c>
      <c r="J19" s="1">
        <v>4483181.22</v>
      </c>
      <c r="K19" s="1">
        <v>6888621.0499999998</v>
      </c>
      <c r="L19" s="1">
        <f t="shared" si="0"/>
        <v>2405439.83</v>
      </c>
    </row>
    <row r="20" spans="1:13" x14ac:dyDescent="0.3">
      <c r="A20" s="32" t="s">
        <v>252</v>
      </c>
      <c r="B20" s="33" t="s">
        <v>261</v>
      </c>
      <c r="C20" s="95">
        <v>23508610.489999998</v>
      </c>
      <c r="D20" s="95">
        <v>8043003.1100000003</v>
      </c>
      <c r="E20" s="34">
        <v>8934863.2100000009</v>
      </c>
      <c r="F20" s="34">
        <v>6370285.6100000003</v>
      </c>
      <c r="G20" s="34">
        <v>8928498.3699999992</v>
      </c>
      <c r="H20" s="34">
        <v>4622585.03</v>
      </c>
      <c r="I20" s="34">
        <v>5618085.3600000003</v>
      </c>
      <c r="J20" s="34">
        <v>3925328.79</v>
      </c>
      <c r="K20" s="34">
        <v>16396844.449999999</v>
      </c>
      <c r="L20" s="1">
        <f t="shared" si="0"/>
        <v>12471515.66</v>
      </c>
    </row>
    <row r="21" spans="1:13" x14ac:dyDescent="0.3">
      <c r="A21" s="35" t="s">
        <v>265</v>
      </c>
      <c r="B21" s="36" t="s">
        <v>261</v>
      </c>
      <c r="C21" s="93">
        <f>SUM(C11:C20)</f>
        <v>542201004.08999991</v>
      </c>
      <c r="D21" s="93">
        <f>SUM(D11:D20)</f>
        <v>416579001.19999993</v>
      </c>
      <c r="E21" s="93">
        <f>SUM(E11:E20)</f>
        <v>375600166.46999991</v>
      </c>
      <c r="F21" s="93">
        <f t="shared" ref="F21:G21" si="4">SUM(F11:F20)</f>
        <v>350176053.65000004</v>
      </c>
      <c r="G21" s="93">
        <f t="shared" si="4"/>
        <v>387549220.26999992</v>
      </c>
      <c r="H21" s="93">
        <f t="shared" ref="H21:K21" si="5">SUM(H11:H20)</f>
        <v>402426336.21000004</v>
      </c>
      <c r="I21" s="93">
        <f t="shared" ref="I21:J21" si="6">SUM(I11:I20)</f>
        <v>403810336.46000004</v>
      </c>
      <c r="J21" s="93">
        <f t="shared" si="6"/>
        <v>428975191.86000007</v>
      </c>
      <c r="K21" s="93">
        <f t="shared" si="5"/>
        <v>460780831.34999996</v>
      </c>
      <c r="L21" s="11">
        <f t="shared" si="0"/>
        <v>31805639.48999989</v>
      </c>
    </row>
    <row r="22" spans="1:13" x14ac:dyDescent="0.3">
      <c r="A22" t="s">
        <v>253</v>
      </c>
      <c r="B22" s="26" t="s">
        <v>260</v>
      </c>
      <c r="C22" s="94">
        <v>5691856.3499999996</v>
      </c>
      <c r="D22" s="94">
        <v>3281204.69</v>
      </c>
      <c r="E22" s="1">
        <v>2219124.65</v>
      </c>
      <c r="F22" s="1">
        <v>1034744.94</v>
      </c>
      <c r="G22" s="1">
        <v>960124.63</v>
      </c>
      <c r="H22" s="1">
        <v>1802387.26</v>
      </c>
      <c r="I22" s="1">
        <v>1667832.83</v>
      </c>
      <c r="J22" s="1">
        <v>3295479.1</v>
      </c>
      <c r="K22" s="1">
        <v>3929407.72</v>
      </c>
      <c r="L22" s="1">
        <f t="shared" si="0"/>
        <v>633928.62000000011</v>
      </c>
    </row>
    <row r="23" spans="1:13" x14ac:dyDescent="0.3">
      <c r="A23" t="s">
        <v>254</v>
      </c>
      <c r="B23" s="26" t="s">
        <v>261</v>
      </c>
      <c r="C23" s="94">
        <v>5422010.0099999998</v>
      </c>
      <c r="D23" s="94">
        <v>4691697.43</v>
      </c>
      <c r="E23" s="1">
        <v>4543333.1100000003</v>
      </c>
      <c r="F23" s="1">
        <v>4219531.33</v>
      </c>
      <c r="G23" s="1">
        <v>3965083.76</v>
      </c>
      <c r="H23" s="1">
        <v>3670599.63</v>
      </c>
      <c r="I23" s="1">
        <v>3288304.78</v>
      </c>
      <c r="J23" s="1">
        <v>3063199.78</v>
      </c>
      <c r="K23" s="1">
        <v>3050603.12</v>
      </c>
      <c r="L23" s="1">
        <f t="shared" si="0"/>
        <v>-12596.659999999683</v>
      </c>
    </row>
    <row r="24" spans="1:13" x14ac:dyDescent="0.3">
      <c r="A24" t="s">
        <v>255</v>
      </c>
      <c r="B24" s="26" t="s">
        <v>260</v>
      </c>
      <c r="C24" s="94">
        <v>27068641.98</v>
      </c>
      <c r="D24" s="94">
        <v>2407213.5499999998</v>
      </c>
      <c r="E24" s="1">
        <v>6125761.3700000001</v>
      </c>
      <c r="F24" s="1">
        <v>6543562.8799999999</v>
      </c>
      <c r="G24" s="1">
        <v>8127068.1799999997</v>
      </c>
      <c r="H24" s="1">
        <v>7444723.5300000003</v>
      </c>
      <c r="I24" s="1">
        <v>6915964.9900000002</v>
      </c>
      <c r="J24" s="1">
        <v>-48129.82</v>
      </c>
      <c r="K24" s="1">
        <v>-43275.58</v>
      </c>
      <c r="L24" s="1">
        <f t="shared" si="0"/>
        <v>4854.239999999998</v>
      </c>
    </row>
    <row r="25" spans="1:13" x14ac:dyDescent="0.3">
      <c r="A25" t="s">
        <v>256</v>
      </c>
      <c r="B25" s="26" t="s">
        <v>260</v>
      </c>
      <c r="C25" s="94">
        <v>147256369.41999999</v>
      </c>
      <c r="D25" s="94">
        <v>23960638.84</v>
      </c>
      <c r="E25" s="1">
        <v>67516339.640000001</v>
      </c>
      <c r="F25" s="1">
        <v>10680500.91</v>
      </c>
      <c r="G25" s="1">
        <v>20791554.859999999</v>
      </c>
      <c r="H25" s="1">
        <v>14321704.800000001</v>
      </c>
      <c r="I25" s="1">
        <v>16345159.859999999</v>
      </c>
      <c r="J25" s="1">
        <v>23936947.890000001</v>
      </c>
      <c r="K25" s="1">
        <v>54504505.409999996</v>
      </c>
      <c r="L25" s="1">
        <f t="shared" si="0"/>
        <v>30567557.519999996</v>
      </c>
    </row>
    <row r="26" spans="1:13" x14ac:dyDescent="0.3">
      <c r="A26" t="s">
        <v>257</v>
      </c>
      <c r="B26" s="26" t="s">
        <v>261</v>
      </c>
      <c r="C26" s="94">
        <v>43084704.719999999</v>
      </c>
      <c r="D26" s="94">
        <v>12111418.119999999</v>
      </c>
      <c r="E26" s="1">
        <v>16826470.969999999</v>
      </c>
      <c r="F26" s="1">
        <v>9093286.7799999993</v>
      </c>
      <c r="G26" s="1">
        <v>9674771.0700000003</v>
      </c>
      <c r="H26" s="1">
        <v>1328270.08</v>
      </c>
      <c r="I26" s="1">
        <v>1439175.98</v>
      </c>
      <c r="J26" s="1">
        <v>4612786.08</v>
      </c>
      <c r="K26" s="1">
        <v>1919212.29</v>
      </c>
      <c r="L26" s="1">
        <f t="shared" si="0"/>
        <v>-2693573.79</v>
      </c>
    </row>
    <row r="27" spans="1:13" x14ac:dyDescent="0.3">
      <c r="A27" t="s">
        <v>258</v>
      </c>
      <c r="B27" s="26" t="s">
        <v>261</v>
      </c>
      <c r="C27" s="94">
        <v>4644373.8899999997</v>
      </c>
      <c r="D27" s="94">
        <v>5089297.7300000004</v>
      </c>
      <c r="E27" s="1">
        <v>4678702.45</v>
      </c>
      <c r="F27" s="1">
        <v>4603297.93</v>
      </c>
      <c r="G27" s="1">
        <v>4688658.91</v>
      </c>
      <c r="H27" s="1">
        <v>4773310.62</v>
      </c>
      <c r="I27" s="1">
        <v>4731231.9800000004</v>
      </c>
      <c r="J27" s="1">
        <v>4468125.8</v>
      </c>
      <c r="K27" s="1">
        <v>4842531.68</v>
      </c>
      <c r="L27" s="1">
        <f t="shared" si="0"/>
        <v>374405.87999999989</v>
      </c>
    </row>
    <row r="28" spans="1:13" x14ac:dyDescent="0.3">
      <c r="A28" s="10" t="s">
        <v>259</v>
      </c>
      <c r="B28" s="36" t="s">
        <v>262</v>
      </c>
      <c r="C28" s="96">
        <f>SUM(C2:C9)-SUM(C11:C20)+C22-C23+C24+C25-C26-C27</f>
        <v>-54056597.469999924</v>
      </c>
      <c r="D28" s="96">
        <f>SUM(D2:D9)-SUM(D11:D20)+D22-D23+D24+D25-D26-D27</f>
        <v>-67461773.759999946</v>
      </c>
      <c r="E28" s="37">
        <f>E10-E21+E22-E23+E24+E25-E26-E27</f>
        <v>27364479.67000008</v>
      </c>
      <c r="F28" s="37">
        <f t="shared" ref="F28:G28" si="7">F10-F21+F22-F23+F24+F25-F26-F27</f>
        <v>-13250631.05000001</v>
      </c>
      <c r="G28" s="37">
        <f t="shared" si="7"/>
        <v>-21710140.109999906</v>
      </c>
      <c r="H28" s="37">
        <f t="shared" ref="H28:K28" si="8">H10-H21+H22-H23+H24+H25-H26-H27</f>
        <v>-17056839.410000071</v>
      </c>
      <c r="I28" s="37">
        <f t="shared" ref="I28:J28" si="9">I10-I21+I22-I23+I24+I25-I26-I27</f>
        <v>-3602510.0799999847</v>
      </c>
      <c r="J28" s="37">
        <f t="shared" si="9"/>
        <v>-30690536.090000082</v>
      </c>
      <c r="K28" s="37">
        <f t="shared" si="8"/>
        <v>-18757404.30999998</v>
      </c>
      <c r="L28" s="37">
        <f t="shared" si="0"/>
        <v>11933131.780000102</v>
      </c>
    </row>
    <row r="29" spans="1:13" x14ac:dyDescent="0.3">
      <c r="A29" s="72" t="s">
        <v>383</v>
      </c>
      <c r="B29" s="133"/>
      <c r="C29" s="134">
        <f>C10-SUM(C11:C15)+C17</f>
        <v>66422603.650000006</v>
      </c>
      <c r="D29" s="134">
        <f t="shared" ref="D29:K29" si="10">D10-SUM(D11:D15)+D17</f>
        <v>48071682.750000045</v>
      </c>
      <c r="E29" s="134">
        <f t="shared" si="10"/>
        <v>62579997.07</v>
      </c>
      <c r="F29" s="134">
        <f t="shared" si="10"/>
        <v>57332281.330000021</v>
      </c>
      <c r="G29" s="134">
        <f t="shared" si="10"/>
        <v>44142389.150000036</v>
      </c>
      <c r="H29" s="134">
        <f t="shared" si="10"/>
        <v>67060748.629999936</v>
      </c>
      <c r="I29" s="134">
        <f t="shared" si="10"/>
        <v>71410499.320000052</v>
      </c>
      <c r="J29" s="134">
        <f t="shared" si="10"/>
        <v>74551784.280000016</v>
      </c>
      <c r="K29" s="134">
        <f t="shared" si="10"/>
        <v>57415433.619999975</v>
      </c>
      <c r="L29" s="134">
        <f t="shared" si="0"/>
        <v>-17136350.660000041</v>
      </c>
      <c r="M29" s="134"/>
    </row>
  </sheetData>
  <conditionalFormatting sqref="C28:H28 K28:L28">
    <cfRule type="cellIs" dxfId="72" priority="19" operator="greaterThan">
      <formula>0</formula>
    </cfRule>
  </conditionalFormatting>
  <conditionalFormatting sqref="I28">
    <cfRule type="cellIs" dxfId="71" priority="9" operator="greaterThan">
      <formula>0</formula>
    </cfRule>
  </conditionalFormatting>
  <conditionalFormatting sqref="J28">
    <cfRule type="cellIs" dxfId="70" priority="8" operator="greaterThan">
      <formula>0</formula>
    </cfRule>
  </conditionalFormatting>
  <conditionalFormatting sqref="C29:K29">
    <cfRule type="cellIs" dxfId="69" priority="7" operator="greaterThan">
      <formula>0</formula>
    </cfRule>
  </conditionalFormatting>
  <conditionalFormatting sqref="C29:K29">
    <cfRule type="cellIs" dxfId="68" priority="6" operator="greaterThan">
      <formula>0</formula>
    </cfRule>
  </conditionalFormatting>
  <conditionalFormatting sqref="C29:K29">
    <cfRule type="cellIs" dxfId="67" priority="5" operator="greaterThan">
      <formula>0</formula>
    </cfRule>
  </conditionalFormatting>
  <conditionalFormatting sqref="C29:K29">
    <cfRule type="cellIs" dxfId="66" priority="4" operator="greaterThan">
      <formula>0</formula>
    </cfRule>
  </conditionalFormatting>
  <conditionalFormatting sqref="M29">
    <cfRule type="cellIs" dxfId="65" priority="3" operator="greaterThan">
      <formula>0</formula>
    </cfRule>
  </conditionalFormatting>
  <conditionalFormatting sqref="M29">
    <cfRule type="cellIs" dxfId="64" priority="2" operator="greaterThan">
      <formula>0</formula>
    </cfRule>
  </conditionalFormatting>
  <conditionalFormatting sqref="L29">
    <cfRule type="cellIs" dxfId="63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sqref="A1:K16"/>
    </sheetView>
  </sheetViews>
  <sheetFormatPr defaultRowHeight="14.4" x14ac:dyDescent="0.3"/>
  <cols>
    <col min="1" max="1" width="35.6640625" customWidth="1"/>
    <col min="2" max="2" width="12.21875" bestFit="1" customWidth="1"/>
    <col min="3" max="10" width="11.5546875" bestFit="1" customWidth="1"/>
    <col min="11" max="11" width="11.21875" bestFit="1" customWidth="1"/>
  </cols>
  <sheetData>
    <row r="1" spans="1:11" x14ac:dyDescent="0.3">
      <c r="A1" s="41"/>
      <c r="B1" s="42">
        <v>2014</v>
      </c>
      <c r="C1" s="42">
        <v>2015</v>
      </c>
      <c r="D1" s="42">
        <v>2016</v>
      </c>
      <c r="E1" s="42">
        <v>2017</v>
      </c>
      <c r="F1" s="42">
        <v>2018</v>
      </c>
      <c r="G1" s="42">
        <v>2019</v>
      </c>
      <c r="H1" s="42">
        <v>2020</v>
      </c>
      <c r="I1" s="42">
        <v>2021</v>
      </c>
      <c r="J1" s="42">
        <v>2022</v>
      </c>
      <c r="K1" s="42" t="s">
        <v>266</v>
      </c>
    </row>
    <row r="2" spans="1:11" x14ac:dyDescent="0.3">
      <c r="A2" s="71" t="s">
        <v>346</v>
      </c>
      <c r="B2" s="64">
        <f>Conto_economico!C10</f>
        <v>361278627.49000001</v>
      </c>
      <c r="C2" s="64">
        <f>Conto_economico!D10</f>
        <v>341360583.63999999</v>
      </c>
      <c r="D2" s="64">
        <f>Conto_economico!E10</f>
        <v>353151927.00999999</v>
      </c>
      <c r="E2" s="64">
        <f>Conto_economico!F10</f>
        <v>336582729.91000003</v>
      </c>
      <c r="F2" s="64">
        <f>Conto_economico!G10</f>
        <v>354288846.23000002</v>
      </c>
      <c r="G2" s="64">
        <f>Conto_economico!H10</f>
        <v>371572861.53999996</v>
      </c>
      <c r="H2" s="64">
        <f>Conto_economico!I10</f>
        <v>384737581.44000006</v>
      </c>
      <c r="I2" s="64">
        <f>Conto_economico!J10</f>
        <v>383244470.25999999</v>
      </c>
      <c r="J2" s="64">
        <f>Conto_economico!K10</f>
        <v>393445136.57999998</v>
      </c>
      <c r="K2" s="64">
        <f t="shared" ref="K2:K16" si="0">J2-I2</f>
        <v>10200666.319999993</v>
      </c>
    </row>
    <row r="3" spans="1:11" x14ac:dyDescent="0.3">
      <c r="A3" s="71" t="s">
        <v>341</v>
      </c>
      <c r="B3" s="64">
        <f>Conto_economico!C2</f>
        <v>219407304.88999999</v>
      </c>
      <c r="C3" s="64">
        <f>Conto_economico!D2</f>
        <v>221205685.52000001</v>
      </c>
      <c r="D3" s="64">
        <f>Conto_economico!E2</f>
        <v>200639403.59999999</v>
      </c>
      <c r="E3" s="64">
        <f>Conto_economico!F2</f>
        <v>195686888.97999999</v>
      </c>
      <c r="F3" s="64">
        <f>Conto_economico!G2</f>
        <v>192998182.46000001</v>
      </c>
      <c r="G3" s="64">
        <f>Conto_economico!H2</f>
        <v>197640909.80000001</v>
      </c>
      <c r="H3" s="64">
        <f>Conto_economico!I2</f>
        <v>188690458.93000001</v>
      </c>
      <c r="I3" s="64">
        <f>Conto_economico!J2</f>
        <v>191523797.88999999</v>
      </c>
      <c r="J3" s="64">
        <f>Conto_economico!K2</f>
        <v>200441622.02000001</v>
      </c>
      <c r="K3" s="64">
        <f t="shared" si="0"/>
        <v>8917824.130000025</v>
      </c>
    </row>
    <row r="4" spans="1:11" x14ac:dyDescent="0.3">
      <c r="A4" s="71" t="s">
        <v>342</v>
      </c>
      <c r="B4" s="64">
        <f>Conto_economico!C4</f>
        <v>79983374.030000001</v>
      </c>
      <c r="C4" s="64">
        <f>Conto_economico!D4</f>
        <v>64231014.090000004</v>
      </c>
      <c r="D4" s="64">
        <f>Conto_economico!E4</f>
        <v>62499193.630000003</v>
      </c>
      <c r="E4" s="64">
        <f>Conto_economico!F4</f>
        <v>58047659.859999999</v>
      </c>
      <c r="F4" s="64">
        <f>Conto_economico!G4</f>
        <v>78829039.409999996</v>
      </c>
      <c r="G4" s="64">
        <f>Conto_economico!H4</f>
        <v>84631476.560000002</v>
      </c>
      <c r="H4" s="64">
        <f>Conto_economico!I4</f>
        <v>114643669.84999999</v>
      </c>
      <c r="I4" s="64">
        <f>Conto_economico!J4</f>
        <v>101680665.06</v>
      </c>
      <c r="J4" s="64">
        <f>Conto_economico!K4</f>
        <v>97969917.010000005</v>
      </c>
      <c r="K4" s="64">
        <f t="shared" si="0"/>
        <v>-3710748.049999997</v>
      </c>
    </row>
    <row r="5" spans="1:11" x14ac:dyDescent="0.3">
      <c r="A5" s="71" t="s">
        <v>347</v>
      </c>
      <c r="B5" s="65">
        <f>Conto_economico!C21</f>
        <v>542201004.08999991</v>
      </c>
      <c r="C5" s="65">
        <f>Conto_economico!D21</f>
        <v>416579001.19999993</v>
      </c>
      <c r="D5" s="65">
        <f>Conto_economico!E21</f>
        <v>375600166.46999991</v>
      </c>
      <c r="E5" s="65">
        <f>Conto_economico!F21</f>
        <v>350176053.65000004</v>
      </c>
      <c r="F5" s="65">
        <f>Conto_economico!G21</f>
        <v>387549220.26999992</v>
      </c>
      <c r="G5" s="65">
        <f>Conto_economico!H21</f>
        <v>402426336.21000004</v>
      </c>
      <c r="H5" s="65">
        <f>Conto_economico!I21</f>
        <v>403810336.46000004</v>
      </c>
      <c r="I5" s="65">
        <f>Conto_economico!J21</f>
        <v>428975191.86000007</v>
      </c>
      <c r="J5" s="65">
        <f>Conto_economico!K21</f>
        <v>460780831.34999996</v>
      </c>
      <c r="K5" s="64">
        <f t="shared" si="0"/>
        <v>31805639.48999989</v>
      </c>
    </row>
    <row r="6" spans="1:11" x14ac:dyDescent="0.3">
      <c r="A6" s="71" t="s">
        <v>343</v>
      </c>
      <c r="B6" s="64">
        <f>Conto_economico!C12</f>
        <v>190137766.88999999</v>
      </c>
      <c r="C6" s="64">
        <f>Conto_economico!D12</f>
        <v>194359686.75999999</v>
      </c>
      <c r="D6" s="64">
        <f>Conto_economico!E12</f>
        <v>193659695.12</v>
      </c>
      <c r="E6" s="64">
        <f>Conto_economico!F12</f>
        <v>184570259.31</v>
      </c>
      <c r="F6" s="64">
        <f>Conto_economico!G12</f>
        <v>200596211.36000001</v>
      </c>
      <c r="G6" s="64">
        <f>Conto_economico!H12</f>
        <v>197575083.81999999</v>
      </c>
      <c r="H6" s="64">
        <f>Conto_economico!I12</f>
        <v>203682017.38</v>
      </c>
      <c r="I6" s="64">
        <f>Conto_economico!J12</f>
        <v>207269510.65000001</v>
      </c>
      <c r="J6" s="64">
        <f>Conto_economico!K12</f>
        <v>225837741.06</v>
      </c>
      <c r="K6" s="64">
        <f t="shared" si="0"/>
        <v>18568230.409999996</v>
      </c>
    </row>
    <row r="7" spans="1:11" x14ac:dyDescent="0.3">
      <c r="A7" s="71" t="s">
        <v>344</v>
      </c>
      <c r="B7" s="64">
        <f>Conto_economico!C15</f>
        <v>75616354.790000007</v>
      </c>
      <c r="C7" s="64">
        <f>Conto_economico!D15</f>
        <v>77138169.219999999</v>
      </c>
      <c r="D7" s="64">
        <f>Conto_economico!E15</f>
        <v>74799508.700000003</v>
      </c>
      <c r="E7" s="64">
        <f>Conto_economico!F15</f>
        <v>75676779.390000001</v>
      </c>
      <c r="F7" s="64">
        <f>Conto_economico!G15</f>
        <v>75395440.329999998</v>
      </c>
      <c r="G7" s="64">
        <f>Conto_economico!H15</f>
        <v>77309471.040000007</v>
      </c>
      <c r="H7" s="64">
        <f>Conto_economico!I15</f>
        <v>74476103.310000002</v>
      </c>
      <c r="I7" s="64">
        <f>Conto_economico!J15</f>
        <v>72526261.049999997</v>
      </c>
      <c r="J7" s="64">
        <f>Conto_economico!K15</f>
        <v>81034164.870000005</v>
      </c>
      <c r="K7" s="64">
        <f t="shared" si="0"/>
        <v>8507903.8200000077</v>
      </c>
    </row>
    <row r="8" spans="1:11" x14ac:dyDescent="0.3">
      <c r="A8" s="71" t="s">
        <v>345</v>
      </c>
      <c r="B8" s="64">
        <f>Conto_economico!C16</f>
        <v>201038215.13</v>
      </c>
      <c r="C8" s="64">
        <f>Conto_economico!D16</f>
        <v>78768704.200000003</v>
      </c>
      <c r="D8" s="64">
        <f>Conto_economico!E16</f>
        <v>69066833.760000005</v>
      </c>
      <c r="E8" s="64">
        <f>Conto_economico!F16</f>
        <v>61727004.009999998</v>
      </c>
      <c r="F8" s="64">
        <f>Conto_economico!G16</f>
        <v>42795132.649999999</v>
      </c>
      <c r="G8" s="64">
        <f>Conto_economico!H16</f>
        <v>73716215.469999999</v>
      </c>
      <c r="H8" s="64">
        <f>Conto_economico!I16</f>
        <v>73625656.739999995</v>
      </c>
      <c r="I8" s="64">
        <f>Conto_economico!J16</f>
        <v>72402796.730000004</v>
      </c>
      <c r="J8" s="64">
        <f>Conto_economico!K16</f>
        <v>101485990.33</v>
      </c>
      <c r="K8" s="64">
        <f t="shared" si="0"/>
        <v>29083193.599999994</v>
      </c>
    </row>
    <row r="9" spans="1:11" x14ac:dyDescent="0.3">
      <c r="A9" s="47" t="s">
        <v>383</v>
      </c>
      <c r="B9" s="66">
        <f>Conto_economico!C29</f>
        <v>66422603.650000006</v>
      </c>
      <c r="C9" s="66">
        <f>Conto_economico!D29</f>
        <v>48071682.750000045</v>
      </c>
      <c r="D9" s="66">
        <f>Conto_economico!E29</f>
        <v>62579997.07</v>
      </c>
      <c r="E9" s="66">
        <f>Conto_economico!F29</f>
        <v>57332281.330000021</v>
      </c>
      <c r="F9" s="66">
        <f>Conto_economico!G29</f>
        <v>44142389.150000036</v>
      </c>
      <c r="G9" s="66">
        <f>Conto_economico!H29</f>
        <v>67060748.629999936</v>
      </c>
      <c r="H9" s="66">
        <f>Conto_economico!I29</f>
        <v>71410499.320000052</v>
      </c>
      <c r="I9" s="66">
        <f>Conto_economico!J29</f>
        <v>74551784.280000016</v>
      </c>
      <c r="J9" s="66">
        <f>Conto_economico!K29</f>
        <v>57415433.619999975</v>
      </c>
      <c r="K9" s="66">
        <f t="shared" si="0"/>
        <v>-17136350.660000041</v>
      </c>
    </row>
    <row r="10" spans="1:11" x14ac:dyDescent="0.3">
      <c r="A10" s="47" t="s">
        <v>307</v>
      </c>
      <c r="B10" s="66">
        <f>B2-B5</f>
        <v>-180922376.5999999</v>
      </c>
      <c r="C10" s="66">
        <f>C2-C5</f>
        <v>-75218417.559999943</v>
      </c>
      <c r="D10" s="66">
        <f t="shared" ref="D10:F10" si="1">D2-D5</f>
        <v>-22448239.459999919</v>
      </c>
      <c r="E10" s="66">
        <f t="shared" si="1"/>
        <v>-13593323.74000001</v>
      </c>
      <c r="F10" s="66">
        <f t="shared" si="1"/>
        <v>-33260374.039999902</v>
      </c>
      <c r="G10" s="66">
        <f t="shared" ref="G10:J10" si="2">G2-G5</f>
        <v>-30853474.670000076</v>
      </c>
      <c r="H10" s="66">
        <f t="shared" ref="H10:I10" si="3">H2-H5</f>
        <v>-19072755.019999981</v>
      </c>
      <c r="I10" s="66">
        <f t="shared" si="3"/>
        <v>-45730721.600000083</v>
      </c>
      <c r="J10" s="66">
        <f t="shared" si="2"/>
        <v>-67335694.769999981</v>
      </c>
      <c r="K10" s="66">
        <f t="shared" si="0"/>
        <v>-21604973.169999897</v>
      </c>
    </row>
    <row r="11" spans="1:11" x14ac:dyDescent="0.3">
      <c r="A11" s="71" t="s">
        <v>308</v>
      </c>
      <c r="B11" s="64">
        <f>Conto_economico!C22-Conto_economico!C23</f>
        <v>269846.33999999985</v>
      </c>
      <c r="C11" s="64">
        <f>Conto_economico!D22-Conto_economico!D23</f>
        <v>-1410492.7399999998</v>
      </c>
      <c r="D11" s="64">
        <f>Conto_economico!E22-Conto_economico!E23</f>
        <v>-2324208.4600000004</v>
      </c>
      <c r="E11" s="64">
        <f>Conto_economico!F22-Conto_economico!F23</f>
        <v>-3184786.39</v>
      </c>
      <c r="F11" s="64">
        <f>Conto_economico!G22-Conto_economico!G23</f>
        <v>-3004959.13</v>
      </c>
      <c r="G11" s="64">
        <f>Conto_economico!H22-Conto_economico!H23</f>
        <v>-1868212.3699999999</v>
      </c>
      <c r="H11" s="64">
        <f>Conto_economico!I22-Conto_economico!I23</f>
        <v>-1620471.9499999997</v>
      </c>
      <c r="I11" s="64">
        <f>Conto_economico!J22-Conto_economico!J23</f>
        <v>232279.3200000003</v>
      </c>
      <c r="J11" s="64">
        <f>Conto_economico!K22-Conto_economico!K23</f>
        <v>878804.60000000009</v>
      </c>
      <c r="K11" s="64">
        <f t="shared" si="0"/>
        <v>646525.2799999998</v>
      </c>
    </row>
    <row r="12" spans="1:11" x14ac:dyDescent="0.3">
      <c r="A12" s="71" t="s">
        <v>309</v>
      </c>
      <c r="B12" s="65">
        <f>Conto_economico!C25-Conto_economico!C26</f>
        <v>104171664.69999999</v>
      </c>
      <c r="C12" s="65">
        <f>Conto_economico!D25-Conto_economico!D26</f>
        <v>11849220.720000001</v>
      </c>
      <c r="D12" s="65">
        <f>Conto_economico!E25-Conto_economico!E26</f>
        <v>50689868.670000002</v>
      </c>
      <c r="E12" s="65">
        <f>Conto_economico!F25-Conto_economico!F26</f>
        <v>1587214.1300000008</v>
      </c>
      <c r="F12" s="65">
        <f>Conto_economico!G25-Conto_economico!G26</f>
        <v>11116783.789999999</v>
      </c>
      <c r="G12" s="65">
        <f>Conto_economico!H25-Conto_economico!H26</f>
        <v>12993434.720000001</v>
      </c>
      <c r="H12" s="65">
        <f>Conto_economico!I25-Conto_economico!I26</f>
        <v>14905983.879999999</v>
      </c>
      <c r="I12" s="65">
        <f>Conto_economico!J25-Conto_economico!J26</f>
        <v>19324161.810000002</v>
      </c>
      <c r="J12" s="65">
        <f>Conto_economico!K25-Conto_economico!K26</f>
        <v>52585293.119999997</v>
      </c>
      <c r="K12" s="64">
        <f t="shared" si="0"/>
        <v>33261131.309999995</v>
      </c>
    </row>
    <row r="13" spans="1:11" x14ac:dyDescent="0.3">
      <c r="A13" s="71" t="s">
        <v>255</v>
      </c>
      <c r="B13" s="65">
        <f>Conto_economico!C24</f>
        <v>27068641.98</v>
      </c>
      <c r="C13" s="65">
        <f>Conto_economico!D24</f>
        <v>2407213.5499999998</v>
      </c>
      <c r="D13" s="65">
        <f>Conto_economico!E24</f>
        <v>6125761.3700000001</v>
      </c>
      <c r="E13" s="65">
        <f>Conto_economico!F24</f>
        <v>6543562.8799999999</v>
      </c>
      <c r="F13" s="65">
        <f>Conto_economico!G24</f>
        <v>8127068.1799999997</v>
      </c>
      <c r="G13" s="65">
        <f>Conto_economico!H24</f>
        <v>7444723.5300000003</v>
      </c>
      <c r="H13" s="65">
        <f>Conto_economico!I24</f>
        <v>6915964.9900000002</v>
      </c>
      <c r="I13" s="65">
        <f>Conto_economico!J24</f>
        <v>-48129.82</v>
      </c>
      <c r="J13" s="65">
        <f>Conto_economico!K24</f>
        <v>-43275.58</v>
      </c>
      <c r="K13" s="64">
        <f t="shared" si="0"/>
        <v>4854.239999999998</v>
      </c>
    </row>
    <row r="14" spans="1:11" x14ac:dyDescent="0.3">
      <c r="A14" s="47" t="s">
        <v>310</v>
      </c>
      <c r="B14" s="66">
        <f>SUM(B10:B13)</f>
        <v>-49412223.579999909</v>
      </c>
      <c r="C14" s="66">
        <f>SUM(C10:C13)</f>
        <v>-62372476.029999942</v>
      </c>
      <c r="D14" s="66">
        <f t="shared" ref="D14:F14" si="4">SUM(D10:D13)</f>
        <v>32043182.120000083</v>
      </c>
      <c r="E14" s="66">
        <f t="shared" si="4"/>
        <v>-8647333.1200000085</v>
      </c>
      <c r="F14" s="66">
        <f t="shared" si="4"/>
        <v>-17021481.199999906</v>
      </c>
      <c r="G14" s="66">
        <f t="shared" ref="G14:J14" si="5">SUM(G10:G13)</f>
        <v>-12283528.790000074</v>
      </c>
      <c r="H14" s="66">
        <f t="shared" ref="H14:I14" si="6">SUM(H10:H13)</f>
        <v>1128721.900000019</v>
      </c>
      <c r="I14" s="66">
        <f t="shared" si="6"/>
        <v>-26222410.290000081</v>
      </c>
      <c r="J14" s="66">
        <f t="shared" si="5"/>
        <v>-13914872.629999982</v>
      </c>
      <c r="K14" s="66">
        <f t="shared" si="0"/>
        <v>12307537.660000099</v>
      </c>
    </row>
    <row r="15" spans="1:11" x14ac:dyDescent="0.3">
      <c r="A15" s="71" t="s">
        <v>258</v>
      </c>
      <c r="B15" s="64">
        <f>Conto_economico!C27</f>
        <v>4644373.8899999997</v>
      </c>
      <c r="C15" s="64">
        <f>Conto_economico!D27</f>
        <v>5089297.7300000004</v>
      </c>
      <c r="D15" s="64">
        <f>Conto_economico!E27</f>
        <v>4678702.45</v>
      </c>
      <c r="E15" s="64">
        <f>Conto_economico!F27</f>
        <v>4603297.93</v>
      </c>
      <c r="F15" s="64">
        <f>Conto_economico!G27</f>
        <v>4688658.91</v>
      </c>
      <c r="G15" s="64">
        <f>Conto_economico!H27</f>
        <v>4773310.62</v>
      </c>
      <c r="H15" s="64">
        <f>Conto_economico!I27</f>
        <v>4731231.9800000004</v>
      </c>
      <c r="I15" s="64">
        <f>Conto_economico!J27</f>
        <v>4468125.8</v>
      </c>
      <c r="J15" s="64">
        <f>Conto_economico!K27</f>
        <v>4842531.68</v>
      </c>
      <c r="K15" s="64">
        <f t="shared" si="0"/>
        <v>374405.87999999989</v>
      </c>
    </row>
    <row r="16" spans="1:11" x14ac:dyDescent="0.3">
      <c r="A16" s="70" t="s">
        <v>259</v>
      </c>
      <c r="B16" s="67">
        <f>B14-B15</f>
        <v>-54056597.469999909</v>
      </c>
      <c r="C16" s="67">
        <f>C14-C15</f>
        <v>-67461773.759999946</v>
      </c>
      <c r="D16" s="67">
        <f t="shared" ref="D16:F16" si="7">D14-D15</f>
        <v>27364479.670000084</v>
      </c>
      <c r="E16" s="67">
        <f t="shared" si="7"/>
        <v>-13250631.050000008</v>
      </c>
      <c r="F16" s="67">
        <f t="shared" si="7"/>
        <v>-21710140.109999906</v>
      </c>
      <c r="G16" s="67">
        <f t="shared" ref="G16:J16" si="8">G14-G15</f>
        <v>-17056839.410000075</v>
      </c>
      <c r="H16" s="67">
        <f t="shared" ref="H16:I16" si="9">H14-H15</f>
        <v>-3602510.0799999814</v>
      </c>
      <c r="I16" s="67">
        <f t="shared" si="9"/>
        <v>-30690536.090000082</v>
      </c>
      <c r="J16" s="67">
        <f t="shared" si="8"/>
        <v>-18757404.30999998</v>
      </c>
      <c r="K16" s="67">
        <f t="shared" si="0"/>
        <v>11933131.780000102</v>
      </c>
    </row>
    <row r="18" spans="2:3" x14ac:dyDescent="0.3">
      <c r="B18" s="97"/>
      <c r="C18" s="97"/>
    </row>
    <row r="19" spans="2:3" x14ac:dyDescent="0.3">
      <c r="B19" s="111"/>
      <c r="C19" s="111"/>
    </row>
    <row r="20" spans="2:3" x14ac:dyDescent="0.3">
      <c r="B20" s="97"/>
      <c r="C20" s="97"/>
    </row>
  </sheetData>
  <conditionalFormatting sqref="B16:G16 J16:K16">
    <cfRule type="cellIs" dxfId="62" priority="16" operator="greaterThan">
      <formula>0</formula>
    </cfRule>
  </conditionalFormatting>
  <conditionalFormatting sqref="B10:G10 B14:G14 J14:K14 J10:K10">
    <cfRule type="cellIs" dxfId="61" priority="15" operator="lessThan">
      <formula>0</formula>
    </cfRule>
  </conditionalFormatting>
  <conditionalFormatting sqref="H16">
    <cfRule type="cellIs" dxfId="60" priority="7" operator="greaterThan">
      <formula>0</formula>
    </cfRule>
  </conditionalFormatting>
  <conditionalFormatting sqref="H14 H10">
    <cfRule type="cellIs" dxfId="59" priority="6" operator="lessThan">
      <formula>0</formula>
    </cfRule>
  </conditionalFormatting>
  <conditionalFormatting sqref="B9:K9">
    <cfRule type="cellIs" dxfId="58" priority="5" operator="lessThan">
      <formula>0</formula>
    </cfRule>
  </conditionalFormatting>
  <conditionalFormatting sqref="I16">
    <cfRule type="cellIs" dxfId="57" priority="3" operator="greaterThan">
      <formula>0</formula>
    </cfRule>
  </conditionalFormatting>
  <conditionalFormatting sqref="I14 I10">
    <cfRule type="cellIs" dxfId="56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Entrate_Uscite</vt:lpstr>
      <vt:lpstr>Tav_Entrate</vt:lpstr>
      <vt:lpstr>Tav_Uscite</vt:lpstr>
      <vt:lpstr>Tav_Saldi</vt:lpstr>
      <vt:lpstr>Missione12_Programmi</vt:lpstr>
      <vt:lpstr>Missione12_Macroaggregati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2024-01-11T10:04:33Z</dcterms:modified>
</cp:coreProperties>
</file>